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C:\Users\acer\Documents\ALCALDIA CIUDAD BOLIVAR\FORMULACIÓN\FORMULACIÓN PROCESOS 2025\LICITACIÓN PUBLICA\PREVENCIÓN DE VIOLENCIAS\DOCUMENTOS SECOP\AJUSTES DOCUMENTOS SECOP\"/>
    </mc:Choice>
  </mc:AlternateContent>
  <xr:revisionPtr revIDLastSave="0" documentId="13_ncr:1_{44F02979-22D9-4248-BA54-288F60FA5E26}" xr6:coauthVersionLast="47" xr6:coauthVersionMax="47" xr10:uidLastSave="{00000000-0000-0000-0000-000000000000}"/>
  <bookViews>
    <workbookView xWindow="-110" yWindow="-110" windowWidth="19420" windowHeight="11500" xr2:uid="{00000000-000D-0000-FFFF-FFFF00000000}"/>
  </bookViews>
  <sheets>
    <sheet name="ESTUDIO DE MERCADO" sheetId="1" r:id="rId1"/>
    <sheet name="BOLSA CULTURA" sheetId="2" r:id="rId2"/>
    <sheet name="BOLSA FERRETERIA" sheetId="3" r:id="rId3"/>
    <sheet name="BOLSA PAPELERIA " sheetId="4" r:id="rId4"/>
    <sheet name="BOLSA JUEGOS TRADICIONALES " sheetId="5" r:id="rId5"/>
  </sheets>
  <definedNames>
    <definedName name="_xlnm._FilterDatabase" localSheetId="4" hidden="1">'BOLSA JUEGOS TRADICIONALES '!$A$2:$EV$2</definedName>
    <definedName name="_xlnm._FilterDatabase" localSheetId="0" hidden="1">'ESTUDIO DE MERCADO'!$A$6:$DY$370</definedName>
    <definedName name="_Hlk204073012" localSheetId="0">'ESTUDIO DE MERCADO'!#REF!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87" i="3" l="1"/>
  <c r="O87" i="3"/>
  <c r="N87" i="3"/>
  <c r="P86" i="3"/>
  <c r="O86" i="3"/>
  <c r="N86" i="3"/>
  <c r="P85" i="3"/>
  <c r="O85" i="3"/>
  <c r="N85" i="3"/>
  <c r="P84" i="3"/>
  <c r="O84" i="3"/>
  <c r="N84" i="3"/>
  <c r="P83" i="3"/>
  <c r="O83" i="3"/>
  <c r="N83" i="3"/>
  <c r="P82" i="3"/>
  <c r="O82" i="3"/>
  <c r="N82" i="3"/>
  <c r="P81" i="3"/>
  <c r="O81" i="3"/>
  <c r="N81" i="3"/>
  <c r="P80" i="3"/>
  <c r="O80" i="3"/>
  <c r="N80" i="3"/>
  <c r="P79" i="3"/>
  <c r="O79" i="3"/>
  <c r="N79" i="3"/>
  <c r="P78" i="3"/>
  <c r="O78" i="3"/>
  <c r="N78" i="3"/>
  <c r="P77" i="3"/>
  <c r="O77" i="3"/>
  <c r="N77" i="3"/>
  <c r="P76" i="3"/>
  <c r="O76" i="3"/>
  <c r="N76" i="3"/>
  <c r="P75" i="3"/>
  <c r="O75" i="3"/>
  <c r="N75" i="3"/>
  <c r="P74" i="3"/>
  <c r="O74" i="3"/>
  <c r="N74" i="3"/>
  <c r="P73" i="3"/>
  <c r="O73" i="3"/>
  <c r="N73" i="3"/>
  <c r="P72" i="3"/>
  <c r="O72" i="3"/>
  <c r="N72" i="3"/>
  <c r="P71" i="3"/>
  <c r="O71" i="3"/>
  <c r="N71" i="3"/>
  <c r="P70" i="3"/>
  <c r="O70" i="3"/>
  <c r="N70" i="3"/>
  <c r="P69" i="3"/>
  <c r="O69" i="3"/>
  <c r="N69" i="3"/>
  <c r="P68" i="3"/>
  <c r="O68" i="3"/>
  <c r="N68" i="3"/>
  <c r="P67" i="3"/>
  <c r="O67" i="3"/>
  <c r="N67" i="3"/>
  <c r="P66" i="3"/>
  <c r="O66" i="3"/>
  <c r="N66" i="3"/>
  <c r="P65" i="3"/>
  <c r="O65" i="3"/>
  <c r="N65" i="3"/>
  <c r="P64" i="3"/>
  <c r="O64" i="3"/>
  <c r="N64" i="3"/>
  <c r="P63" i="3"/>
  <c r="O63" i="3"/>
  <c r="N63" i="3"/>
  <c r="V62" i="3"/>
  <c r="P62" i="3"/>
  <c r="O62" i="3"/>
  <c r="N62" i="3"/>
  <c r="P61" i="3"/>
  <c r="O61" i="3"/>
  <c r="N61" i="3"/>
  <c r="P60" i="3"/>
  <c r="O60" i="3"/>
  <c r="N60" i="3"/>
  <c r="P59" i="3"/>
  <c r="O59" i="3"/>
  <c r="N59" i="3"/>
  <c r="P58" i="3"/>
  <c r="O58" i="3"/>
  <c r="N58" i="3"/>
  <c r="P57" i="3"/>
  <c r="O57" i="3"/>
  <c r="N57" i="3"/>
  <c r="P56" i="3"/>
  <c r="O56" i="3"/>
  <c r="N56" i="3"/>
  <c r="P55" i="3"/>
  <c r="O55" i="3"/>
  <c r="N55" i="3"/>
  <c r="P54" i="3"/>
  <c r="O54" i="3"/>
  <c r="Q54" i="3" s="1"/>
  <c r="R54" i="3" s="1"/>
  <c r="N54" i="3"/>
  <c r="P53" i="3"/>
  <c r="O53" i="3"/>
  <c r="N53" i="3"/>
  <c r="P52" i="3"/>
  <c r="O52" i="3"/>
  <c r="N52" i="3"/>
  <c r="P51" i="3"/>
  <c r="O51" i="3"/>
  <c r="N51" i="3"/>
  <c r="P50" i="3"/>
  <c r="O50" i="3"/>
  <c r="N50" i="3"/>
  <c r="P49" i="3"/>
  <c r="O49" i="3"/>
  <c r="N49" i="3"/>
  <c r="P48" i="3"/>
  <c r="O48" i="3"/>
  <c r="N48" i="3"/>
  <c r="P47" i="3"/>
  <c r="O47" i="3"/>
  <c r="N47" i="3"/>
  <c r="P46" i="3"/>
  <c r="O46" i="3"/>
  <c r="N46" i="3"/>
  <c r="P45" i="3"/>
  <c r="O45" i="3"/>
  <c r="N45" i="3"/>
  <c r="P44" i="3"/>
  <c r="O44" i="3"/>
  <c r="N44" i="3"/>
  <c r="P43" i="3"/>
  <c r="O43" i="3"/>
  <c r="N43" i="3"/>
  <c r="P42" i="3"/>
  <c r="O42" i="3"/>
  <c r="N42" i="3"/>
  <c r="P41" i="3"/>
  <c r="O41" i="3"/>
  <c r="N41" i="3"/>
  <c r="P40" i="3"/>
  <c r="O40" i="3"/>
  <c r="N40" i="3"/>
  <c r="P39" i="3"/>
  <c r="Q39" i="3" s="1"/>
  <c r="R39" i="3" s="1"/>
  <c r="O39" i="3"/>
  <c r="N39" i="3"/>
  <c r="P38" i="3"/>
  <c r="O38" i="3"/>
  <c r="N38" i="3"/>
  <c r="P37" i="3"/>
  <c r="O37" i="3"/>
  <c r="N37" i="3"/>
  <c r="P36" i="3"/>
  <c r="O36" i="3"/>
  <c r="N36" i="3"/>
  <c r="P35" i="3"/>
  <c r="Q35" i="3" s="1"/>
  <c r="R35" i="3" s="1"/>
  <c r="O35" i="3"/>
  <c r="N35" i="3"/>
  <c r="P34" i="3"/>
  <c r="O34" i="3"/>
  <c r="N34" i="3"/>
  <c r="P33" i="3"/>
  <c r="O33" i="3"/>
  <c r="N33" i="3"/>
  <c r="P32" i="3"/>
  <c r="O32" i="3"/>
  <c r="N32" i="3"/>
  <c r="P31" i="3"/>
  <c r="Q31" i="3" s="1"/>
  <c r="R31" i="3" s="1"/>
  <c r="O31" i="3"/>
  <c r="N31" i="3"/>
  <c r="P30" i="3"/>
  <c r="O30" i="3"/>
  <c r="Q30" i="3" s="1"/>
  <c r="R30" i="3" s="1"/>
  <c r="N30" i="3"/>
  <c r="P29" i="3"/>
  <c r="O29" i="3"/>
  <c r="N29" i="3"/>
  <c r="P28" i="3"/>
  <c r="O28" i="3"/>
  <c r="N28" i="3"/>
  <c r="P27" i="3"/>
  <c r="O27" i="3"/>
  <c r="N27" i="3"/>
  <c r="P26" i="3"/>
  <c r="O26" i="3"/>
  <c r="N26" i="3"/>
  <c r="P25" i="3"/>
  <c r="O25" i="3"/>
  <c r="N25" i="3"/>
  <c r="P24" i="3"/>
  <c r="O24" i="3"/>
  <c r="N24" i="3"/>
  <c r="P23" i="3"/>
  <c r="Q23" i="3" s="1"/>
  <c r="O23" i="3"/>
  <c r="N23" i="3"/>
  <c r="P22" i="3"/>
  <c r="O22" i="3"/>
  <c r="N22" i="3"/>
  <c r="P21" i="3"/>
  <c r="O21" i="3"/>
  <c r="N21" i="3"/>
  <c r="P20" i="3"/>
  <c r="O20" i="3"/>
  <c r="N20" i="3"/>
  <c r="P19" i="3"/>
  <c r="Q19" i="3" s="1"/>
  <c r="R19" i="3" s="1"/>
  <c r="O19" i="3"/>
  <c r="N19" i="3"/>
  <c r="P18" i="3"/>
  <c r="O18" i="3"/>
  <c r="N18" i="3"/>
  <c r="P17" i="3"/>
  <c r="O17" i="3"/>
  <c r="N17" i="3"/>
  <c r="P16" i="3"/>
  <c r="Q16" i="3" s="1"/>
  <c r="R16" i="3" s="1"/>
  <c r="O16" i="3"/>
  <c r="N16" i="3"/>
  <c r="P15" i="3"/>
  <c r="Q15" i="3" s="1"/>
  <c r="R15" i="3" s="1"/>
  <c r="O15" i="3"/>
  <c r="N15" i="3"/>
  <c r="P14" i="3"/>
  <c r="O14" i="3"/>
  <c r="N14" i="3"/>
  <c r="P13" i="3"/>
  <c r="O13" i="3"/>
  <c r="N13" i="3"/>
  <c r="P12" i="3"/>
  <c r="O12" i="3"/>
  <c r="N12" i="3"/>
  <c r="P11" i="3"/>
  <c r="Q11" i="3" s="1"/>
  <c r="O11" i="3"/>
  <c r="N11" i="3"/>
  <c r="P10" i="3"/>
  <c r="O10" i="3"/>
  <c r="N10" i="3"/>
  <c r="P9" i="3"/>
  <c r="O9" i="3"/>
  <c r="N9" i="3"/>
  <c r="P8" i="3"/>
  <c r="Q8" i="3" s="1"/>
  <c r="R8" i="3" s="1"/>
  <c r="O8" i="3"/>
  <c r="N8" i="3"/>
  <c r="P7" i="3"/>
  <c r="Q7" i="3" s="1"/>
  <c r="R7" i="3" s="1"/>
  <c r="O7" i="3"/>
  <c r="N7" i="3"/>
  <c r="P6" i="3"/>
  <c r="O6" i="3"/>
  <c r="N6" i="3"/>
  <c r="P5" i="3"/>
  <c r="O5" i="3"/>
  <c r="N5" i="3"/>
  <c r="Q42" i="3" l="1"/>
  <c r="R42" i="3" s="1"/>
  <c r="Q72" i="3"/>
  <c r="R72" i="3" s="1"/>
  <c r="Q18" i="3"/>
  <c r="R18" i="3" s="1"/>
  <c r="Q38" i="3"/>
  <c r="R38" i="3" s="1"/>
  <c r="Q65" i="3"/>
  <c r="R65" i="3" s="1"/>
  <c r="Q69" i="3"/>
  <c r="R69" i="3" s="1"/>
  <c r="Q73" i="3"/>
  <c r="R73" i="3" s="1"/>
  <c r="Q81" i="3"/>
  <c r="R81" i="3" s="1"/>
  <c r="Q85" i="3"/>
  <c r="R85" i="3" s="1"/>
  <c r="Q46" i="3"/>
  <c r="R46" i="3" s="1"/>
  <c r="Q50" i="3"/>
  <c r="R50" i="3" s="1"/>
  <c r="Q68" i="3"/>
  <c r="R68" i="3" s="1"/>
  <c r="Q45" i="3"/>
  <c r="R45" i="3" s="1"/>
  <c r="Q57" i="3"/>
  <c r="R57" i="3" s="1"/>
  <c r="Q66" i="3"/>
  <c r="R66" i="3" s="1"/>
  <c r="Q78" i="3"/>
  <c r="R78" i="3" s="1"/>
  <c r="Q80" i="3"/>
  <c r="R80" i="3" s="1"/>
  <c r="Q61" i="3"/>
  <c r="R61" i="3" s="1"/>
  <c r="R23" i="3"/>
  <c r="Q76" i="3"/>
  <c r="R76" i="3" s="1"/>
  <c r="Q6" i="3"/>
  <c r="R6" i="3" s="1"/>
  <c r="Q34" i="3"/>
  <c r="R34" i="3" s="1"/>
  <c r="Q87" i="3"/>
  <c r="R87" i="3" s="1"/>
  <c r="Q20" i="3"/>
  <c r="R20" i="3" s="1"/>
  <c r="Q62" i="3"/>
  <c r="R62" i="3" s="1"/>
  <c r="Q9" i="3"/>
  <c r="R9" i="3" s="1"/>
  <c r="Q47" i="3"/>
  <c r="R47" i="3" s="1"/>
  <c r="Q40" i="3"/>
  <c r="R40" i="3" s="1"/>
  <c r="Q25" i="3"/>
  <c r="R25" i="3" s="1"/>
  <c r="Q59" i="3"/>
  <c r="R59" i="3" s="1"/>
  <c r="Q22" i="3"/>
  <c r="R22" i="3" s="1"/>
  <c r="Q26" i="3"/>
  <c r="R26" i="3" s="1"/>
  <c r="Q56" i="3"/>
  <c r="R56" i="3" s="1"/>
  <c r="Q71" i="3"/>
  <c r="R71" i="3" s="1"/>
  <c r="Q82" i="3"/>
  <c r="R82" i="3" s="1"/>
  <c r="Q58" i="3"/>
  <c r="R58" i="3" s="1"/>
  <c r="Q84" i="3"/>
  <c r="R84" i="3" s="1"/>
  <c r="Q13" i="3"/>
  <c r="R13" i="3" s="1"/>
  <c r="Q43" i="3"/>
  <c r="R43" i="3" s="1"/>
  <c r="Q51" i="3"/>
  <c r="R51" i="3" s="1"/>
  <c r="Q32" i="3"/>
  <c r="R32" i="3" s="1"/>
  <c r="Q21" i="3"/>
  <c r="R21" i="3" s="1"/>
  <c r="Q55" i="3"/>
  <c r="R55" i="3" s="1"/>
  <c r="Q44" i="3"/>
  <c r="R44" i="3" s="1"/>
  <c r="Q63" i="3"/>
  <c r="R63" i="3" s="1"/>
  <c r="Q33" i="3"/>
  <c r="R33" i="3" s="1"/>
  <c r="R11" i="3"/>
  <c r="Q49" i="3"/>
  <c r="R49" i="3" s="1"/>
  <c r="Q64" i="3"/>
  <c r="R64" i="3" s="1"/>
  <c r="Q75" i="3"/>
  <c r="R75" i="3" s="1"/>
  <c r="Q28" i="3"/>
  <c r="R28" i="3" s="1"/>
  <c r="Q74" i="3"/>
  <c r="R74" i="3" s="1"/>
  <c r="Q70" i="3"/>
  <c r="R70" i="3" s="1"/>
  <c r="Q10" i="3"/>
  <c r="R10" i="3" s="1"/>
  <c r="Q52" i="3"/>
  <c r="R52" i="3" s="1"/>
  <c r="Q27" i="3"/>
  <c r="R27" i="3" s="1"/>
  <c r="Q83" i="3"/>
  <c r="R83" i="3" s="1"/>
  <c r="Q77" i="3"/>
  <c r="R77" i="3" s="1"/>
  <c r="Q14" i="3"/>
  <c r="R14" i="3" s="1"/>
  <c r="Q37" i="3"/>
  <c r="R37" i="3" s="1"/>
  <c r="Q67" i="3"/>
  <c r="R67" i="3" s="1"/>
  <c r="Q79" i="3"/>
  <c r="R79" i="3" s="1"/>
  <c r="Q5" i="3"/>
  <c r="R5" i="3" s="1"/>
  <c r="Q17" i="3"/>
  <c r="R17" i="3" s="1"/>
  <c r="Q29" i="3"/>
  <c r="R29" i="3" s="1"/>
  <c r="Q41" i="3"/>
  <c r="R41" i="3" s="1"/>
  <c r="Q53" i="3"/>
  <c r="R53" i="3" s="1"/>
  <c r="Q86" i="3"/>
  <c r="R86" i="3" s="1"/>
  <c r="Q12" i="3"/>
  <c r="R12" i="3" s="1"/>
  <c r="Q24" i="3"/>
  <c r="R24" i="3" s="1"/>
  <c r="Q36" i="3"/>
  <c r="R36" i="3" s="1"/>
  <c r="Q48" i="3"/>
  <c r="R48" i="3" s="1"/>
  <c r="Q60" i="3"/>
  <c r="R60" i="3" s="1"/>
  <c r="AF4" i="4" l="1"/>
  <c r="AG4" i="4" s="1"/>
  <c r="AH4" i="4" s="1"/>
  <c r="AI4" i="4" s="1"/>
  <c r="AY4" i="4"/>
  <c r="AZ4" i="4" s="1"/>
  <c r="CI4" i="4"/>
  <c r="CK4" i="4" s="1"/>
  <c r="CJ4" i="4"/>
  <c r="V5" i="4"/>
  <c r="W5" i="4" s="1"/>
  <c r="Z5" i="4"/>
  <c r="AA5" i="4" s="1"/>
  <c r="M6" i="4"/>
  <c r="N6" i="4" s="1"/>
  <c r="CQ6" i="4" s="1"/>
  <c r="V6" i="4"/>
  <c r="W6" i="4"/>
  <c r="Z6" i="4"/>
  <c r="AA6" i="4"/>
  <c r="G7" i="4"/>
  <c r="H7" i="4"/>
  <c r="CQ7" i="4" s="1"/>
  <c r="J7" i="4"/>
  <c r="K7" i="4"/>
  <c r="G8" i="4"/>
  <c r="H8" i="4" s="1"/>
  <c r="J8" i="4"/>
  <c r="K8" i="4" s="1"/>
  <c r="M8" i="4"/>
  <c r="N8" i="4"/>
  <c r="V8" i="4"/>
  <c r="W8" i="4"/>
  <c r="Z8" i="4"/>
  <c r="AA8" i="4"/>
  <c r="G9" i="4"/>
  <c r="H9" i="4" s="1"/>
  <c r="J9" i="4"/>
  <c r="K9" i="4" s="1"/>
  <c r="M9" i="4"/>
  <c r="N9" i="4"/>
  <c r="G10" i="4"/>
  <c r="H10" i="4" s="1"/>
  <c r="CQ10" i="4" s="1"/>
  <c r="J10" i="4"/>
  <c r="K10" i="4"/>
  <c r="G11" i="4"/>
  <c r="H11" i="4"/>
  <c r="S11" i="4"/>
  <c r="T11" i="4"/>
  <c r="CR11" i="4" s="1"/>
  <c r="V12" i="4"/>
  <c r="W12" i="4" s="1"/>
  <c r="Z12" i="4"/>
  <c r="AA12" i="4" s="1"/>
  <c r="V13" i="4"/>
  <c r="W13" i="4" s="1"/>
  <c r="CQ13" i="4" s="1"/>
  <c r="Z13" i="4"/>
  <c r="AA13" i="4"/>
  <c r="V14" i="4"/>
  <c r="W14" i="4"/>
  <c r="CQ14" i="4" s="1"/>
  <c r="Z14" i="4"/>
  <c r="AA14" i="4"/>
  <c r="CR14" i="4" s="1"/>
  <c r="J15" i="4"/>
  <c r="K15" i="4" s="1"/>
  <c r="M15" i="4"/>
  <c r="N15" i="4"/>
  <c r="F16" i="4"/>
  <c r="G16" i="4"/>
  <c r="H16" i="4" s="1"/>
  <c r="CD16" i="4"/>
  <c r="G17" i="4"/>
  <c r="H17" i="4"/>
  <c r="J17" i="4"/>
  <c r="K17" i="4"/>
  <c r="M17" i="4"/>
  <c r="N17" i="4" s="1"/>
  <c r="G18" i="4"/>
  <c r="H18" i="4" s="1"/>
  <c r="J18" i="4"/>
  <c r="K18" i="4" s="1"/>
  <c r="S19" i="4"/>
  <c r="T19" i="4" s="1"/>
  <c r="AE19" i="4"/>
  <c r="AF19" i="4"/>
  <c r="AG19" i="4"/>
  <c r="AH19" i="4" s="1"/>
  <c r="CI19" i="4"/>
  <c r="CJ19" i="4" s="1"/>
  <c r="G20" i="4"/>
  <c r="H20" i="4"/>
  <c r="J20" i="4"/>
  <c r="K20" i="4" s="1"/>
  <c r="G21" i="4"/>
  <c r="H21" i="4" s="1"/>
  <c r="J21" i="4"/>
  <c r="K21" i="4"/>
  <c r="G22" i="4"/>
  <c r="H22" i="4" s="1"/>
  <c r="S22" i="4"/>
  <c r="T22" i="4"/>
  <c r="W23" i="4"/>
  <c r="AA23" i="4"/>
  <c r="CQ23" i="4" s="1"/>
  <c r="H24" i="4"/>
  <c r="K24" i="4"/>
  <c r="T24" i="4"/>
  <c r="G25" i="4"/>
  <c r="H25" i="4" s="1"/>
  <c r="M25" i="4"/>
  <c r="N25" i="4" s="1"/>
  <c r="S25" i="4"/>
  <c r="S26" i="4"/>
  <c r="T26" i="4" s="1"/>
  <c r="AE26" i="4"/>
  <c r="AF26" i="4" s="1"/>
  <c r="AG26" i="4" s="1"/>
  <c r="V27" i="4"/>
  <c r="W27" i="4"/>
  <c r="Z27" i="4"/>
  <c r="J28" i="4"/>
  <c r="K28" i="4"/>
  <c r="CR28" i="4" s="1"/>
  <c r="M28" i="4"/>
  <c r="N28" i="4"/>
  <c r="W29" i="4"/>
  <c r="AA29" i="4"/>
  <c r="CQ29" i="4" s="1"/>
  <c r="H30" i="4"/>
  <c r="K30" i="4"/>
  <c r="N30" i="4"/>
  <c r="CS30" i="4" s="1"/>
  <c r="V31" i="4"/>
  <c r="W31" i="4"/>
  <c r="Z31" i="4"/>
  <c r="AA31" i="4" s="1"/>
  <c r="P32" i="4"/>
  <c r="Q32" i="4" s="1"/>
  <c r="AC32" i="4"/>
  <c r="AD32" i="4" s="1"/>
  <c r="P33" i="4"/>
  <c r="Q33" i="4" s="1"/>
  <c r="AC33" i="4"/>
  <c r="AD33" i="4" s="1"/>
  <c r="CR33" i="4" s="1"/>
  <c r="P34" i="4"/>
  <c r="Q34" i="4"/>
  <c r="AC34" i="4"/>
  <c r="AD34" i="4" s="1"/>
  <c r="CR34" i="4" s="1"/>
  <c r="P35" i="4"/>
  <c r="Q35" i="4" s="1"/>
  <c r="P36" i="4"/>
  <c r="Q36" i="4" s="1"/>
  <c r="AC36" i="4"/>
  <c r="AD36" i="4" s="1"/>
  <c r="P37" i="4"/>
  <c r="Q37" i="4"/>
  <c r="AC37" i="4"/>
  <c r="AD37" i="4"/>
  <c r="P38" i="4"/>
  <c r="Q38" i="4" s="1"/>
  <c r="AC38" i="4"/>
  <c r="AD38" i="4" s="1"/>
  <c r="CR38" i="4" s="1"/>
  <c r="P39" i="4"/>
  <c r="Q39" i="4"/>
  <c r="AC39" i="4"/>
  <c r="AD39" i="4" s="1"/>
  <c r="P40" i="4"/>
  <c r="Q40" i="4" s="1"/>
  <c r="CQ40" i="4" s="1"/>
  <c r="AC40" i="4"/>
  <c r="AD40" i="4"/>
  <c r="P41" i="4"/>
  <c r="Q41" i="4" s="1"/>
  <c r="AC41" i="4"/>
  <c r="AD41" i="4" s="1"/>
  <c r="P42" i="4"/>
  <c r="Q42" i="4"/>
  <c r="AC42" i="4"/>
  <c r="AD42" i="4"/>
  <c r="P43" i="4"/>
  <c r="Q43" i="4" s="1"/>
  <c r="AC43" i="4"/>
  <c r="AD43" i="4" s="1"/>
  <c r="P44" i="4"/>
  <c r="Q44" i="4" s="1"/>
  <c r="CS44" i="4" s="1"/>
  <c r="AC44" i="4"/>
  <c r="AD44" i="4" s="1"/>
  <c r="P45" i="4"/>
  <c r="Q45" i="4"/>
  <c r="AC45" i="4"/>
  <c r="AD45" i="4"/>
  <c r="F46" i="4"/>
  <c r="G46" i="4"/>
  <c r="H46" i="4" s="1"/>
  <c r="I46" i="4"/>
  <c r="J46" i="4" s="1"/>
  <c r="L46" i="4"/>
  <c r="M46" i="4" s="1"/>
  <c r="N46" i="4" s="1"/>
  <c r="CN46" i="4"/>
  <c r="CN111" i="4" s="1"/>
  <c r="CO46" i="4"/>
  <c r="CO111" i="4" s="1"/>
  <c r="CP46" i="4"/>
  <c r="AY47" i="4"/>
  <c r="BA47" i="4" s="1"/>
  <c r="AZ47" i="4"/>
  <c r="CD47" i="4"/>
  <c r="CE47" i="4"/>
  <c r="V48" i="4"/>
  <c r="W48" i="4"/>
  <c r="Z48" i="4"/>
  <c r="AA48" i="4"/>
  <c r="CQ48" i="4" s="1"/>
  <c r="J49" i="4"/>
  <c r="K49" i="4"/>
  <c r="BJ49" i="4"/>
  <c r="V50" i="4"/>
  <c r="W50" i="4" s="1"/>
  <c r="Z50" i="4"/>
  <c r="AA50" i="4" s="1"/>
  <c r="G51" i="4"/>
  <c r="H51" i="4" s="1"/>
  <c r="J51" i="4"/>
  <c r="K51" i="4" s="1"/>
  <c r="H52" i="4"/>
  <c r="L52" i="4"/>
  <c r="N52" i="4"/>
  <c r="CR52" i="4" s="1"/>
  <c r="H53" i="4"/>
  <c r="CR53" i="4" s="1"/>
  <c r="K53" i="4"/>
  <c r="V54" i="4"/>
  <c r="W54" i="4"/>
  <c r="Z54" i="4"/>
  <c r="AA54" i="4" s="1"/>
  <c r="S55" i="4"/>
  <c r="T55" i="4" s="1"/>
  <c r="AK55" i="4"/>
  <c r="AK111" i="4" s="1"/>
  <c r="G56" i="4"/>
  <c r="H56" i="4"/>
  <c r="S56" i="4"/>
  <c r="T56" i="4" s="1"/>
  <c r="V57" i="4"/>
  <c r="W57" i="4"/>
  <c r="Z57" i="4"/>
  <c r="AA57" i="4" s="1"/>
  <c r="G58" i="4"/>
  <c r="H58" i="4" s="1"/>
  <c r="I58" i="4"/>
  <c r="J58" i="4" s="1"/>
  <c r="L58" i="4"/>
  <c r="M58" i="4" s="1"/>
  <c r="N58" i="4" s="1"/>
  <c r="U58" i="4"/>
  <c r="U111" i="4" s="1"/>
  <c r="Y58" i="4"/>
  <c r="Z58" i="4" s="1"/>
  <c r="J59" i="4"/>
  <c r="K59" i="4"/>
  <c r="L59" i="4"/>
  <c r="N59" i="4" s="1"/>
  <c r="CQ59" i="4" s="1"/>
  <c r="M59" i="4"/>
  <c r="V60" i="4"/>
  <c r="W60" i="4" s="1"/>
  <c r="Z60" i="4"/>
  <c r="AA60" i="4" s="1"/>
  <c r="V61" i="4"/>
  <c r="W61" i="4" s="1"/>
  <c r="Z61" i="4"/>
  <c r="AA61" i="4" s="1"/>
  <c r="CR61" i="4" s="1"/>
  <c r="V62" i="4"/>
  <c r="W62" i="4" s="1"/>
  <c r="CQ62" i="4" s="1"/>
  <c r="Z62" i="4"/>
  <c r="AA62" i="4"/>
  <c r="G63" i="4"/>
  <c r="H63" i="4"/>
  <c r="M63" i="4"/>
  <c r="N63" i="4" s="1"/>
  <c r="F64" i="4"/>
  <c r="G64" i="4"/>
  <c r="J64" i="4"/>
  <c r="K64" i="4"/>
  <c r="V65" i="4"/>
  <c r="W65" i="4"/>
  <c r="Z65" i="4"/>
  <c r="AA65" i="4"/>
  <c r="CR65" i="4" s="1"/>
  <c r="G66" i="4"/>
  <c r="H66" i="4"/>
  <c r="J66" i="4"/>
  <c r="K66" i="4" s="1"/>
  <c r="M66" i="4"/>
  <c r="N66" i="4" s="1"/>
  <c r="S67" i="4"/>
  <c r="T67" i="4" s="1"/>
  <c r="AZ67" i="4"/>
  <c r="BA67" i="4"/>
  <c r="BB67" i="4"/>
  <c r="BC67" i="4"/>
  <c r="M68" i="4"/>
  <c r="N68" i="4" s="1"/>
  <c r="BI68" i="4"/>
  <c r="BI111" i="4" s="1"/>
  <c r="S69" i="4"/>
  <c r="T69" i="4" s="1"/>
  <c r="Z69" i="4"/>
  <c r="AA69" i="4" s="1"/>
  <c r="I70" i="4"/>
  <c r="J70" i="4"/>
  <c r="K70" i="4"/>
  <c r="S70" i="4"/>
  <c r="T70" i="4"/>
  <c r="CN70" i="4"/>
  <c r="CO70" i="4"/>
  <c r="AF71" i="4"/>
  <c r="AG71" i="4" s="1"/>
  <c r="CI71" i="4"/>
  <c r="CJ71" i="4" s="1"/>
  <c r="J72" i="4"/>
  <c r="K72" i="4"/>
  <c r="M72" i="4"/>
  <c r="N72" i="4"/>
  <c r="G73" i="4"/>
  <c r="H73" i="4"/>
  <c r="S73" i="4"/>
  <c r="T73" i="4" s="1"/>
  <c r="CQ73" i="4" s="1"/>
  <c r="V74" i="4"/>
  <c r="W74" i="4" s="1"/>
  <c r="Z74" i="4"/>
  <c r="AA74" i="4" s="1"/>
  <c r="CS74" i="4" s="1"/>
  <c r="G75" i="4"/>
  <c r="H75" i="4" s="1"/>
  <c r="J75" i="4"/>
  <c r="K75" i="4" s="1"/>
  <c r="M75" i="4"/>
  <c r="N75" i="4"/>
  <c r="S76" i="4"/>
  <c r="T76" i="4" s="1"/>
  <c r="AE76" i="4"/>
  <c r="AG76" i="4" s="1"/>
  <c r="AF76" i="4"/>
  <c r="V77" i="4"/>
  <c r="W77" i="4" s="1"/>
  <c r="Z77" i="4"/>
  <c r="AA77" i="4" s="1"/>
  <c r="S78" i="4"/>
  <c r="T78" i="4" s="1"/>
  <c r="BE78" i="4"/>
  <c r="V79" i="4"/>
  <c r="W79" i="4"/>
  <c r="Z79" i="4"/>
  <c r="AA79" i="4" s="1"/>
  <c r="AP79" i="4"/>
  <c r="AP111" i="4" s="1"/>
  <c r="G80" i="4"/>
  <c r="H80" i="4"/>
  <c r="J80" i="4"/>
  <c r="K80" i="4" s="1"/>
  <c r="M80" i="4"/>
  <c r="N80" i="4" s="1"/>
  <c r="J81" i="4"/>
  <c r="K81" i="4" s="1"/>
  <c r="M81" i="4"/>
  <c r="N81" i="4" s="1"/>
  <c r="G82" i="4"/>
  <c r="H82" i="4"/>
  <c r="CR82" i="4" s="1"/>
  <c r="M82" i="4"/>
  <c r="N82" i="4"/>
  <c r="AE83" i="4"/>
  <c r="AF83" i="4" s="1"/>
  <c r="BI83" i="4"/>
  <c r="BJ83" i="4"/>
  <c r="V84" i="4"/>
  <c r="W84" i="4" s="1"/>
  <c r="Z84" i="4"/>
  <c r="AA84" i="4" s="1"/>
  <c r="CQ84" i="4" s="1"/>
  <c r="V85" i="4"/>
  <c r="W85" i="4"/>
  <c r="Z85" i="4"/>
  <c r="AA85" i="4" s="1"/>
  <c r="Z86" i="4"/>
  <c r="AA86" i="4" s="1"/>
  <c r="BO86" i="4"/>
  <c r="BO111" i="4" s="1"/>
  <c r="BP86" i="4"/>
  <c r="BQ86" i="4" s="1"/>
  <c r="BQ111" i="4" s="1"/>
  <c r="G87" i="4"/>
  <c r="H87" i="4"/>
  <c r="M87" i="4"/>
  <c r="N87" i="4"/>
  <c r="S87" i="4"/>
  <c r="T87" i="4" s="1"/>
  <c r="G88" i="4"/>
  <c r="H88" i="4" s="1"/>
  <c r="J88" i="4"/>
  <c r="K88" i="4"/>
  <c r="CS88" i="4" s="1"/>
  <c r="V89" i="4"/>
  <c r="W89" i="4" s="1"/>
  <c r="Z89" i="4"/>
  <c r="AA89" i="4"/>
  <c r="J90" i="4"/>
  <c r="K90" i="4" s="1"/>
  <c r="CS90" i="4" s="1"/>
  <c r="M90" i="4"/>
  <c r="N90" i="4" s="1"/>
  <c r="J91" i="4"/>
  <c r="K91" i="4" s="1"/>
  <c r="M91" i="4"/>
  <c r="N91" i="4" s="1"/>
  <c r="S92" i="4"/>
  <c r="T92" i="4" s="1"/>
  <c r="V92" i="4"/>
  <c r="W92" i="4" s="1"/>
  <c r="Z92" i="4"/>
  <c r="AA92" i="4"/>
  <c r="G93" i="4"/>
  <c r="H93" i="4" s="1"/>
  <c r="CS93" i="4" s="1"/>
  <c r="S93" i="4"/>
  <c r="T93" i="4" s="1"/>
  <c r="G94" i="4"/>
  <c r="H94" i="4"/>
  <c r="J94" i="4"/>
  <c r="K94" i="4"/>
  <c r="M94" i="4"/>
  <c r="N94" i="4"/>
  <c r="G95" i="4"/>
  <c r="H95" i="4" s="1"/>
  <c r="J95" i="4"/>
  <c r="K95" i="4" s="1"/>
  <c r="CN95" i="4"/>
  <c r="CO95" i="4" s="1"/>
  <c r="CP95" i="4" s="1"/>
  <c r="J96" i="4"/>
  <c r="K96" i="4"/>
  <c r="M96" i="4"/>
  <c r="N96" i="4" s="1"/>
  <c r="G97" i="4"/>
  <c r="H97" i="4" s="1"/>
  <c r="CR97" i="4" s="1"/>
  <c r="M97" i="4"/>
  <c r="N97" i="4" s="1"/>
  <c r="J98" i="4"/>
  <c r="K98" i="4"/>
  <c r="M98" i="4"/>
  <c r="N98" i="4"/>
  <c r="AO99" i="4"/>
  <c r="AP99" i="4"/>
  <c r="AQ99" i="4"/>
  <c r="AS99" i="4" s="1"/>
  <c r="AR99" i="4"/>
  <c r="CI99" i="4"/>
  <c r="S100" i="4"/>
  <c r="T100" i="4" s="1"/>
  <c r="V100" i="4"/>
  <c r="W100" i="4" s="1"/>
  <c r="Z100" i="4"/>
  <c r="AA100" i="4"/>
  <c r="G101" i="4"/>
  <c r="H101" i="4"/>
  <c r="M101" i="4"/>
  <c r="N101" i="4" s="1"/>
  <c r="M102" i="4"/>
  <c r="N102" i="4" s="1"/>
  <c r="Y102" i="4"/>
  <c r="Z102" i="4" s="1"/>
  <c r="J103" i="4"/>
  <c r="K103" i="4"/>
  <c r="M103" i="4"/>
  <c r="N103" i="4"/>
  <c r="CS103" i="4" s="1"/>
  <c r="AU104" i="4"/>
  <c r="AV104" i="4"/>
  <c r="AV111" i="4" s="1"/>
  <c r="AZ104" i="4"/>
  <c r="BA104" i="4" s="1"/>
  <c r="BB104" i="4" s="1"/>
  <c r="J105" i="4"/>
  <c r="K105" i="4" s="1"/>
  <c r="M105" i="4"/>
  <c r="N105" i="4" s="1"/>
  <c r="Z106" i="4"/>
  <c r="AA106" i="4" s="1"/>
  <c r="BT106" i="4"/>
  <c r="G107" i="4"/>
  <c r="H107" i="4"/>
  <c r="J107" i="4"/>
  <c r="K107" i="4"/>
  <c r="M107" i="4"/>
  <c r="N107" i="4" s="1"/>
  <c r="G108" i="4"/>
  <c r="H108" i="4" s="1"/>
  <c r="I108" i="4"/>
  <c r="BY109" i="4"/>
  <c r="BZ109" i="4" s="1"/>
  <c r="CB109" i="4"/>
  <c r="CC109" i="4" s="1"/>
  <c r="CE109" i="4"/>
  <c r="CF109" i="4"/>
  <c r="BY110" i="4"/>
  <c r="BY111" i="4" s="1"/>
  <c r="BZ110" i="4"/>
  <c r="CB110" i="4"/>
  <c r="CC110" i="4" s="1"/>
  <c r="CE110" i="4"/>
  <c r="CF110" i="4"/>
  <c r="O111" i="4"/>
  <c r="R111" i="4"/>
  <c r="X111" i="4"/>
  <c r="AB111" i="4"/>
  <c r="AJ111" i="4"/>
  <c r="AO111" i="4"/>
  <c r="AT111" i="4"/>
  <c r="AU111" i="4"/>
  <c r="AY111" i="4"/>
  <c r="BD111" i="4"/>
  <c r="BN111" i="4"/>
  <c r="BS111" i="4"/>
  <c r="BX111" i="4"/>
  <c r="CA111" i="4"/>
  <c r="CV4" i="4"/>
  <c r="CV5" i="4"/>
  <c r="CV6" i="4"/>
  <c r="CV7" i="4"/>
  <c r="CV8" i="4"/>
  <c r="CV9" i="4"/>
  <c r="CV10" i="4"/>
  <c r="CS11" i="4"/>
  <c r="CV11" i="4"/>
  <c r="CV12" i="4"/>
  <c r="CV13" i="4"/>
  <c r="CV14" i="4"/>
  <c r="CV15" i="4"/>
  <c r="CV16" i="4"/>
  <c r="CV17" i="4"/>
  <c r="CV18" i="4"/>
  <c r="CV19" i="4"/>
  <c r="CV20" i="4"/>
  <c r="CV21" i="4"/>
  <c r="CV22" i="4"/>
  <c r="CR23" i="4"/>
  <c r="CS23" i="4"/>
  <c r="CV25" i="4"/>
  <c r="CV26" i="4"/>
  <c r="CV27" i="4"/>
  <c r="CQ28" i="4"/>
  <c r="CV28" i="4"/>
  <c r="CV31" i="4"/>
  <c r="CV32" i="4"/>
  <c r="CV33" i="4"/>
  <c r="CV34" i="4"/>
  <c r="CV35" i="4"/>
  <c r="CV36" i="4"/>
  <c r="CV37" i="4"/>
  <c r="CV38" i="4"/>
  <c r="CV39" i="4"/>
  <c r="CV40" i="4"/>
  <c r="CQ41" i="4"/>
  <c r="CR41" i="4"/>
  <c r="CV41" i="4"/>
  <c r="CV42" i="4"/>
  <c r="CV43" i="4"/>
  <c r="CV44" i="4"/>
  <c r="CV45" i="4"/>
  <c r="CV46" i="4"/>
  <c r="CV47" i="4"/>
  <c r="CV48" i="4"/>
  <c r="CV49" i="4"/>
  <c r="CV50" i="4"/>
  <c r="CV51" i="4"/>
  <c r="CV54" i="4"/>
  <c r="CV55" i="4"/>
  <c r="CV56" i="4"/>
  <c r="CV57" i="4"/>
  <c r="CV58" i="4"/>
  <c r="CV59" i="4"/>
  <c r="CV60" i="4"/>
  <c r="CQ61" i="4"/>
  <c r="CS61" i="4"/>
  <c r="CT61" i="4" s="1"/>
  <c r="CV61" i="4"/>
  <c r="CV62" i="4"/>
  <c r="CV63" i="4"/>
  <c r="CV64" i="4"/>
  <c r="CV65" i="4"/>
  <c r="CV66" i="4"/>
  <c r="CV67" i="4"/>
  <c r="CV68" i="4"/>
  <c r="CV69" i="4"/>
  <c r="CV70" i="4"/>
  <c r="CV71" i="4"/>
  <c r="CV72" i="4"/>
  <c r="CR73" i="4"/>
  <c r="CS73" i="4"/>
  <c r="CT73" i="4" s="1"/>
  <c r="CV73" i="4"/>
  <c r="CV74" i="4"/>
  <c r="CV75" i="4"/>
  <c r="CV76" i="4"/>
  <c r="CV77" i="4"/>
  <c r="CV78" i="4"/>
  <c r="CV79" i="4"/>
  <c r="CV80" i="4"/>
  <c r="CQ81" i="4"/>
  <c r="CR81" i="4"/>
  <c r="CS81" i="4"/>
  <c r="CT81" i="4" s="1"/>
  <c r="CV81" i="4"/>
  <c r="CV82" i="4"/>
  <c r="CV83" i="4"/>
  <c r="CV84" i="4"/>
  <c r="CR85" i="4"/>
  <c r="CV85" i="4"/>
  <c r="CV86" i="4"/>
  <c r="CV87" i="4"/>
  <c r="CQ88" i="4"/>
  <c r="CV88" i="4"/>
  <c r="CV89" i="4"/>
  <c r="CV90" i="4"/>
  <c r="CV91" i="4"/>
  <c r="CV92" i="4"/>
  <c r="CV93" i="4"/>
  <c r="CV94" i="4"/>
  <c r="CV95" i="4"/>
  <c r="CV96" i="4"/>
  <c r="CV97" i="4"/>
  <c r="CQ98" i="4"/>
  <c r="CR98" i="4"/>
  <c r="CS98" i="4"/>
  <c r="CT98" i="4" s="1"/>
  <c r="CV98" i="4"/>
  <c r="CV99" i="4"/>
  <c r="CV100" i="4"/>
  <c r="CV101" i="4"/>
  <c r="CV102" i="4"/>
  <c r="CR103" i="4"/>
  <c r="CV103" i="4"/>
  <c r="CV104" i="4"/>
  <c r="CV105" i="4"/>
  <c r="CV106" i="4"/>
  <c r="CV107" i="4"/>
  <c r="CV108" i="4"/>
  <c r="CV109" i="4"/>
  <c r="CV110" i="4"/>
  <c r="CU111" i="4"/>
  <c r="CS67" i="4" l="1"/>
  <c r="CQ67" i="4"/>
  <c r="AH26" i="4"/>
  <c r="AI26" i="4"/>
  <c r="CQ26" i="4" s="1"/>
  <c r="AH76" i="4"/>
  <c r="AI76" i="4" s="1"/>
  <c r="CR74" i="4"/>
  <c r="CT74" i="4" s="1"/>
  <c r="CQ74" i="4"/>
  <c r="CQ100" i="4"/>
  <c r="CS100" i="4"/>
  <c r="CR100" i="4"/>
  <c r="CR20" i="4"/>
  <c r="CS96" i="4"/>
  <c r="CR84" i="4"/>
  <c r="CR91" i="4"/>
  <c r="CQ91" i="4"/>
  <c r="CS91" i="4"/>
  <c r="CT91" i="4" s="1"/>
  <c r="CQ33" i="4"/>
  <c r="BA4" i="4"/>
  <c r="AZ111" i="4"/>
  <c r="CT93" i="4"/>
  <c r="BB47" i="4"/>
  <c r="BC47" i="4" s="1"/>
  <c r="CS18" i="4"/>
  <c r="CQ18" i="4"/>
  <c r="CR18" i="4"/>
  <c r="CQ69" i="4"/>
  <c r="CR69" i="4"/>
  <c r="CS69" i="4"/>
  <c r="CT69" i="4" s="1"/>
  <c r="CR5" i="4"/>
  <c r="CS5" i="4"/>
  <c r="CT5" i="4" s="1"/>
  <c r="CR102" i="4"/>
  <c r="CQ105" i="4"/>
  <c r="CS105" i="4"/>
  <c r="CQ75" i="4"/>
  <c r="CC111" i="4"/>
  <c r="AF111" i="4"/>
  <c r="CR93" i="4"/>
  <c r="CQ53" i="4"/>
  <c r="CR44" i="4"/>
  <c r="CT44" i="4" s="1"/>
  <c r="CQ20" i="4"/>
  <c r="CK99" i="4"/>
  <c r="CL99" i="4" s="1"/>
  <c r="CR90" i="4"/>
  <c r="CT90" i="4" s="1"/>
  <c r="CS36" i="4"/>
  <c r="CQ9" i="4"/>
  <c r="CQ103" i="4"/>
  <c r="CQ93" i="4"/>
  <c r="CQ44" i="4"/>
  <c r="CS107" i="4"/>
  <c r="AW104" i="4"/>
  <c r="BK83" i="4"/>
  <c r="BL83" i="4" s="1"/>
  <c r="CQ32" i="4"/>
  <c r="CS12" i="4"/>
  <c r="CT12" i="4" s="1"/>
  <c r="CQ43" i="4"/>
  <c r="CS48" i="4"/>
  <c r="CQ96" i="4"/>
  <c r="AL55" i="4"/>
  <c r="AL111" i="4" s="1"/>
  <c r="CS13" i="4"/>
  <c r="CT11" i="4"/>
  <c r="CS34" i="4"/>
  <c r="CS85" i="4"/>
  <c r="CT85" i="4" s="1"/>
  <c r="AA102" i="4"/>
  <c r="CR88" i="4"/>
  <c r="CT88" i="4" s="1"/>
  <c r="CQ11" i="4"/>
  <c r="CQ17" i="4"/>
  <c r="CS40" i="4"/>
  <c r="CS14" i="4"/>
  <c r="CT14" i="4" s="1"/>
  <c r="CS7" i="4"/>
  <c r="BP111" i="4"/>
  <c r="CF47" i="4"/>
  <c r="CR67" i="4"/>
  <c r="CQ34" i="4"/>
  <c r="CR96" i="4"/>
  <c r="CS53" i="4"/>
  <c r="CT53" i="4" s="1"/>
  <c r="CR40" i="4"/>
  <c r="CS28" i="4"/>
  <c r="CT28" i="4" s="1"/>
  <c r="CS20" i="4"/>
  <c r="CT20" i="4" s="1"/>
  <c r="CR7" i="4"/>
  <c r="CQ94" i="4"/>
  <c r="CR87" i="4"/>
  <c r="K58" i="4"/>
  <c r="CQ5" i="4"/>
  <c r="Z111" i="4"/>
  <c r="CR110" i="4"/>
  <c r="CR31" i="4"/>
  <c r="CT103" i="4"/>
  <c r="L111" i="4"/>
  <c r="CR105" i="4"/>
  <c r="CT105" i="4" s="1"/>
  <c r="CJ99" i="4"/>
  <c r="CJ111" i="4" s="1"/>
  <c r="BJ68" i="4"/>
  <c r="BK68" i="4" s="1"/>
  <c r="CS41" i="4"/>
  <c r="CT41" i="4" s="1"/>
  <c r="CR21" i="4"/>
  <c r="CS21" i="4"/>
  <c r="CT21" i="4" s="1"/>
  <c r="CQ21" i="4"/>
  <c r="CT107" i="4"/>
  <c r="CS25" i="4"/>
  <c r="CR56" i="4"/>
  <c r="CS56" i="4"/>
  <c r="CT56" i="4" s="1"/>
  <c r="CQ56" i="4"/>
  <c r="CR46" i="4"/>
  <c r="CQ8" i="4"/>
  <c r="H111" i="4"/>
  <c r="CR9" i="4"/>
  <c r="CR94" i="4"/>
  <c r="CR12" i="4"/>
  <c r="CR107" i="4"/>
  <c r="CQ107" i="4"/>
  <c r="CQ101" i="4"/>
  <c r="CQ80" i="4"/>
  <c r="CR80" i="4"/>
  <c r="CS80" i="4"/>
  <c r="CT80" i="4" s="1"/>
  <c r="CR30" i="4"/>
  <c r="CT30" i="4" s="1"/>
  <c r="CQ15" i="4"/>
  <c r="CR15" i="4"/>
  <c r="CS15" i="4"/>
  <c r="CT15" i="4" s="1"/>
  <c r="CS110" i="4"/>
  <c r="CS17" i="4"/>
  <c r="CT17" i="4" s="1"/>
  <c r="CQ12" i="4"/>
  <c r="AH71" i="4"/>
  <c r="AI71" i="4"/>
  <c r="CS38" i="4"/>
  <c r="CT38" i="4" s="1"/>
  <c r="CQ30" i="4"/>
  <c r="CS43" i="4"/>
  <c r="CR17" i="4"/>
  <c r="CI111" i="4"/>
  <c r="AG83" i="4"/>
  <c r="CQ66" i="4"/>
  <c r="CR66" i="4"/>
  <c r="CS66" i="4"/>
  <c r="CT66" i="4" s="1"/>
  <c r="CS63" i="4"/>
  <c r="CS51" i="4"/>
  <c r="CQ51" i="4"/>
  <c r="CR51" i="4"/>
  <c r="CG47" i="4"/>
  <c r="CH47" i="4"/>
  <c r="CQ42" i="4"/>
  <c r="CS42" i="4"/>
  <c r="CR42" i="4"/>
  <c r="CR43" i="4"/>
  <c r="CQ38" i="4"/>
  <c r="CQ109" i="4"/>
  <c r="CQ86" i="4"/>
  <c r="CP70" i="4"/>
  <c r="CR70" i="4" s="1"/>
  <c r="J111" i="4"/>
  <c r="CQ35" i="4"/>
  <c r="CR35" i="4"/>
  <c r="CS35" i="4"/>
  <c r="CS8" i="4"/>
  <c r="CQ31" i="4"/>
  <c r="CQ95" i="4"/>
  <c r="CR95" i="4"/>
  <c r="CS95" i="4"/>
  <c r="CT95" i="4" s="1"/>
  <c r="CQ92" i="4"/>
  <c r="CS92" i="4"/>
  <c r="CR92" i="4"/>
  <c r="CR57" i="4"/>
  <c r="CQ57" i="4"/>
  <c r="CS57" i="4"/>
  <c r="BK49" i="4"/>
  <c r="BJ111" i="4"/>
  <c r="AE111" i="4"/>
  <c r="CT34" i="4"/>
  <c r="CR8" i="4"/>
  <c r="CS9" i="4"/>
  <c r="K111" i="4"/>
  <c r="CQ36" i="4"/>
  <c r="CT23" i="4"/>
  <c r="CQ97" i="4"/>
  <c r="CS97" i="4"/>
  <c r="CT97" i="4" s="1"/>
  <c r="CQ39" i="4"/>
  <c r="CR39" i="4"/>
  <c r="CS39" i="4"/>
  <c r="CT39" i="4" s="1"/>
  <c r="T111" i="4"/>
  <c r="CQ110" i="4"/>
  <c r="BZ111" i="4"/>
  <c r="AX104" i="4"/>
  <c r="H64" i="4"/>
  <c r="CQ60" i="4"/>
  <c r="CR60" i="4"/>
  <c r="CS60" i="4"/>
  <c r="CL4" i="4"/>
  <c r="CM4" i="4" s="1"/>
  <c r="CS31" i="4"/>
  <c r="N111" i="4"/>
  <c r="CS89" i="4"/>
  <c r="CQ89" i="4"/>
  <c r="CR89" i="4"/>
  <c r="CT65" i="4"/>
  <c r="CQ50" i="4"/>
  <c r="CR50" i="4"/>
  <c r="CS50" i="4"/>
  <c r="CT50" i="4" s="1"/>
  <c r="AI19" i="4"/>
  <c r="M111" i="4"/>
  <c r="CQ85" i="4"/>
  <c r="CQ54" i="4"/>
  <c r="CR54" i="4"/>
  <c r="CS54" i="4"/>
  <c r="CQ22" i="4"/>
  <c r="CR22" i="4"/>
  <c r="CS22" i="4"/>
  <c r="CS70" i="4"/>
  <c r="BC104" i="4"/>
  <c r="BE111" i="4"/>
  <c r="BF78" i="4"/>
  <c r="V58" i="4"/>
  <c r="W58" i="4" s="1"/>
  <c r="AA27" i="4"/>
  <c r="CR27" i="4" s="1"/>
  <c r="CS94" i="4"/>
  <c r="CT94" i="4" s="1"/>
  <c r="CQ77" i="4"/>
  <c r="CS77" i="4"/>
  <c r="CQ72" i="4"/>
  <c r="CS72" i="4"/>
  <c r="CE16" i="4"/>
  <c r="CE111" i="4" s="1"/>
  <c r="CD111" i="4"/>
  <c r="CS101" i="4"/>
  <c r="CS75" i="4"/>
  <c r="CS26" i="4"/>
  <c r="CB111" i="4"/>
  <c r="Y111" i="4"/>
  <c r="BU106" i="4"/>
  <c r="BT111" i="4"/>
  <c r="CQ70" i="4"/>
  <c r="CQ45" i="4"/>
  <c r="CQ24" i="4"/>
  <c r="CR24" i="4"/>
  <c r="CS24" i="4"/>
  <c r="CT24" i="4" s="1"/>
  <c r="CR101" i="4"/>
  <c r="CR75" i="4"/>
  <c r="CR63" i="4"/>
  <c r="CR36" i="4"/>
  <c r="CT36" i="4" s="1"/>
  <c r="CS33" i="4"/>
  <c r="CT33" i="4" s="1"/>
  <c r="CR26" i="4"/>
  <c r="CV111" i="4"/>
  <c r="I111" i="4"/>
  <c r="CS109" i="4"/>
  <c r="CQ90" i="4"/>
  <c r="CQ87" i="4"/>
  <c r="CS87" i="4"/>
  <c r="CT87" i="4" s="1"/>
  <c r="CS84" i="4"/>
  <c r="CT84" i="4" s="1"/>
  <c r="CQ82" i="4"/>
  <c r="CS82" i="4"/>
  <c r="CT82" i="4" s="1"/>
  <c r="CQ52" i="4"/>
  <c r="CS52" i="4"/>
  <c r="CT52" i="4" s="1"/>
  <c r="CP111" i="4"/>
  <c r="CQ63" i="4"/>
  <c r="CR48" i="4"/>
  <c r="CT48" i="4" s="1"/>
  <c r="CS45" i="4"/>
  <c r="CR13" i="4"/>
  <c r="CT13" i="4" s="1"/>
  <c r="CS10" i="4"/>
  <c r="CQ65" i="4"/>
  <c r="CQ37" i="4"/>
  <c r="CR37" i="4"/>
  <c r="CS37" i="4"/>
  <c r="CT37" i="4" s="1"/>
  <c r="CR29" i="4"/>
  <c r="CS29" i="4"/>
  <c r="CT29" i="4" s="1"/>
  <c r="F111" i="4"/>
  <c r="CR109" i="4"/>
  <c r="CS59" i="4"/>
  <c r="CR45" i="4"/>
  <c r="CR10" i="4"/>
  <c r="J108" i="4"/>
  <c r="K108" i="4"/>
  <c r="BR86" i="4"/>
  <c r="BR111" i="4" s="1"/>
  <c r="CK71" i="4"/>
  <c r="CR62" i="4"/>
  <c r="P111" i="4"/>
  <c r="CK19" i="4"/>
  <c r="CR6" i="4"/>
  <c r="CS6" i="4"/>
  <c r="CR77" i="4"/>
  <c r="CS65" i="4"/>
  <c r="CS62" i="4"/>
  <c r="CR59" i="4"/>
  <c r="CQ102" i="4"/>
  <c r="CS102" i="4"/>
  <c r="AA58" i="4"/>
  <c r="AD111" i="4"/>
  <c r="CR72" i="4"/>
  <c r="AC111" i="4"/>
  <c r="T25" i="4"/>
  <c r="CQ25" i="4" s="1"/>
  <c r="S111" i="4"/>
  <c r="K46" i="4"/>
  <c r="CS46" i="4" s="1"/>
  <c r="CR32" i="4"/>
  <c r="CS32" i="4"/>
  <c r="CT32" i="4" s="1"/>
  <c r="Q111" i="4"/>
  <c r="G111" i="4"/>
  <c r="AQ79" i="4"/>
  <c r="CQ47" i="4" l="1"/>
  <c r="CS47" i="4"/>
  <c r="CR47" i="4"/>
  <c r="CR76" i="4"/>
  <c r="CQ76" i="4"/>
  <c r="CS76" i="4"/>
  <c r="CT76" i="4" s="1"/>
  <c r="BL68" i="4"/>
  <c r="BM68" i="4" s="1"/>
  <c r="BB4" i="4"/>
  <c r="BB111" i="4" s="1"/>
  <c r="CF16" i="4"/>
  <c r="CG16" i="4" s="1"/>
  <c r="CG111" i="4" s="1"/>
  <c r="CT59" i="4"/>
  <c r="CT45" i="4"/>
  <c r="CT60" i="4"/>
  <c r="CR25" i="4"/>
  <c r="CT25" i="4" s="1"/>
  <c r="CT40" i="4"/>
  <c r="CT100" i="4"/>
  <c r="CT9" i="4"/>
  <c r="CM99" i="4"/>
  <c r="CQ46" i="4"/>
  <c r="CT63" i="4"/>
  <c r="CS27" i="4"/>
  <c r="BA111" i="4"/>
  <c r="CT51" i="4"/>
  <c r="CT26" i="4"/>
  <c r="CT31" i="4"/>
  <c r="CT96" i="4"/>
  <c r="CT102" i="4"/>
  <c r="BM83" i="4"/>
  <c r="AM55" i="4"/>
  <c r="AN55" i="4" s="1"/>
  <c r="CR55" i="4" s="1"/>
  <c r="CT75" i="4"/>
  <c r="CT43" i="4"/>
  <c r="CT77" i="4"/>
  <c r="CT110" i="4"/>
  <c r="CT7" i="4"/>
  <c r="CT18" i="4"/>
  <c r="CT67" i="4"/>
  <c r="CR58" i="4"/>
  <c r="CS58" i="4"/>
  <c r="CT58" i="4" s="1"/>
  <c r="W111" i="4"/>
  <c r="CQ58" i="4"/>
  <c r="AH111" i="4"/>
  <c r="CT27" i="4"/>
  <c r="BF111" i="4"/>
  <c r="BG78" i="4"/>
  <c r="BH78" i="4"/>
  <c r="CT109" i="4"/>
  <c r="CQ27" i="4"/>
  <c r="V111" i="4"/>
  <c r="CT92" i="4"/>
  <c r="CT46" i="4"/>
  <c r="CL71" i="4"/>
  <c r="CM71" i="4"/>
  <c r="CS71" i="4" s="1"/>
  <c r="CT71" i="4" s="1"/>
  <c r="AH83" i="4"/>
  <c r="AI83" i="4" s="1"/>
  <c r="AI111" i="4" s="1"/>
  <c r="AG111" i="4"/>
  <c r="CT42" i="4"/>
  <c r="CQ55" i="4"/>
  <c r="CS55" i="4"/>
  <c r="CT55" i="4" s="1"/>
  <c r="CT72" i="4"/>
  <c r="CT70" i="4"/>
  <c r="CT62" i="4"/>
  <c r="CQ108" i="4"/>
  <c r="CR108" i="4"/>
  <c r="CS108" i="4"/>
  <c r="CT108" i="4" s="1"/>
  <c r="CS86" i="4"/>
  <c r="CT86" i="4" s="1"/>
  <c r="BV106" i="4"/>
  <c r="BV111" i="4" s="1"/>
  <c r="BW106" i="4"/>
  <c r="BU111" i="4"/>
  <c r="CT22" i="4"/>
  <c r="CQ64" i="4"/>
  <c r="CR64" i="4"/>
  <c r="CS64" i="4"/>
  <c r="CT64" i="4" s="1"/>
  <c r="CT8" i="4"/>
  <c r="CR86" i="4"/>
  <c r="BL49" i="4"/>
  <c r="BM49" i="4"/>
  <c r="BK111" i="4"/>
  <c r="CT35" i="4"/>
  <c r="CL19" i="4"/>
  <c r="CM19" i="4"/>
  <c r="CS19" i="4" s="1"/>
  <c r="CR71" i="4"/>
  <c r="AQ111" i="4"/>
  <c r="AR79" i="4"/>
  <c r="AR111" i="4" s="1"/>
  <c r="CT6" i="4"/>
  <c r="CT10" i="4"/>
  <c r="CT89" i="4"/>
  <c r="CS104" i="4"/>
  <c r="CQ104" i="4"/>
  <c r="CR104" i="4"/>
  <c r="CT57" i="4"/>
  <c r="CT101" i="4"/>
  <c r="AA111" i="4"/>
  <c r="CT54" i="4"/>
  <c r="CK111" i="4"/>
  <c r="CQ68" i="4" l="1"/>
  <c r="CS68" i="4"/>
  <c r="CR68" i="4"/>
  <c r="CQ71" i="4"/>
  <c r="CS99" i="4"/>
  <c r="CR99" i="4"/>
  <c r="CQ99" i="4"/>
  <c r="CL111" i="4"/>
  <c r="CM111" i="4"/>
  <c r="BC4" i="4"/>
  <c r="BL111" i="4"/>
  <c r="CF111" i="4"/>
  <c r="CT47" i="4"/>
  <c r="CQ19" i="4"/>
  <c r="BW111" i="4"/>
  <c r="CQ106" i="4"/>
  <c r="CR106" i="4"/>
  <c r="CS106" i="4"/>
  <c r="CT106" i="4" s="1"/>
  <c r="CQ78" i="4"/>
  <c r="CR78" i="4"/>
  <c r="CS78" i="4"/>
  <c r="CT104" i="4"/>
  <c r="CR19" i="4"/>
  <c r="CT19" i="4" s="1"/>
  <c r="BM111" i="4"/>
  <c r="CQ49" i="4"/>
  <c r="CR49" i="4"/>
  <c r="CS49" i="4"/>
  <c r="CT49" i="4" s="1"/>
  <c r="AS79" i="4"/>
  <c r="CT68" i="4"/>
  <c r="CQ83" i="4"/>
  <c r="CR83" i="4"/>
  <c r="CS83" i="4"/>
  <c r="CT83" i="4" s="1"/>
  <c r="CH16" i="4"/>
  <c r="CS4" i="4" l="1"/>
  <c r="CR4" i="4"/>
  <c r="BC111" i="4"/>
  <c r="CQ4" i="4"/>
  <c r="CT78" i="4"/>
  <c r="CT99" i="4"/>
  <c r="CH111" i="4"/>
  <c r="CQ16" i="4"/>
  <c r="CR16" i="4"/>
  <c r="CS16" i="4"/>
  <c r="AS111" i="4"/>
  <c r="CQ79" i="4"/>
  <c r="CS79" i="4"/>
  <c r="CR79" i="4"/>
  <c r="EB264" i="1"/>
  <c r="DW264" i="1" s="1"/>
  <c r="DX264" i="1" s="1"/>
  <c r="EA264" i="1"/>
  <c r="DZ355" i="1"/>
  <c r="DW355" i="1" s="1"/>
  <c r="DZ179" i="1"/>
  <c r="DW179" i="1" s="1"/>
  <c r="EB345" i="1"/>
  <c r="DW345" i="1" s="1"/>
  <c r="EA345" i="1"/>
  <c r="EB340" i="1"/>
  <c r="DW340" i="1" s="1"/>
  <c r="EA340" i="1"/>
  <c r="EB322" i="1"/>
  <c r="DW322" i="1" s="1"/>
  <c r="EA322" i="1"/>
  <c r="EB311" i="1"/>
  <c r="DW311" i="1" s="1"/>
  <c r="EA311" i="1"/>
  <c r="EB296" i="1"/>
  <c r="DW296" i="1" s="1"/>
  <c r="EA296" i="1"/>
  <c r="EB274" i="1"/>
  <c r="DW274" i="1" s="1"/>
  <c r="EA274" i="1"/>
  <c r="EB273" i="1"/>
  <c r="DW273" i="1" s="1"/>
  <c r="EA273" i="1"/>
  <c r="EB272" i="1"/>
  <c r="DW272" i="1" s="1"/>
  <c r="EA272" i="1"/>
  <c r="EB271" i="1"/>
  <c r="DW271" i="1" s="1"/>
  <c r="EA271" i="1"/>
  <c r="EB265" i="1"/>
  <c r="DW265" i="1" s="1"/>
  <c r="EA265" i="1"/>
  <c r="EB211" i="1"/>
  <c r="DW211" i="1" s="1"/>
  <c r="EA211" i="1"/>
  <c r="EB210" i="1"/>
  <c r="DW210" i="1" s="1"/>
  <c r="DX210" i="1" s="1"/>
  <c r="EA210" i="1"/>
  <c r="EA196" i="1"/>
  <c r="EB196" i="1"/>
  <c r="DW196" i="1" s="1"/>
  <c r="DX196" i="1" s="1"/>
  <c r="CT4" i="4" l="1"/>
  <c r="CT79" i="4"/>
  <c r="CT16" i="4"/>
  <c r="EB148" i="1"/>
  <c r="DW148" i="1" s="1"/>
  <c r="EA148" i="1"/>
  <c r="EB105" i="1"/>
  <c r="DW105" i="1" s="1"/>
  <c r="EA105" i="1"/>
  <c r="EB104" i="1"/>
  <c r="DW104" i="1" s="1"/>
  <c r="EA104" i="1"/>
  <c r="EB103" i="1"/>
  <c r="DW103" i="1" s="1"/>
  <c r="EA103" i="1"/>
  <c r="EB102" i="1"/>
  <c r="DW102" i="1" s="1"/>
  <c r="EA102" i="1"/>
  <c r="EB101" i="1"/>
  <c r="DW101" i="1" s="1"/>
  <c r="EA101" i="1"/>
  <c r="EB40" i="1"/>
  <c r="DW40" i="1" s="1"/>
  <c r="EA40" i="1"/>
  <c r="EB32" i="1"/>
  <c r="DW32" i="1" s="1"/>
  <c r="EA32" i="1"/>
  <c r="EA30" i="1"/>
  <c r="EA179" i="1" l="1"/>
  <c r="DX179" i="1" s="1"/>
  <c r="EB30" i="1"/>
  <c r="DW30" i="1" s="1"/>
  <c r="AP9" i="5"/>
  <c r="AO9" i="5"/>
  <c r="AN9" i="5"/>
  <c r="AM9" i="5"/>
  <c r="AK9" i="5"/>
  <c r="O9" i="5"/>
  <c r="M9" i="5"/>
  <c r="K9" i="5"/>
  <c r="I9" i="5"/>
  <c r="AP8" i="5"/>
  <c r="AO8" i="5"/>
  <c r="AN8" i="5"/>
  <c r="AM8" i="5"/>
  <c r="AK8" i="5"/>
  <c r="X8" i="5"/>
  <c r="U8" i="5"/>
  <c r="I8" i="5"/>
  <c r="AP7" i="5"/>
  <c r="AO7" i="5"/>
  <c r="AN7" i="5"/>
  <c r="AM7" i="5"/>
  <c r="AK7" i="5"/>
  <c r="I7" i="5"/>
  <c r="AP6" i="5"/>
  <c r="AO6" i="5"/>
  <c r="AN6" i="5"/>
  <c r="AM6" i="5"/>
  <c r="AK6" i="5"/>
  <c r="I6" i="5"/>
  <c r="AP5" i="5"/>
  <c r="AO5" i="5"/>
  <c r="AN5" i="5"/>
  <c r="O5" i="5"/>
  <c r="I5" i="5"/>
  <c r="AF4" i="5"/>
  <c r="AC4" i="5"/>
  <c r="AD4" i="5" s="1"/>
  <c r="Z4" i="5"/>
  <c r="AA4" i="5" s="1"/>
  <c r="I4" i="5"/>
  <c r="AP3" i="5"/>
  <c r="AO3" i="5"/>
  <c r="AN3" i="5"/>
  <c r="O3" i="5"/>
  <c r="M3" i="5"/>
  <c r="K3" i="5"/>
  <c r="I3" i="5"/>
  <c r="A5" i="5"/>
  <c r="A6" i="5" s="1"/>
  <c r="A7" i="5" s="1"/>
  <c r="A8" i="5" s="1"/>
  <c r="A9" i="5" s="1"/>
  <c r="AQ9" i="5" l="1"/>
  <c r="AR9" i="5" s="1"/>
  <c r="AS9" i="5" s="1"/>
  <c r="AQ6" i="5"/>
  <c r="AR6" i="5" s="1"/>
  <c r="AS6" i="5" s="1"/>
  <c r="AQ3" i="5"/>
  <c r="AR3" i="5" s="1"/>
  <c r="AS3" i="5" s="1"/>
  <c r="AP4" i="5"/>
  <c r="AG4" i="5"/>
  <c r="AQ8" i="5"/>
  <c r="AR8" i="5" s="1"/>
  <c r="AS8" i="5" s="1"/>
  <c r="AQ5" i="5"/>
  <c r="AR5" i="5" s="1"/>
  <c r="AS5" i="5" s="1"/>
  <c r="AN4" i="5"/>
  <c r="AQ7" i="5"/>
  <c r="AR7" i="5" s="1"/>
  <c r="AS7" i="5" s="1"/>
  <c r="AO4" i="5"/>
  <c r="AQ4" i="5" l="1"/>
  <c r="AR4" i="5" s="1"/>
  <c r="AS4" i="5" s="1"/>
  <c r="CW81" i="4"/>
  <c r="CX81" i="4" s="1"/>
  <c r="CW29" i="4"/>
  <c r="CX29" i="4" s="1"/>
  <c r="CW23" i="4"/>
  <c r="CX23" i="4" s="1"/>
  <c r="CW62" i="4" l="1"/>
  <c r="CX62" i="4" s="1"/>
  <c r="CW20" i="4"/>
  <c r="CX20" i="4" s="1"/>
  <c r="CW22" i="4"/>
  <c r="CX22" i="4" s="1"/>
  <c r="CW69" i="4"/>
  <c r="CX69" i="4" s="1"/>
  <c r="CW63" i="4"/>
  <c r="CX63" i="4" s="1"/>
  <c r="CW36" i="4"/>
  <c r="CX36" i="4" s="1"/>
  <c r="CW93" i="4"/>
  <c r="CX93" i="4" s="1"/>
  <c r="CW80" i="4"/>
  <c r="CX80" i="4" s="1"/>
  <c r="CW82" i="4"/>
  <c r="CX82" i="4" s="1"/>
  <c r="CW41" i="4"/>
  <c r="CX41" i="4" s="1"/>
  <c r="CW110" i="4"/>
  <c r="CX110" i="4" s="1"/>
  <c r="CW94" i="4"/>
  <c r="CX94" i="4" s="1"/>
  <c r="CW43" i="4"/>
  <c r="CX43" i="4" s="1"/>
  <c r="CW60" i="4"/>
  <c r="CX60" i="4" s="1"/>
  <c r="CW77" i="4"/>
  <c r="CX77" i="4" s="1"/>
  <c r="CW52" i="4"/>
  <c r="CX52" i="4" s="1"/>
  <c r="CW15" i="4"/>
  <c r="CX15" i="4" s="1"/>
  <c r="CW35" i="4"/>
  <c r="CX35" i="4" s="1"/>
  <c r="CW91" i="4"/>
  <c r="CX91" i="4" s="1"/>
  <c r="CW92" i="4"/>
  <c r="CX92" i="4" s="1"/>
  <c r="CW96" i="4"/>
  <c r="CX96" i="4" s="1"/>
  <c r="CW108" i="4"/>
  <c r="CX108" i="4" s="1"/>
  <c r="CW109" i="4"/>
  <c r="CX109" i="4" s="1"/>
  <c r="CW61" i="4"/>
  <c r="CX61" i="4" s="1"/>
  <c r="CW65" i="4"/>
  <c r="CX65" i="4" s="1"/>
  <c r="CW85" i="4"/>
  <c r="CX85" i="4" s="1"/>
  <c r="CW21" i="4"/>
  <c r="CX21" i="4" s="1"/>
  <c r="CW38" i="4"/>
  <c r="CX38" i="4" s="1"/>
  <c r="CW84" i="4" l="1"/>
  <c r="CX84" i="4" s="1"/>
  <c r="CW18" i="4"/>
  <c r="CX18" i="4" s="1"/>
  <c r="CW107" i="4"/>
  <c r="CX107" i="4" s="1"/>
  <c r="CW31" i="4"/>
  <c r="CX31" i="4" s="1"/>
  <c r="CW74" i="4"/>
  <c r="CX74" i="4" s="1"/>
  <c r="CW54" i="4"/>
  <c r="CX54" i="4" s="1"/>
  <c r="CW87" i="4"/>
  <c r="CX87" i="4" s="1"/>
  <c r="CW51" i="4"/>
  <c r="CX51" i="4" s="1"/>
  <c r="CW11" i="4"/>
  <c r="CX11" i="4" s="1"/>
  <c r="CW39" i="4"/>
  <c r="CX39" i="4" s="1"/>
  <c r="CW72" i="4"/>
  <c r="CX72" i="4" s="1"/>
  <c r="CW105" i="4"/>
  <c r="CX105" i="4" s="1"/>
  <c r="CW56" i="4"/>
  <c r="CX56" i="4" s="1"/>
  <c r="CW73" i="4"/>
  <c r="CX73" i="4" s="1"/>
  <c r="CW88" i="4"/>
  <c r="CX88" i="4" s="1"/>
  <c r="CW48" i="4"/>
  <c r="CX48" i="4" s="1"/>
  <c r="CW25" i="4"/>
  <c r="CX25" i="4" s="1"/>
  <c r="CW45" i="4"/>
  <c r="CX45" i="4" s="1"/>
  <c r="CW44" i="4"/>
  <c r="CX44" i="4" s="1"/>
  <c r="CW27" i="4"/>
  <c r="CX27" i="4" s="1"/>
  <c r="CW24" i="4"/>
  <c r="CX24" i="4" s="1"/>
  <c r="CW42" i="4"/>
  <c r="CX42" i="4" s="1"/>
  <c r="CW89" i="4"/>
  <c r="CX89" i="4" s="1"/>
  <c r="CW17" i="4"/>
  <c r="CX17" i="4" s="1"/>
  <c r="CW49" i="4"/>
  <c r="CX49" i="4" s="1"/>
  <c r="CW14" i="4"/>
  <c r="CX14" i="4" s="1"/>
  <c r="CW10" i="4"/>
  <c r="CX10" i="4" s="1"/>
  <c r="CW57" i="4"/>
  <c r="CX57" i="4" s="1"/>
  <c r="CW59" i="4"/>
  <c r="CX59" i="4" s="1"/>
  <c r="CW8" i="4"/>
  <c r="CX8" i="4" s="1"/>
  <c r="CW12" i="4"/>
  <c r="CX12" i="4" s="1"/>
  <c r="CW6" i="4"/>
  <c r="CX6" i="4" s="1"/>
  <c r="CW103" i="4"/>
  <c r="CX103" i="4" s="1"/>
  <c r="CW66" i="4"/>
  <c r="CX66" i="4" s="1"/>
  <c r="CW37" i="4"/>
  <c r="CX37" i="4" s="1"/>
  <c r="CW13" i="4"/>
  <c r="CX13" i="4" s="1"/>
  <c r="CW97" i="4"/>
  <c r="CX97" i="4" s="1"/>
  <c r="CW100" i="4"/>
  <c r="CX100" i="4" s="1"/>
  <c r="CW40" i="4"/>
  <c r="CX40" i="4" s="1"/>
  <c r="CW98" i="4"/>
  <c r="CX98" i="4" s="1"/>
  <c r="CW9" i="4"/>
  <c r="CX9" i="4" s="1"/>
  <c r="CW5" i="4"/>
  <c r="CX5" i="4" s="1"/>
  <c r="CW95" i="4"/>
  <c r="CX95" i="4" s="1"/>
  <c r="CW33" i="4"/>
  <c r="CX33" i="4" s="1"/>
  <c r="CW32" i="4"/>
  <c r="CX32" i="4" s="1"/>
  <c r="CW53" i="4"/>
  <c r="CX53" i="4" s="1"/>
  <c r="CW30" i="4"/>
  <c r="CX30" i="4" s="1"/>
  <c r="CW50" i="4"/>
  <c r="CX50" i="4" s="1"/>
  <c r="CW28" i="4"/>
  <c r="CX28" i="4" s="1"/>
  <c r="CW90" i="4"/>
  <c r="CX90" i="4" s="1"/>
  <c r="CW75" i="4"/>
  <c r="CX75" i="4" s="1"/>
  <c r="CW86" i="4"/>
  <c r="CX86" i="4" s="1"/>
  <c r="CW46" i="4"/>
  <c r="CX46" i="4" s="1"/>
  <c r="CW34" i="4"/>
  <c r="CX34" i="4" s="1"/>
  <c r="CW101" i="4"/>
  <c r="CX101" i="4" s="1"/>
  <c r="CW7" i="4" l="1"/>
  <c r="CX7" i="4" s="1"/>
  <c r="CW79" i="4"/>
  <c r="CX79" i="4" s="1"/>
  <c r="CW71" i="4"/>
  <c r="CX71" i="4" s="1"/>
  <c r="CW19" i="4"/>
  <c r="CX19" i="4" s="1"/>
  <c r="CW55" i="4"/>
  <c r="CX55" i="4" s="1"/>
  <c r="CW67" i="4"/>
  <c r="CX67" i="4" s="1"/>
  <c r="CW64" i="4"/>
  <c r="CX64" i="4" s="1"/>
  <c r="CW106" i="4"/>
  <c r="CX106" i="4" s="1"/>
  <c r="CW47" i="4"/>
  <c r="CX47" i="4" s="1"/>
  <c r="CW102" i="4"/>
  <c r="CX102" i="4" s="1"/>
  <c r="CW68" i="4" l="1"/>
  <c r="CX68" i="4" s="1"/>
  <c r="CW58" i="4"/>
  <c r="CX58" i="4" s="1"/>
  <c r="CW78" i="4"/>
  <c r="CX78" i="4" s="1"/>
  <c r="CW26" i="4"/>
  <c r="CX26" i="4" s="1"/>
  <c r="CW70" i="4"/>
  <c r="CX70" i="4" s="1"/>
  <c r="CW4" i="4"/>
  <c r="CX4" i="4" s="1"/>
  <c r="CW99" i="4"/>
  <c r="CX99" i="4" s="1"/>
  <c r="CW83" i="4"/>
  <c r="CX83" i="4" s="1"/>
  <c r="CW104" i="4"/>
  <c r="CX104" i="4" s="1"/>
  <c r="CW76" i="4" l="1"/>
  <c r="CX76" i="4" s="1"/>
  <c r="CW16" i="4" l="1"/>
  <c r="CX16" i="4" s="1"/>
  <c r="CX111" i="4" s="1"/>
  <c r="CW111" i="4" l="1"/>
  <c r="Y138" i="2" l="1"/>
  <c r="FH137" i="2"/>
  <c r="FI137" i="2" s="1"/>
  <c r="FJ137" i="2" s="1"/>
  <c r="FK137" i="2" s="1"/>
  <c r="FG137" i="2"/>
  <c r="FF137" i="2"/>
  <c r="FE137" i="2"/>
  <c r="FC137" i="2"/>
  <c r="FH136" i="2"/>
  <c r="FI136" i="2" s="1"/>
  <c r="FJ136" i="2" s="1"/>
  <c r="FK136" i="2" s="1"/>
  <c r="FG136" i="2"/>
  <c r="FF136" i="2"/>
  <c r="FE136" i="2"/>
  <c r="FC136" i="2"/>
  <c r="FH135" i="2"/>
  <c r="FG135" i="2"/>
  <c r="FF135" i="2"/>
  <c r="FE135" i="2"/>
  <c r="FC135" i="2"/>
  <c r="FH134" i="2"/>
  <c r="FI134" i="2" s="1"/>
  <c r="FJ134" i="2" s="1"/>
  <c r="FK134" i="2" s="1"/>
  <c r="FG134" i="2"/>
  <c r="FF134" i="2"/>
  <c r="FE134" i="2"/>
  <c r="FC134" i="2"/>
  <c r="FI133" i="2"/>
  <c r="FJ133" i="2" s="1"/>
  <c r="FK133" i="2" s="1"/>
  <c r="FH133" i="2"/>
  <c r="FG133" i="2"/>
  <c r="FF133" i="2"/>
  <c r="FE133" i="2"/>
  <c r="FC133" i="2"/>
  <c r="FH132" i="2"/>
  <c r="FG132" i="2"/>
  <c r="FF132" i="2"/>
  <c r="FE132" i="2"/>
  <c r="FC132" i="2"/>
  <c r="FH131" i="2"/>
  <c r="FI131" i="2" s="1"/>
  <c r="FJ131" i="2" s="1"/>
  <c r="FK131" i="2" s="1"/>
  <c r="FG131" i="2"/>
  <c r="FF131" i="2"/>
  <c r="FE131" i="2"/>
  <c r="FC131" i="2"/>
  <c r="FH130" i="2"/>
  <c r="FI130" i="2" s="1"/>
  <c r="FJ130" i="2" s="1"/>
  <c r="FK130" i="2" s="1"/>
  <c r="FG130" i="2"/>
  <c r="FF130" i="2"/>
  <c r="FE130" i="2"/>
  <c r="FC130" i="2"/>
  <c r="FH129" i="2"/>
  <c r="FG129" i="2"/>
  <c r="FF129" i="2"/>
  <c r="FE129" i="2"/>
  <c r="FC129" i="2"/>
  <c r="FI128" i="2"/>
  <c r="FJ128" i="2" s="1"/>
  <c r="FK128" i="2" s="1"/>
  <c r="FH128" i="2"/>
  <c r="FG128" i="2"/>
  <c r="FF128" i="2"/>
  <c r="FA128" i="2"/>
  <c r="EY128" i="2"/>
  <c r="EW128" i="2"/>
  <c r="FH127" i="2"/>
  <c r="FG127" i="2"/>
  <c r="FF127" i="2"/>
  <c r="EU127" i="2"/>
  <c r="ES127" i="2"/>
  <c r="EQ127" i="2"/>
  <c r="FH126" i="2"/>
  <c r="FG126" i="2"/>
  <c r="FF126" i="2"/>
  <c r="EE126" i="2"/>
  <c r="CS126" i="2"/>
  <c r="FH125" i="2"/>
  <c r="FG125" i="2"/>
  <c r="FF125" i="2"/>
  <c r="DY125" i="2"/>
  <c r="CS125" i="2"/>
  <c r="FH124" i="2"/>
  <c r="FG124" i="2"/>
  <c r="FF124" i="2"/>
  <c r="DS124" i="2"/>
  <c r="DQ124" i="2"/>
  <c r="FH123" i="2"/>
  <c r="FG123" i="2"/>
  <c r="FF123" i="2"/>
  <c r="DY123" i="2"/>
  <c r="CS123" i="2"/>
  <c r="FH122" i="2"/>
  <c r="FG122" i="2"/>
  <c r="FF122" i="2"/>
  <c r="EC122" i="2"/>
  <c r="DY122" i="2"/>
  <c r="DS122" i="2"/>
  <c r="DQ122" i="2"/>
  <c r="FH121" i="2"/>
  <c r="FI121" i="2" s="1"/>
  <c r="FJ121" i="2" s="1"/>
  <c r="FK121" i="2" s="1"/>
  <c r="FG121" i="2"/>
  <c r="FF121" i="2"/>
  <c r="DW121" i="2"/>
  <c r="DU121" i="2"/>
  <c r="FH120" i="2"/>
  <c r="FG120" i="2"/>
  <c r="FI120" i="2" s="1"/>
  <c r="FJ120" i="2" s="1"/>
  <c r="FK120" i="2" s="1"/>
  <c r="FF120" i="2"/>
  <c r="EA120" i="2"/>
  <c r="DY120" i="2"/>
  <c r="FH119" i="2"/>
  <c r="FG119" i="2"/>
  <c r="FF119" i="2"/>
  <c r="EA119" i="2"/>
  <c r="DY119" i="2"/>
  <c r="FH118" i="2"/>
  <c r="FI118" i="2" s="1"/>
  <c r="FJ118" i="2" s="1"/>
  <c r="FK118" i="2" s="1"/>
  <c r="FG118" i="2"/>
  <c r="FF118" i="2"/>
  <c r="EA118" i="2"/>
  <c r="DY118" i="2"/>
  <c r="FH117" i="2"/>
  <c r="FI117" i="2" s="1"/>
  <c r="FJ117" i="2" s="1"/>
  <c r="FK117" i="2" s="1"/>
  <c r="FG117" i="2"/>
  <c r="FF117" i="2"/>
  <c r="EA117" i="2"/>
  <c r="DY117" i="2"/>
  <c r="FH116" i="2"/>
  <c r="FG116" i="2"/>
  <c r="FF116" i="2"/>
  <c r="BO116" i="2"/>
  <c r="AE116" i="2"/>
  <c r="S116" i="2"/>
  <c r="FH115" i="2"/>
  <c r="FG115" i="2"/>
  <c r="FI115" i="2" s="1"/>
  <c r="FJ115" i="2" s="1"/>
  <c r="FK115" i="2" s="1"/>
  <c r="FF115" i="2"/>
  <c r="DG115" i="2"/>
  <c r="DA115" i="2"/>
  <c r="AE115" i="2"/>
  <c r="AA115" i="2"/>
  <c r="FH114" i="2"/>
  <c r="FI114" i="2" s="1"/>
  <c r="FJ114" i="2" s="1"/>
  <c r="FK114" i="2" s="1"/>
  <c r="FG114" i="2"/>
  <c r="FF114" i="2"/>
  <c r="AE114" i="2"/>
  <c r="AC114" i="2"/>
  <c r="M114" i="2"/>
  <c r="FH113" i="2"/>
  <c r="FI113" i="2" s="1"/>
  <c r="FJ113" i="2" s="1"/>
  <c r="FK113" i="2" s="1"/>
  <c r="FG113" i="2"/>
  <c r="FF113" i="2"/>
  <c r="DW113" i="2"/>
  <c r="DU113" i="2"/>
  <c r="AE113" i="2"/>
  <c r="AA113" i="2"/>
  <c r="S113" i="2"/>
  <c r="BI112" i="2"/>
  <c r="AY112" i="2"/>
  <c r="AE112" i="2"/>
  <c r="Z112" i="2"/>
  <c r="FG112" i="2" s="1"/>
  <c r="S112" i="2"/>
  <c r="FH111" i="2"/>
  <c r="FG111" i="2"/>
  <c r="FF111" i="2"/>
  <c r="AE111" i="2"/>
  <c r="AC111" i="2"/>
  <c r="FH110" i="2"/>
  <c r="FG110" i="2"/>
  <c r="FF110" i="2"/>
  <c r="AE110" i="2"/>
  <c r="FH109" i="2"/>
  <c r="FG109" i="2"/>
  <c r="FF109" i="2"/>
  <c r="AE109" i="2"/>
  <c r="AA109" i="2"/>
  <c r="M109" i="2"/>
  <c r="FH108" i="2"/>
  <c r="FI108" i="2" s="1"/>
  <c r="FJ108" i="2" s="1"/>
  <c r="FK108" i="2" s="1"/>
  <c r="FG108" i="2"/>
  <c r="FF108" i="2"/>
  <c r="AE108" i="2"/>
  <c r="AC108" i="2"/>
  <c r="AA108" i="2"/>
  <c r="FH107" i="2"/>
  <c r="FG107" i="2"/>
  <c r="FF107" i="2"/>
  <c r="AE107" i="2"/>
  <c r="FH106" i="2"/>
  <c r="FI106" i="2" s="1"/>
  <c r="FJ106" i="2" s="1"/>
  <c r="FK106" i="2" s="1"/>
  <c r="FG106" i="2"/>
  <c r="FF106" i="2"/>
  <c r="AE106" i="2"/>
  <c r="FH105" i="2"/>
  <c r="FI105" i="2" s="1"/>
  <c r="FJ105" i="2" s="1"/>
  <c r="FK105" i="2" s="1"/>
  <c r="FG105" i="2"/>
  <c r="FF105" i="2"/>
  <c r="AE105" i="2"/>
  <c r="FH104" i="2"/>
  <c r="FG104" i="2"/>
  <c r="FI104" i="2" s="1"/>
  <c r="FJ104" i="2" s="1"/>
  <c r="FK104" i="2" s="1"/>
  <c r="FF104" i="2"/>
  <c r="AE104" i="2"/>
  <c r="AC104" i="2"/>
  <c r="FH103" i="2"/>
  <c r="FG103" i="2"/>
  <c r="FF103" i="2"/>
  <c r="AE103" i="2"/>
  <c r="AC103" i="2"/>
  <c r="AA103" i="2"/>
  <c r="FH102" i="2"/>
  <c r="FG102" i="2"/>
  <c r="FF102" i="2"/>
  <c r="CS102" i="2"/>
  <c r="AE102" i="2"/>
  <c r="AA102" i="2"/>
  <c r="K102" i="2"/>
  <c r="FH101" i="2"/>
  <c r="FI101" i="2" s="1"/>
  <c r="FJ101" i="2" s="1"/>
  <c r="FK101" i="2" s="1"/>
  <c r="FG101" i="2"/>
  <c r="FF101" i="2"/>
  <c r="EG101" i="2"/>
  <c r="CS101" i="2"/>
  <c r="AE101" i="2"/>
  <c r="FH100" i="2"/>
  <c r="FG100" i="2"/>
  <c r="FF100" i="2"/>
  <c r="AE100" i="2"/>
  <c r="FI99" i="2"/>
  <c r="FJ99" i="2" s="1"/>
  <c r="FK99" i="2" s="1"/>
  <c r="FH99" i="2"/>
  <c r="FG99" i="2"/>
  <c r="FF99" i="2"/>
  <c r="CS99" i="2"/>
  <c r="AE99" i="2"/>
  <c r="FH98" i="2"/>
  <c r="FI98" i="2" s="1"/>
  <c r="FJ98" i="2" s="1"/>
  <c r="FK98" i="2" s="1"/>
  <c r="FG98" i="2"/>
  <c r="FF98" i="2"/>
  <c r="AE98" i="2"/>
  <c r="K98" i="2"/>
  <c r="I98" i="2"/>
  <c r="FH97" i="2"/>
  <c r="FI97" i="2" s="1"/>
  <c r="FJ97" i="2" s="1"/>
  <c r="FK97" i="2" s="1"/>
  <c r="FG97" i="2"/>
  <c r="FF97" i="2"/>
  <c r="AE97" i="2"/>
  <c r="K97" i="2"/>
  <c r="FH96" i="2"/>
  <c r="FG96" i="2"/>
  <c r="FF96" i="2"/>
  <c r="AE96" i="2"/>
  <c r="K96" i="2"/>
  <c r="FH95" i="2"/>
  <c r="FG95" i="2"/>
  <c r="FI95" i="2" s="1"/>
  <c r="FJ95" i="2" s="1"/>
  <c r="FK95" i="2" s="1"/>
  <c r="FF95" i="2"/>
  <c r="AE95" i="2"/>
  <c r="K95" i="2"/>
  <c r="FH94" i="2"/>
  <c r="FG94" i="2"/>
  <c r="FF94" i="2"/>
  <c r="CS94" i="2"/>
  <c r="AE94" i="2"/>
  <c r="K94" i="2"/>
  <c r="FH93" i="2"/>
  <c r="FG93" i="2"/>
  <c r="FF93" i="2"/>
  <c r="CS93" i="2"/>
  <c r="AE93" i="2"/>
  <c r="K93" i="2"/>
  <c r="FH92" i="2"/>
  <c r="FG92" i="2"/>
  <c r="FF92" i="2"/>
  <c r="CS92" i="2"/>
  <c r="BW92" i="2"/>
  <c r="AE92" i="2"/>
  <c r="K92" i="2"/>
  <c r="FH91" i="2"/>
  <c r="FG91" i="2"/>
  <c r="FI91" i="2" s="1"/>
  <c r="FF91" i="2"/>
  <c r="AE91" i="2"/>
  <c r="K91" i="2"/>
  <c r="FH90" i="2"/>
  <c r="FG90" i="2"/>
  <c r="FF90" i="2"/>
  <c r="CS90" i="2"/>
  <c r="AE90" i="2"/>
  <c r="M90" i="2"/>
  <c r="FH89" i="2"/>
  <c r="FG89" i="2"/>
  <c r="FF89" i="2"/>
  <c r="AE89" i="2"/>
  <c r="M89" i="2"/>
  <c r="FH88" i="2"/>
  <c r="FI88" i="2" s="1"/>
  <c r="FJ88" i="2" s="1"/>
  <c r="FK88" i="2" s="1"/>
  <c r="FG88" i="2"/>
  <c r="FF88" i="2"/>
  <c r="AE88" i="2"/>
  <c r="M88" i="2"/>
  <c r="FH87" i="2"/>
  <c r="FG87" i="2"/>
  <c r="FF87" i="2"/>
  <c r="CS87" i="2"/>
  <c r="AE87" i="2"/>
  <c r="M87" i="2"/>
  <c r="FH86" i="2"/>
  <c r="FG86" i="2"/>
  <c r="FF86" i="2"/>
  <c r="AE86" i="2"/>
  <c r="M86" i="2"/>
  <c r="FH85" i="2"/>
  <c r="FI85" i="2" s="1"/>
  <c r="FJ85" i="2" s="1"/>
  <c r="FK85" i="2" s="1"/>
  <c r="FG85" i="2"/>
  <c r="FF85" i="2"/>
  <c r="DG85" i="2"/>
  <c r="DA85" i="2"/>
  <c r="M85" i="2"/>
  <c r="FH84" i="2"/>
  <c r="FI84" i="2" s="1"/>
  <c r="FJ84" i="2" s="1"/>
  <c r="FK84" i="2" s="1"/>
  <c r="FG84" i="2"/>
  <c r="FF84" i="2"/>
  <c r="DG84" i="2"/>
  <c r="DA84" i="2"/>
  <c r="CU84" i="2"/>
  <c r="M84" i="2"/>
  <c r="FH83" i="2"/>
  <c r="FG83" i="2"/>
  <c r="FF83" i="2"/>
  <c r="DG83" i="2"/>
  <c r="DA83" i="2"/>
  <c r="CU83" i="2"/>
  <c r="M83" i="2"/>
  <c r="FI82" i="2"/>
  <c r="FJ82" i="2" s="1"/>
  <c r="FK82" i="2" s="1"/>
  <c r="FH82" i="2"/>
  <c r="FG82" i="2"/>
  <c r="FF82" i="2"/>
  <c r="AE82" i="2"/>
  <c r="M82" i="2"/>
  <c r="FH81" i="2"/>
  <c r="FI81" i="2" s="1"/>
  <c r="FJ81" i="2" s="1"/>
  <c r="FK81" i="2" s="1"/>
  <c r="FG81" i="2"/>
  <c r="FF81" i="2"/>
  <c r="CS81" i="2"/>
  <c r="AE81" i="2"/>
  <c r="M81" i="2"/>
  <c r="FH80" i="2"/>
  <c r="FG80" i="2"/>
  <c r="FI80" i="2" s="1"/>
  <c r="FJ80" i="2" s="1"/>
  <c r="FK80" i="2" s="1"/>
  <c r="FF80" i="2"/>
  <c r="CS80" i="2"/>
  <c r="AE80" i="2"/>
  <c r="M80" i="2"/>
  <c r="FH79" i="2"/>
  <c r="FG79" i="2"/>
  <c r="FF79" i="2"/>
  <c r="CW79" i="2"/>
  <c r="CS79" i="2"/>
  <c r="AE79" i="2"/>
  <c r="FH78" i="2"/>
  <c r="FG78" i="2"/>
  <c r="FF78" i="2"/>
  <c r="CS78" i="2"/>
  <c r="AE78" i="2"/>
  <c r="FH77" i="2"/>
  <c r="FG77" i="2"/>
  <c r="FF77" i="2"/>
  <c r="CS77" i="2"/>
  <c r="AE77" i="2"/>
  <c r="FH76" i="2"/>
  <c r="FG76" i="2"/>
  <c r="FF76" i="2"/>
  <c r="CS76" i="2"/>
  <c r="AE76" i="2"/>
  <c r="M76" i="2"/>
  <c r="FH75" i="2"/>
  <c r="FI75" i="2" s="1"/>
  <c r="FJ75" i="2" s="1"/>
  <c r="FK75" i="2" s="1"/>
  <c r="FG75" i="2"/>
  <c r="FF75" i="2"/>
  <c r="CS75" i="2"/>
  <c r="AE75" i="2"/>
  <c r="M75" i="2"/>
  <c r="FH74" i="2"/>
  <c r="FI74" i="2" s="1"/>
  <c r="FJ74" i="2" s="1"/>
  <c r="FK74" i="2" s="1"/>
  <c r="FG74" i="2"/>
  <c r="FF74" i="2"/>
  <c r="CS74" i="2"/>
  <c r="AE74" i="2"/>
  <c r="M74" i="2"/>
  <c r="FH73" i="2"/>
  <c r="FG73" i="2"/>
  <c r="FF73" i="2"/>
  <c r="CS73" i="2"/>
  <c r="AE73" i="2"/>
  <c r="M73" i="2"/>
  <c r="FH72" i="2"/>
  <c r="FI72" i="2" s="1"/>
  <c r="FJ72" i="2" s="1"/>
  <c r="FK72" i="2" s="1"/>
  <c r="FG72" i="2"/>
  <c r="FF72" i="2"/>
  <c r="CS72" i="2"/>
  <c r="AE72" i="2"/>
  <c r="M72" i="2"/>
  <c r="FH71" i="2"/>
  <c r="FI71" i="2" s="1"/>
  <c r="FJ71" i="2" s="1"/>
  <c r="FK71" i="2" s="1"/>
  <c r="FG71" i="2"/>
  <c r="FF71" i="2"/>
  <c r="FH70" i="2"/>
  <c r="FI70" i="2" s="1"/>
  <c r="FJ70" i="2" s="1"/>
  <c r="FK70" i="2" s="1"/>
  <c r="FG70" i="2"/>
  <c r="FF70" i="2"/>
  <c r="DE70" i="2"/>
  <c r="AE70" i="2"/>
  <c r="FH69" i="2"/>
  <c r="FG69" i="2"/>
  <c r="FF69" i="2"/>
  <c r="DO69" i="2"/>
  <c r="AE69" i="2"/>
  <c r="FH68" i="2"/>
  <c r="FG68" i="2"/>
  <c r="FF68" i="2"/>
  <c r="CS68" i="2"/>
  <c r="AE68" i="2"/>
  <c r="FH67" i="2"/>
  <c r="FG67" i="2"/>
  <c r="FF67" i="2"/>
  <c r="EK67" i="2"/>
  <c r="AE67" i="2"/>
  <c r="FH66" i="2"/>
  <c r="FG66" i="2"/>
  <c r="FF66" i="2"/>
  <c r="CS66" i="2"/>
  <c r="AE66" i="2"/>
  <c r="FH65" i="2"/>
  <c r="FG65" i="2"/>
  <c r="FF65" i="2"/>
  <c r="AE65" i="2"/>
  <c r="FH64" i="2"/>
  <c r="FG64" i="2"/>
  <c r="FI64" i="2" s="1"/>
  <c r="FJ64" i="2" s="1"/>
  <c r="FK64" i="2" s="1"/>
  <c r="FF64" i="2"/>
  <c r="CS64" i="2"/>
  <c r="AE64" i="2"/>
  <c r="FH63" i="2"/>
  <c r="FI63" i="2" s="1"/>
  <c r="FJ63" i="2" s="1"/>
  <c r="FK63" i="2" s="1"/>
  <c r="FG63" i="2"/>
  <c r="FF63" i="2"/>
  <c r="AE63" i="2"/>
  <c r="FI62" i="2"/>
  <c r="FJ62" i="2" s="1"/>
  <c r="FK62" i="2" s="1"/>
  <c r="FH62" i="2"/>
  <c r="FG62" i="2"/>
  <c r="FF62" i="2"/>
  <c r="CS62" i="2"/>
  <c r="AE62" i="2"/>
  <c r="FH61" i="2"/>
  <c r="FG61" i="2"/>
  <c r="FF61" i="2"/>
  <c r="DM61" i="2"/>
  <c r="DK61" i="2"/>
  <c r="AE61" i="2"/>
  <c r="FH60" i="2"/>
  <c r="FI60" i="2" s="1"/>
  <c r="FJ60" i="2" s="1"/>
  <c r="FK60" i="2" s="1"/>
  <c r="FG60" i="2"/>
  <c r="FF60" i="2"/>
  <c r="CS60" i="2"/>
  <c r="AE60" i="2"/>
  <c r="FH59" i="2"/>
  <c r="FG59" i="2"/>
  <c r="FF59" i="2"/>
  <c r="CE59" i="2"/>
  <c r="CC59" i="2"/>
  <c r="AE59" i="2"/>
  <c r="FH58" i="2"/>
  <c r="FG58" i="2"/>
  <c r="FF58" i="2"/>
  <c r="EG58" i="2"/>
  <c r="CE58" i="2"/>
  <c r="CC58" i="2"/>
  <c r="AE58" i="2"/>
  <c r="FH57" i="2"/>
  <c r="FG57" i="2"/>
  <c r="FF57" i="2"/>
  <c r="CE57" i="2"/>
  <c r="CC57" i="2"/>
  <c r="AE57" i="2"/>
  <c r="FH56" i="2"/>
  <c r="FI56" i="2" s="1"/>
  <c r="FJ56" i="2" s="1"/>
  <c r="FK56" i="2" s="1"/>
  <c r="FG56" i="2"/>
  <c r="FF56" i="2"/>
  <c r="CS56" i="2"/>
  <c r="AE56" i="2"/>
  <c r="FH55" i="2"/>
  <c r="FG55" i="2"/>
  <c r="FF55" i="2"/>
  <c r="AE55" i="2"/>
  <c r="FH54" i="2"/>
  <c r="FG54" i="2"/>
  <c r="FF54" i="2"/>
  <c r="AE54" i="2"/>
  <c r="FH53" i="2"/>
  <c r="FG53" i="2"/>
  <c r="FF53" i="2"/>
  <c r="AE53" i="2"/>
  <c r="FH52" i="2"/>
  <c r="FG52" i="2"/>
  <c r="FF52" i="2"/>
  <c r="AE52" i="2"/>
  <c r="FH51" i="2"/>
  <c r="FG51" i="2"/>
  <c r="FF51" i="2"/>
  <c r="EG51" i="2"/>
  <c r="CE51" i="2"/>
  <c r="CC51" i="2"/>
  <c r="AE51" i="2"/>
  <c r="FH50" i="2"/>
  <c r="FG50" i="2"/>
  <c r="FF50" i="2"/>
  <c r="AG50" i="2"/>
  <c r="AE50" i="2"/>
  <c r="U50" i="2"/>
  <c r="FI49" i="2"/>
  <c r="FJ49" i="2" s="1"/>
  <c r="FK49" i="2" s="1"/>
  <c r="FH49" i="2"/>
  <c r="FG49" i="2"/>
  <c r="FF49" i="2"/>
  <c r="AG49" i="2"/>
  <c r="AE49" i="2"/>
  <c r="U49" i="2"/>
  <c r="AP48" i="2"/>
  <c r="FH48" i="2" s="1"/>
  <c r="AG48" i="2"/>
  <c r="AE48" i="2"/>
  <c r="U48" i="2"/>
  <c r="FH47" i="2"/>
  <c r="FG47" i="2"/>
  <c r="FF47" i="2"/>
  <c r="AG47" i="2"/>
  <c r="AE47" i="2"/>
  <c r="U47" i="2"/>
  <c r="FH46" i="2"/>
  <c r="FI46" i="2" s="1"/>
  <c r="FJ46" i="2" s="1"/>
  <c r="FK46" i="2" s="1"/>
  <c r="FG46" i="2"/>
  <c r="FF46" i="2"/>
  <c r="AG46" i="2"/>
  <c r="AE46" i="2"/>
  <c r="U46" i="2"/>
  <c r="FH45" i="2"/>
  <c r="FI45" i="2" s="1"/>
  <c r="FJ45" i="2" s="1"/>
  <c r="FK45" i="2" s="1"/>
  <c r="FG45" i="2"/>
  <c r="FF45" i="2"/>
  <c r="AG45" i="2"/>
  <c r="AE45" i="2"/>
  <c r="U45" i="2"/>
  <c r="FH44" i="2"/>
  <c r="FI44" i="2" s="1"/>
  <c r="FJ44" i="2" s="1"/>
  <c r="FK44" i="2" s="1"/>
  <c r="FG44" i="2"/>
  <c r="FF44" i="2"/>
  <c r="AG44" i="2"/>
  <c r="AE44" i="2"/>
  <c r="U44" i="2"/>
  <c r="FH43" i="2"/>
  <c r="FI43" i="2" s="1"/>
  <c r="FG43" i="2"/>
  <c r="FF43" i="2"/>
  <c r="AG43" i="2"/>
  <c r="AE43" i="2"/>
  <c r="U43" i="2"/>
  <c r="FI42" i="2"/>
  <c r="FJ42" i="2" s="1"/>
  <c r="FK42" i="2" s="1"/>
  <c r="FH42" i="2"/>
  <c r="FG42" i="2"/>
  <c r="FF42" i="2"/>
  <c r="AG42" i="2"/>
  <c r="AE42" i="2"/>
  <c r="U42" i="2"/>
  <c r="FH41" i="2"/>
  <c r="FG41" i="2"/>
  <c r="FF41" i="2"/>
  <c r="AG41" i="2"/>
  <c r="AE41" i="2"/>
  <c r="U41" i="2"/>
  <c r="FH40" i="2"/>
  <c r="FG40" i="2"/>
  <c r="FF40" i="2"/>
  <c r="EO40" i="2"/>
  <c r="EM40" i="2"/>
  <c r="FH39" i="2"/>
  <c r="FI39" i="2" s="1"/>
  <c r="FJ39" i="2" s="1"/>
  <c r="FK39" i="2" s="1"/>
  <c r="FG39" i="2"/>
  <c r="FF39" i="2"/>
  <c r="CW39" i="2"/>
  <c r="CU39" i="2"/>
  <c r="AE39" i="2"/>
  <c r="M39" i="2"/>
  <c r="L39" i="2"/>
  <c r="FH38" i="2"/>
  <c r="FI38" i="2" s="1"/>
  <c r="FJ38" i="2" s="1"/>
  <c r="FK38" i="2" s="1"/>
  <c r="FG38" i="2"/>
  <c r="FF38" i="2"/>
  <c r="BQ38" i="2"/>
  <c r="W38" i="2"/>
  <c r="FH37" i="2"/>
  <c r="FG37" i="2"/>
  <c r="FF37" i="2"/>
  <c r="CM37" i="2"/>
  <c r="CI37" i="2"/>
  <c r="BM37" i="2"/>
  <c r="BK37" i="2"/>
  <c r="BI37" i="2"/>
  <c r="AE37" i="2"/>
  <c r="FH36" i="2"/>
  <c r="FI36" i="2" s="1"/>
  <c r="FJ36" i="2" s="1"/>
  <c r="FK36" i="2" s="1"/>
  <c r="FG36" i="2"/>
  <c r="FF36" i="2"/>
  <c r="CQ36" i="2"/>
  <c r="CK36" i="2"/>
  <c r="BI36" i="2"/>
  <c r="FH35" i="2"/>
  <c r="FG35" i="2"/>
  <c r="FF35" i="2"/>
  <c r="CO35" i="2"/>
  <c r="CA35" i="2"/>
  <c r="BI35" i="2"/>
  <c r="AE35" i="2"/>
  <c r="FH34" i="2"/>
  <c r="FG34" i="2"/>
  <c r="FF34" i="2"/>
  <c r="CG34" i="2"/>
  <c r="BY34" i="2"/>
  <c r="AE34" i="2"/>
  <c r="FH33" i="2"/>
  <c r="FG33" i="2"/>
  <c r="FF33" i="2"/>
  <c r="DE33" i="2"/>
  <c r="DC33" i="2"/>
  <c r="DA33" i="2"/>
  <c r="FH32" i="2"/>
  <c r="FG32" i="2"/>
  <c r="FF32" i="2"/>
  <c r="CE32" i="2"/>
  <c r="CC32" i="2"/>
  <c r="AE32" i="2"/>
  <c r="FH31" i="2"/>
  <c r="FG31" i="2"/>
  <c r="FF31" i="2"/>
  <c r="EK31" i="2"/>
  <c r="CS31" i="2"/>
  <c r="AE31" i="2"/>
  <c r="G31" i="2"/>
  <c r="FH30" i="2"/>
  <c r="FI30" i="2" s="1"/>
  <c r="FJ30" i="2" s="1"/>
  <c r="FK30" i="2" s="1"/>
  <c r="FG30" i="2"/>
  <c r="FF30" i="2"/>
  <c r="EK30" i="2"/>
  <c r="AK30" i="2"/>
  <c r="AE30" i="2"/>
  <c r="Y30" i="2"/>
  <c r="W30" i="2"/>
  <c r="FH29" i="2"/>
  <c r="FI29" i="2" s="1"/>
  <c r="FJ29" i="2" s="1"/>
  <c r="FK29" i="2" s="1"/>
  <c r="FG29" i="2"/>
  <c r="FF29" i="2"/>
  <c r="EK29" i="2"/>
  <c r="BU29" i="2"/>
  <c r="AO29" i="2"/>
  <c r="AM29" i="2"/>
  <c r="AK29" i="2"/>
  <c r="AE29" i="2"/>
  <c r="Y29" i="2"/>
  <c r="W29" i="2"/>
  <c r="FG28" i="2"/>
  <c r="EK28" i="2"/>
  <c r="AE28" i="2"/>
  <c r="X28" i="2"/>
  <c r="Y28" i="2" s="1"/>
  <c r="V28" i="2"/>
  <c r="FH27" i="2"/>
  <c r="FG27" i="2"/>
  <c r="FF27" i="2"/>
  <c r="EK27" i="2"/>
  <c r="AE27" i="2"/>
  <c r="Y27" i="2"/>
  <c r="W27" i="2"/>
  <c r="G27" i="2"/>
  <c r="FH26" i="2"/>
  <c r="FI26" i="2" s="1"/>
  <c r="FJ26" i="2" s="1"/>
  <c r="FK26" i="2" s="1"/>
  <c r="FG26" i="2"/>
  <c r="FF26" i="2"/>
  <c r="CS26" i="2"/>
  <c r="AE26" i="2"/>
  <c r="M26" i="2"/>
  <c r="EK25" i="2"/>
  <c r="CT25" i="2"/>
  <c r="CU25" i="2" s="1"/>
  <c r="AK25" i="2"/>
  <c r="AE25" i="2"/>
  <c r="Y25" i="2"/>
  <c r="W25" i="2"/>
  <c r="FH24" i="2"/>
  <c r="FI24" i="2" s="1"/>
  <c r="FJ24" i="2" s="1"/>
  <c r="FK24" i="2" s="1"/>
  <c r="FG24" i="2"/>
  <c r="FF24" i="2"/>
  <c r="BU24" i="2"/>
  <c r="AK24" i="2"/>
  <c r="AE24" i="2"/>
  <c r="Y24" i="2"/>
  <c r="W24" i="2"/>
  <c r="FH23" i="2"/>
  <c r="FI23" i="2" s="1"/>
  <c r="FJ23" i="2" s="1"/>
  <c r="FK23" i="2" s="1"/>
  <c r="FG23" i="2"/>
  <c r="FF23" i="2"/>
  <c r="EK23" i="2"/>
  <c r="CW23" i="2"/>
  <c r="CS23" i="2"/>
  <c r="AK23" i="2"/>
  <c r="AE23" i="2"/>
  <c r="Y23" i="2"/>
  <c r="FH22" i="2"/>
  <c r="FG22" i="2"/>
  <c r="FF22" i="2"/>
  <c r="CS22" i="2"/>
  <c r="AE22" i="2"/>
  <c r="FH21" i="2"/>
  <c r="FI21" i="2" s="1"/>
  <c r="FJ21" i="2" s="1"/>
  <c r="FK21" i="2" s="1"/>
  <c r="FG21" i="2"/>
  <c r="FF21" i="2"/>
  <c r="DI21" i="2"/>
  <c r="AE21" i="2"/>
  <c r="CT20" i="2"/>
  <c r="CU20" i="2" s="1"/>
  <c r="CS20" i="2"/>
  <c r="AE20" i="2"/>
  <c r="FH19" i="2"/>
  <c r="FG19" i="2"/>
  <c r="FF19" i="2"/>
  <c r="CY19" i="2"/>
  <c r="CW19" i="2"/>
  <c r="AE19" i="2"/>
  <c r="M19" i="2"/>
  <c r="FH18" i="2"/>
  <c r="FG18" i="2"/>
  <c r="FF18" i="2"/>
  <c r="CY18" i="2"/>
  <c r="CU18" i="2"/>
  <c r="AE18" i="2"/>
  <c r="M18" i="2"/>
  <c r="FH17" i="2"/>
  <c r="FI17" i="2" s="1"/>
  <c r="FJ17" i="2" s="1"/>
  <c r="FK17" i="2" s="1"/>
  <c r="FG17" i="2"/>
  <c r="FF17" i="2"/>
  <c r="AW17" i="2"/>
  <c r="AI17" i="2"/>
  <c r="AE17" i="2"/>
  <c r="FH16" i="2"/>
  <c r="FG16" i="2"/>
  <c r="FF16" i="2"/>
  <c r="AW16" i="2"/>
  <c r="AI16" i="2"/>
  <c r="AE16" i="2"/>
  <c r="FH15" i="2"/>
  <c r="FI15" i="2" s="1"/>
  <c r="FJ15" i="2" s="1"/>
  <c r="FK15" i="2" s="1"/>
  <c r="FG15" i="2"/>
  <c r="FF15" i="2"/>
  <c r="AI15" i="2"/>
  <c r="AE15" i="2"/>
  <c r="FH14" i="2"/>
  <c r="FG14" i="2"/>
  <c r="FF14" i="2"/>
  <c r="AI14" i="2"/>
  <c r="AE14" i="2"/>
  <c r="FH13" i="2"/>
  <c r="FI13" i="2" s="1"/>
  <c r="FJ13" i="2" s="1"/>
  <c r="FK13" i="2" s="1"/>
  <c r="FG13" i="2"/>
  <c r="FF13" i="2"/>
  <c r="AV13" i="2"/>
  <c r="AW13" i="2" s="1"/>
  <c r="AI13" i="2"/>
  <c r="AE13" i="2"/>
  <c r="FH12" i="2"/>
  <c r="FI12" i="2" s="1"/>
  <c r="FJ12" i="2" s="1"/>
  <c r="FK12" i="2" s="1"/>
  <c r="FG12" i="2"/>
  <c r="FF12" i="2"/>
  <c r="AW12" i="2"/>
  <c r="AH12" i="2"/>
  <c r="AI12" i="2" s="1"/>
  <c r="AE12" i="2"/>
  <c r="FH11" i="2"/>
  <c r="FG11" i="2"/>
  <c r="FF11" i="2"/>
  <c r="AW11" i="2"/>
  <c r="AI11" i="2"/>
  <c r="AE11" i="2"/>
  <c r="FH10" i="2"/>
  <c r="FG10" i="2"/>
  <c r="FF10" i="2"/>
  <c r="AW10" i="2"/>
  <c r="AI10" i="2"/>
  <c r="AE10" i="2"/>
  <c r="FH9" i="2"/>
  <c r="FI9" i="2" s="1"/>
  <c r="FJ9" i="2" s="1"/>
  <c r="FK9" i="2" s="1"/>
  <c r="FG9" i="2"/>
  <c r="FF9" i="2"/>
  <c r="AW9" i="2"/>
  <c r="AI9" i="2"/>
  <c r="AE9" i="2"/>
  <c r="FH8" i="2"/>
  <c r="FG8" i="2"/>
  <c r="FF8" i="2"/>
  <c r="EI8" i="2"/>
  <c r="AW8" i="2"/>
  <c r="FH7" i="2"/>
  <c r="FG7" i="2"/>
  <c r="FF7" i="2"/>
  <c r="EI7" i="2"/>
  <c r="AW7" i="2"/>
  <c r="FH6" i="2"/>
  <c r="FG6" i="2"/>
  <c r="FF6" i="2"/>
  <c r="EI6" i="2"/>
  <c r="AW6" i="2"/>
  <c r="FH5" i="2"/>
  <c r="FG5" i="2"/>
  <c r="FF5" i="2"/>
  <c r="EK5" i="2"/>
  <c r="BU5" i="2"/>
  <c r="BS5" i="2"/>
  <c r="AO5" i="2"/>
  <c r="AM5" i="2"/>
  <c r="G5" i="2"/>
  <c r="FI16" i="2" l="1"/>
  <c r="FJ16" i="2" s="1"/>
  <c r="FK16" i="2" s="1"/>
  <c r="FI68" i="2"/>
  <c r="FJ68" i="2" s="1"/>
  <c r="FK68" i="2" s="1"/>
  <c r="FG48" i="2"/>
  <c r="FI48" i="2" s="1"/>
  <c r="FJ48" i="2" s="1"/>
  <c r="FK48" i="2" s="1"/>
  <c r="FI18" i="2"/>
  <c r="FJ18" i="2" s="1"/>
  <c r="FK18" i="2" s="1"/>
  <c r="FI107" i="2"/>
  <c r="FJ107" i="2" s="1"/>
  <c r="FK107" i="2" s="1"/>
  <c r="FI119" i="2"/>
  <c r="FJ119" i="2" s="1"/>
  <c r="FK119" i="2" s="1"/>
  <c r="FH20" i="2"/>
  <c r="FI20" i="2" s="1"/>
  <c r="FJ20" i="2" s="1"/>
  <c r="FK20" i="2" s="1"/>
  <c r="FF28" i="2"/>
  <c r="FI37" i="2"/>
  <c r="FJ37" i="2" s="1"/>
  <c r="FK37" i="2" s="1"/>
  <c r="FI41" i="2"/>
  <c r="FJ41" i="2" s="1"/>
  <c r="FK41" i="2" s="1"/>
  <c r="FI83" i="2"/>
  <c r="FJ83" i="2" s="1"/>
  <c r="FK83" i="2" s="1"/>
  <c r="FI87" i="2"/>
  <c r="FJ87" i="2" s="1"/>
  <c r="FK87" i="2" s="1"/>
  <c r="FI102" i="2"/>
  <c r="FJ102" i="2" s="1"/>
  <c r="FK102" i="2" s="1"/>
  <c r="FI127" i="2"/>
  <c r="FJ127" i="2" s="1"/>
  <c r="FK127" i="2" s="1"/>
  <c r="FI125" i="2"/>
  <c r="FJ125" i="2" s="1"/>
  <c r="FK125" i="2" s="1"/>
  <c r="FF20" i="2"/>
  <c r="FJ43" i="2"/>
  <c r="FK43" i="2" s="1"/>
  <c r="FI132" i="2"/>
  <c r="FJ132" i="2" s="1"/>
  <c r="FK132" i="2" s="1"/>
  <c r="FJ91" i="2"/>
  <c r="FK91" i="2" s="1"/>
  <c r="FI111" i="2"/>
  <c r="FJ111" i="2" s="1"/>
  <c r="FK111" i="2" s="1"/>
  <c r="FF48" i="2"/>
  <c r="FI61" i="2"/>
  <c r="FJ61" i="2" s="1"/>
  <c r="FK61" i="2" s="1"/>
  <c r="FI10" i="2"/>
  <c r="FJ10" i="2" s="1"/>
  <c r="FK10" i="2" s="1"/>
  <c r="FI22" i="2"/>
  <c r="FJ22" i="2" s="1"/>
  <c r="FK22" i="2" s="1"/>
  <c r="FI55" i="2"/>
  <c r="FJ55" i="2" s="1"/>
  <c r="FK55" i="2" s="1"/>
  <c r="FI93" i="2"/>
  <c r="FJ93" i="2" s="1"/>
  <c r="FK93" i="2" s="1"/>
  <c r="FG20" i="2"/>
  <c r="FI100" i="2"/>
  <c r="FJ100" i="2" s="1"/>
  <c r="FK100" i="2" s="1"/>
  <c r="FI109" i="2"/>
  <c r="FJ109" i="2" s="1"/>
  <c r="FK109" i="2" s="1"/>
  <c r="FI32" i="2"/>
  <c r="FJ32" i="2" s="1"/>
  <c r="FK32" i="2" s="1"/>
  <c r="FI34" i="2"/>
  <c r="FJ34" i="2" s="1"/>
  <c r="FK34" i="2" s="1"/>
  <c r="FI53" i="2"/>
  <c r="FJ53" i="2" s="1"/>
  <c r="FK53" i="2" s="1"/>
  <c r="FI69" i="2"/>
  <c r="FJ69" i="2" s="1"/>
  <c r="FK69" i="2" s="1"/>
  <c r="FI96" i="2"/>
  <c r="FJ96" i="2" s="1"/>
  <c r="FK96" i="2" s="1"/>
  <c r="FI110" i="2"/>
  <c r="FJ110" i="2" s="1"/>
  <c r="FK110" i="2" s="1"/>
  <c r="FH112" i="2"/>
  <c r="FI112" i="2" s="1"/>
  <c r="FI126" i="2"/>
  <c r="FJ126" i="2" s="1"/>
  <c r="FK126" i="2" s="1"/>
  <c r="FI66" i="2"/>
  <c r="FJ66" i="2" s="1"/>
  <c r="FK66" i="2" s="1"/>
  <c r="FI123" i="2"/>
  <c r="FJ123" i="2" s="1"/>
  <c r="FK123" i="2" s="1"/>
  <c r="FI8" i="2"/>
  <c r="FJ8" i="2" s="1"/>
  <c r="FK8" i="2" s="1"/>
  <c r="FI35" i="2"/>
  <c r="FJ35" i="2" s="1"/>
  <c r="FK35" i="2" s="1"/>
  <c r="FI57" i="2"/>
  <c r="FJ57" i="2" s="1"/>
  <c r="FK57" i="2" s="1"/>
  <c r="FI52" i="2"/>
  <c r="FJ52" i="2" s="1"/>
  <c r="FK52" i="2" s="1"/>
  <c r="FI79" i="2"/>
  <c r="FJ79" i="2" s="1"/>
  <c r="FK79" i="2" s="1"/>
  <c r="FI7" i="2"/>
  <c r="FJ7" i="2" s="1"/>
  <c r="FK7" i="2" s="1"/>
  <c r="FI11" i="2"/>
  <c r="FJ11" i="2" s="1"/>
  <c r="FK11" i="2" s="1"/>
  <c r="FI47" i="2"/>
  <c r="FJ47" i="2" s="1"/>
  <c r="FK47" i="2" s="1"/>
  <c r="FI58" i="2"/>
  <c r="FJ58" i="2" s="1"/>
  <c r="FK58" i="2" s="1"/>
  <c r="FI67" i="2"/>
  <c r="FJ67" i="2" s="1"/>
  <c r="FK67" i="2" s="1"/>
  <c r="FI78" i="2"/>
  <c r="FJ78" i="2" s="1"/>
  <c r="FK78" i="2" s="1"/>
  <c r="FI90" i="2"/>
  <c r="FJ90" i="2" s="1"/>
  <c r="FK90" i="2" s="1"/>
  <c r="FI92" i="2"/>
  <c r="FJ92" i="2" s="1"/>
  <c r="FK92" i="2" s="1"/>
  <c r="FI94" i="2"/>
  <c r="FJ94" i="2" s="1"/>
  <c r="FK94" i="2" s="1"/>
  <c r="FI124" i="2"/>
  <c r="FJ124" i="2" s="1"/>
  <c r="FK124" i="2" s="1"/>
  <c r="FI33" i="2"/>
  <c r="FJ33" i="2" s="1"/>
  <c r="FK33" i="2" s="1"/>
  <c r="FI129" i="2"/>
  <c r="FJ129" i="2" s="1"/>
  <c r="FK129" i="2" s="1"/>
  <c r="FI89" i="2"/>
  <c r="FJ89" i="2" s="1"/>
  <c r="FK89" i="2" s="1"/>
  <c r="FI6" i="2"/>
  <c r="FJ6" i="2" s="1"/>
  <c r="FK6" i="2" s="1"/>
  <c r="FI27" i="2"/>
  <c r="FJ27" i="2" s="1"/>
  <c r="FK27" i="2" s="1"/>
  <c r="FI77" i="2"/>
  <c r="FJ77" i="2" s="1"/>
  <c r="FK77" i="2" s="1"/>
  <c r="FI31" i="2"/>
  <c r="FJ31" i="2" s="1"/>
  <c r="FK31" i="2" s="1"/>
  <c r="FI14" i="2"/>
  <c r="FJ14" i="2" s="1"/>
  <c r="FK14" i="2" s="1"/>
  <c r="FI59" i="2"/>
  <c r="FJ59" i="2" s="1"/>
  <c r="FK59" i="2" s="1"/>
  <c r="FI50" i="2"/>
  <c r="FJ50" i="2" s="1"/>
  <c r="FK50" i="2" s="1"/>
  <c r="FI73" i="2"/>
  <c r="FJ73" i="2" s="1"/>
  <c r="FK73" i="2" s="1"/>
  <c r="FI5" i="2"/>
  <c r="FJ5" i="2" s="1"/>
  <c r="FI19" i="2"/>
  <c r="FJ19" i="2" s="1"/>
  <c r="FK19" i="2" s="1"/>
  <c r="FH28" i="2"/>
  <c r="FI28" i="2" s="1"/>
  <c r="FJ28" i="2" s="1"/>
  <c r="FK28" i="2" s="1"/>
  <c r="FI40" i="2"/>
  <c r="FJ40" i="2" s="1"/>
  <c r="FK40" i="2" s="1"/>
  <c r="FI51" i="2"/>
  <c r="FJ51" i="2" s="1"/>
  <c r="FK51" i="2" s="1"/>
  <c r="FI54" i="2"/>
  <c r="FJ54" i="2" s="1"/>
  <c r="FK54" i="2" s="1"/>
  <c r="FI65" i="2"/>
  <c r="FJ65" i="2" s="1"/>
  <c r="FK65" i="2" s="1"/>
  <c r="FI76" i="2"/>
  <c r="FJ76" i="2" s="1"/>
  <c r="FK76" i="2" s="1"/>
  <c r="FI86" i="2"/>
  <c r="FJ86" i="2" s="1"/>
  <c r="FK86" i="2" s="1"/>
  <c r="FI103" i="2"/>
  <c r="FJ103" i="2" s="1"/>
  <c r="FK103" i="2" s="1"/>
  <c r="FI116" i="2"/>
  <c r="FJ116" i="2" s="1"/>
  <c r="FK116" i="2" s="1"/>
  <c r="FI122" i="2"/>
  <c r="FJ122" i="2" s="1"/>
  <c r="FK122" i="2" s="1"/>
  <c r="FI135" i="2"/>
  <c r="FJ135" i="2" s="1"/>
  <c r="FK135" i="2" s="1"/>
  <c r="FK5" i="2"/>
  <c r="FF25" i="2"/>
  <c r="FG25" i="2"/>
  <c r="FH25" i="2"/>
  <c r="FI25" i="2" s="1"/>
  <c r="FJ25" i="2" s="1"/>
  <c r="FK25" i="2" s="1"/>
  <c r="W28" i="2"/>
  <c r="AA112" i="2"/>
  <c r="FF112" i="2"/>
  <c r="FJ112" i="2" s="1"/>
  <c r="FK112" i="2" s="1"/>
  <c r="FJ138" i="2" l="1"/>
  <c r="FK138" i="2"/>
  <c r="DS227" i="1" l="1"/>
  <c r="DU227" i="1"/>
  <c r="DT227" i="1"/>
  <c r="DW131" i="1" l="1"/>
  <c r="CP51" i="1"/>
  <c r="CT51" i="1"/>
  <c r="DS51" i="1"/>
  <c r="DT51" i="1"/>
  <c r="DU51" i="1"/>
  <c r="DV51" i="1" l="1"/>
  <c r="DW51" i="1" s="1"/>
  <c r="DX51" i="1" s="1"/>
  <c r="DU199" i="1" l="1"/>
  <c r="DU177" i="1"/>
  <c r="DU44" i="1"/>
  <c r="DS199" i="1"/>
  <c r="DS177" i="1"/>
  <c r="DT199" i="1"/>
  <c r="DT177" i="1"/>
  <c r="DT44" i="1"/>
  <c r="DS44" i="1"/>
  <c r="CP199" i="1"/>
  <c r="CP177" i="1"/>
  <c r="CP44" i="1"/>
  <c r="CP150" i="1"/>
  <c r="DU150" i="1" l="1"/>
  <c r="DT150" i="1"/>
  <c r="DS150" i="1"/>
  <c r="DU251" i="1"/>
  <c r="DT251" i="1"/>
  <c r="DS251" i="1"/>
  <c r="CP251" i="1"/>
  <c r="DU224" i="1"/>
  <c r="DU225" i="1"/>
  <c r="DU226" i="1"/>
  <c r="DT224" i="1"/>
  <c r="DT225" i="1"/>
  <c r="DT226" i="1"/>
  <c r="DU223" i="1"/>
  <c r="DT223" i="1"/>
  <c r="DS224" i="1"/>
  <c r="DS225" i="1"/>
  <c r="DS226" i="1"/>
  <c r="DS223" i="1"/>
  <c r="CP225" i="1"/>
  <c r="CP226" i="1"/>
  <c r="CP223" i="1"/>
  <c r="DV251" i="1" l="1"/>
  <c r="CT150" i="1" l="1"/>
  <c r="CT199" i="1"/>
  <c r="CT177" i="1"/>
  <c r="CT44" i="1"/>
  <c r="CT223" i="1" l="1"/>
  <c r="CT224" i="1"/>
  <c r="CT225" i="1"/>
  <c r="CT226" i="1"/>
  <c r="CZ222" i="1"/>
  <c r="CT251" i="1"/>
  <c r="DU337" i="1" l="1"/>
  <c r="DT337" i="1"/>
  <c r="DS337" i="1"/>
  <c r="DU315" i="1"/>
  <c r="DT315" i="1"/>
  <c r="DS315" i="1"/>
  <c r="DU126" i="1"/>
  <c r="DT126" i="1"/>
  <c r="DS126" i="1"/>
  <c r="DU82" i="1"/>
  <c r="DT82" i="1"/>
  <c r="DS82" i="1"/>
  <c r="DR126" i="1"/>
  <c r="DR82" i="1"/>
  <c r="DP126" i="1"/>
  <c r="DP82" i="1"/>
  <c r="DU245" i="1" l="1"/>
  <c r="DU213" i="1"/>
  <c r="DU140" i="1"/>
  <c r="DU124" i="1"/>
  <c r="DT245" i="1"/>
  <c r="DT213" i="1"/>
  <c r="DT140" i="1"/>
  <c r="DT124" i="1"/>
  <c r="DS245" i="1"/>
  <c r="DS213" i="1"/>
  <c r="DS140" i="1"/>
  <c r="DS124" i="1"/>
  <c r="DU194" i="1"/>
  <c r="DU38" i="1"/>
  <c r="DT194" i="1"/>
  <c r="DT38" i="1"/>
  <c r="DS194" i="1"/>
  <c r="DS38" i="1"/>
  <c r="DU327" i="1"/>
  <c r="DT327" i="1"/>
  <c r="DS327" i="1"/>
  <c r="DU278" i="1"/>
  <c r="DU215" i="1"/>
  <c r="DT278" i="1"/>
  <c r="DT215" i="1"/>
  <c r="DS278" i="1"/>
  <c r="DS215" i="1"/>
  <c r="DU53" i="1"/>
  <c r="DT53" i="1"/>
  <c r="DS53" i="1"/>
  <c r="DN327" i="1"/>
  <c r="DN278" i="1"/>
  <c r="DN215" i="1"/>
  <c r="DN53" i="1"/>
  <c r="DL327" i="1"/>
  <c r="DL278" i="1"/>
  <c r="DL215" i="1"/>
  <c r="DL53" i="1"/>
  <c r="DJ327" i="1"/>
  <c r="DJ278" i="1"/>
  <c r="DJ215" i="1"/>
  <c r="DJ53" i="1"/>
  <c r="DV327" i="1" l="1"/>
  <c r="CR244" i="1" l="1"/>
  <c r="AH112" i="1" l="1"/>
  <c r="DU141" i="1"/>
  <c r="DT141" i="1"/>
  <c r="DU12" i="1"/>
  <c r="DT12" i="1"/>
  <c r="DS12" i="1"/>
  <c r="DU11" i="1"/>
  <c r="DT11" i="1"/>
  <c r="DS11" i="1"/>
  <c r="DW188" i="1"/>
  <c r="DG356" i="1" l="1"/>
  <c r="BN141" i="1"/>
  <c r="BR141" i="1"/>
  <c r="DS141" i="1"/>
  <c r="DW234" i="1"/>
  <c r="DW107" i="1"/>
  <c r="DV141" i="1" l="1"/>
  <c r="DW141" i="1" s="1"/>
  <c r="DX141" i="1" s="1"/>
  <c r="DU192" i="1" l="1"/>
  <c r="DT192" i="1"/>
  <c r="DS192" i="1"/>
  <c r="DV192" i="1" l="1"/>
  <c r="DW192" i="1" s="1"/>
  <c r="DX192" i="1" s="1"/>
  <c r="CT192" i="1"/>
  <c r="CP192" i="1"/>
  <c r="DU290" i="1" l="1"/>
  <c r="DT290" i="1"/>
  <c r="DS290" i="1"/>
  <c r="CP290" i="1" l="1"/>
  <c r="AT197" i="1" l="1"/>
  <c r="AM197" i="1"/>
  <c r="DT197" i="1" s="1"/>
  <c r="DW329" i="1"/>
  <c r="DW286" i="1"/>
  <c r="DW283" i="1"/>
  <c r="DW206" i="1"/>
  <c r="DW195" i="1"/>
  <c r="DW142" i="1"/>
  <c r="DS197" i="1" l="1"/>
  <c r="AH343" i="1"/>
  <c r="AB344" i="1"/>
  <c r="AB343" i="1"/>
  <c r="DU334" i="1"/>
  <c r="DT334" i="1"/>
  <c r="DS334" i="1"/>
  <c r="DT297" i="1"/>
  <c r="DS297" i="1"/>
  <c r="CR255" i="1"/>
  <c r="CR252" i="1"/>
  <c r="CR250" i="1"/>
  <c r="DS241" i="1"/>
  <c r="DS239" i="1"/>
  <c r="DU221" i="1"/>
  <c r="DT221" i="1"/>
  <c r="DS221" i="1"/>
  <c r="DS218" i="1"/>
  <c r="DS217" i="1"/>
  <c r="DS216" i="1"/>
  <c r="DS214" i="1"/>
  <c r="DS212" i="1"/>
  <c r="DS191" i="1"/>
  <c r="DS190" i="1"/>
  <c r="DS189" i="1"/>
  <c r="DH275" i="1"/>
  <c r="DU176" i="1"/>
  <c r="DT176" i="1"/>
  <c r="DS176" i="1"/>
  <c r="DH176" i="1"/>
  <c r="DS175" i="1" l="1"/>
  <c r="DS168" i="1"/>
  <c r="DS167" i="1"/>
  <c r="DS147" i="1"/>
  <c r="DS145" i="1"/>
  <c r="DS129" i="1"/>
  <c r="DS128" i="1"/>
  <c r="DS125" i="1"/>
  <c r="DS123" i="1"/>
  <c r="DS122" i="1"/>
  <c r="DS120" i="1"/>
  <c r="DS114" i="1"/>
  <c r="DU113" i="1"/>
  <c r="DT113" i="1"/>
  <c r="DS113" i="1"/>
  <c r="AH113" i="1"/>
  <c r="DS111" i="1"/>
  <c r="DS110" i="1"/>
  <c r="DS109" i="1"/>
  <c r="DU100" i="1"/>
  <c r="DT100" i="1"/>
  <c r="DS100" i="1"/>
  <c r="DS96" i="1"/>
  <c r="DS94" i="1"/>
  <c r="DS92" i="1"/>
  <c r="DT91" i="1"/>
  <c r="DS91" i="1"/>
  <c r="DS90" i="1"/>
  <c r="DS87" i="1"/>
  <c r="DS84" i="1"/>
  <c r="DS81" i="1"/>
  <c r="I79" i="1"/>
  <c r="DS75" i="1"/>
  <c r="DS74" i="1"/>
  <c r="DS73" i="1"/>
  <c r="I72" i="1"/>
  <c r="I71" i="1"/>
  <c r="DS68" i="1"/>
  <c r="DS65" i="1"/>
  <c r="DS64" i="1"/>
  <c r="DS63" i="1"/>
  <c r="DS54" i="1"/>
  <c r="DS55" i="1"/>
  <c r="DS56" i="1"/>
  <c r="DS57" i="1"/>
  <c r="DS58" i="1"/>
  <c r="DS60" i="1"/>
  <c r="DS137" i="1" l="1"/>
  <c r="CW356" i="1"/>
  <c r="DC356" i="1"/>
  <c r="DE356" i="1"/>
  <c r="DW346" i="1" l="1"/>
  <c r="DB346" i="1"/>
  <c r="DW323" i="1"/>
  <c r="DB323" i="1"/>
  <c r="DU314" i="1"/>
  <c r="DT314" i="1"/>
  <c r="DS314" i="1"/>
  <c r="CZ315" i="1"/>
  <c r="CZ314" i="1"/>
  <c r="DU279" i="1"/>
  <c r="DT279" i="1"/>
  <c r="DS279" i="1"/>
  <c r="CZ279" i="1"/>
  <c r="DU258" i="1"/>
  <c r="DT258" i="1"/>
  <c r="DS258" i="1"/>
  <c r="DU257" i="1"/>
  <c r="DT257" i="1"/>
  <c r="DS257" i="1"/>
  <c r="CZ258" i="1"/>
  <c r="CZ257" i="1"/>
  <c r="DU247" i="1"/>
  <c r="DT247" i="1"/>
  <c r="DS247" i="1"/>
  <c r="DU244" i="1"/>
  <c r="DT244" i="1"/>
  <c r="DS244" i="1"/>
  <c r="DU242" i="1"/>
  <c r="DT242" i="1"/>
  <c r="DS242" i="1"/>
  <c r="CZ244" i="1"/>
  <c r="CZ245" i="1"/>
  <c r="CZ247" i="1"/>
  <c r="CZ242" i="1"/>
  <c r="DU228" i="1"/>
  <c r="DT228" i="1"/>
  <c r="DS228" i="1"/>
  <c r="CZ227" i="1"/>
  <c r="CZ228" i="1"/>
  <c r="DU222" i="1"/>
  <c r="DT222" i="1"/>
  <c r="DS222" i="1"/>
  <c r="DU214" i="1"/>
  <c r="DT214" i="1"/>
  <c r="CZ214" i="1"/>
  <c r="CZ194" i="1"/>
  <c r="DU193" i="1"/>
  <c r="DT193" i="1"/>
  <c r="DS193" i="1"/>
  <c r="CZ193" i="1"/>
  <c r="DU189" i="1"/>
  <c r="DT189" i="1"/>
  <c r="CZ189" i="1"/>
  <c r="DU162" i="1" l="1"/>
  <c r="DT162" i="1"/>
  <c r="DS162" i="1"/>
  <c r="CZ162" i="1"/>
  <c r="CZ161" i="1"/>
  <c r="DU161" i="1"/>
  <c r="DS161" i="1"/>
  <c r="DT161" i="1"/>
  <c r="DW108" i="1"/>
  <c r="DB108" i="1"/>
  <c r="CZ100" i="1"/>
  <c r="DU73" i="1"/>
  <c r="DT73" i="1"/>
  <c r="CZ73" i="1"/>
  <c r="CZ38" i="1"/>
  <c r="DU35" i="1"/>
  <c r="DT35" i="1"/>
  <c r="DS35" i="1"/>
  <c r="CZ35" i="1"/>
  <c r="CR35" i="1"/>
  <c r="CR34" i="1"/>
  <c r="DU34" i="1"/>
  <c r="DT34" i="1"/>
  <c r="DS34" i="1"/>
  <c r="CZ34" i="1"/>
  <c r="DT31" i="1"/>
  <c r="DU31" i="1"/>
  <c r="DS31" i="1"/>
  <c r="CZ31" i="1"/>
  <c r="DU28" i="1"/>
  <c r="DT28" i="1"/>
  <c r="DS28" i="1"/>
  <c r="DS26" i="1"/>
  <c r="DU23" i="1"/>
  <c r="DT23" i="1"/>
  <c r="DS23" i="1"/>
  <c r="CZ23" i="1"/>
  <c r="DU56" i="1"/>
  <c r="DT56" i="1"/>
  <c r="DU58" i="1"/>
  <c r="DT58" i="1"/>
  <c r="CZ58" i="1"/>
  <c r="CZ56" i="1" l="1"/>
  <c r="AB112" i="1" l="1"/>
  <c r="AB113" i="1"/>
  <c r="DV113" i="1" l="1"/>
  <c r="DW113" i="1" s="1"/>
  <c r="DX29" i="1" l="1"/>
  <c r="DX148" i="1"/>
  <c r="DX131" i="1"/>
  <c r="DX340" i="1"/>
  <c r="I185" i="1" l="1"/>
  <c r="I136" i="1"/>
  <c r="I134" i="1"/>
  <c r="DW79" i="1"/>
  <c r="DW19" i="1" l="1"/>
  <c r="DW136" i="1"/>
  <c r="J79" i="1"/>
  <c r="DX107" i="1"/>
  <c r="DX142" i="1"/>
  <c r="DV150" i="1" l="1"/>
  <c r="DW150" i="1" s="1"/>
  <c r="DX187" i="1"/>
  <c r="DX206" i="1"/>
  <c r="DX234" i="1"/>
  <c r="DX283" i="1"/>
  <c r="DW231" i="1"/>
  <c r="DX231" i="1" s="1"/>
  <c r="DW230" i="1"/>
  <c r="CZ28" i="1"/>
  <c r="CV27" i="1"/>
  <c r="DU90" i="1"/>
  <c r="DT90" i="1"/>
  <c r="BZ90" i="1"/>
  <c r="BX90" i="1"/>
  <c r="BT90" i="1"/>
  <c r="AL89" i="1"/>
  <c r="AQ89" i="1"/>
  <c r="AR89" i="1" s="1"/>
  <c r="AO89" i="1"/>
  <c r="AP89" i="1" s="1"/>
  <c r="AM89" i="1"/>
  <c r="DW17" i="1"/>
  <c r="DX17" i="1" s="1"/>
  <c r="CM348" i="1"/>
  <c r="CK348" i="1"/>
  <c r="CL348" i="1" s="1"/>
  <c r="BI347" i="1"/>
  <c r="BJ347" i="1" s="1"/>
  <c r="BA347" i="1"/>
  <c r="BB347" i="1" s="1"/>
  <c r="AE347" i="1"/>
  <c r="DX346" i="1"/>
  <c r="DU341" i="1"/>
  <c r="DT341" i="1"/>
  <c r="DS341" i="1"/>
  <c r="AH341" i="1"/>
  <c r="AB341" i="1"/>
  <c r="DX345" i="1"/>
  <c r="DX322" i="1"/>
  <c r="AH288" i="1"/>
  <c r="AB288" i="1"/>
  <c r="DU332" i="1"/>
  <c r="DT332" i="1"/>
  <c r="DS332" i="1"/>
  <c r="AH332" i="1"/>
  <c r="AB332" i="1"/>
  <c r="DX329" i="1"/>
  <c r="DU326" i="1"/>
  <c r="DT326" i="1"/>
  <c r="DS326" i="1"/>
  <c r="CV326" i="1"/>
  <c r="CT326" i="1"/>
  <c r="CR326" i="1"/>
  <c r="CP326" i="1"/>
  <c r="DX311" i="1"/>
  <c r="DU318" i="1"/>
  <c r="DT318" i="1"/>
  <c r="DS318" i="1"/>
  <c r="CV318" i="1"/>
  <c r="CT318" i="1"/>
  <c r="CP318" i="1"/>
  <c r="DU319" i="1"/>
  <c r="DT319" i="1"/>
  <c r="DS319" i="1"/>
  <c r="CV319" i="1"/>
  <c r="CR319" i="1"/>
  <c r="CP319" i="1"/>
  <c r="DU317" i="1"/>
  <c r="DT317" i="1"/>
  <c r="DS317" i="1"/>
  <c r="CV317" i="1"/>
  <c r="CT317" i="1"/>
  <c r="CR317" i="1"/>
  <c r="CP317" i="1"/>
  <c r="DX296" i="1"/>
  <c r="DX277" i="1"/>
  <c r="DX274" i="1"/>
  <c r="DX273" i="1"/>
  <c r="DX272" i="1"/>
  <c r="DX271" i="1"/>
  <c r="DX265" i="1"/>
  <c r="DX286" i="1"/>
  <c r="BI339" i="1"/>
  <c r="BJ339" i="1" s="1"/>
  <c r="BG339" i="1"/>
  <c r="BH339" i="1" s="1"/>
  <c r="BI98" i="1"/>
  <c r="BJ98" i="1" s="1"/>
  <c r="BG98" i="1"/>
  <c r="DU232" i="1"/>
  <c r="DT232" i="1"/>
  <c r="DS232" i="1"/>
  <c r="CV232" i="1"/>
  <c r="CT232" i="1"/>
  <c r="CR232" i="1"/>
  <c r="CP232" i="1"/>
  <c r="DX211" i="1"/>
  <c r="DW209" i="1"/>
  <c r="DX209" i="1" s="1"/>
  <c r="DW208" i="1"/>
  <c r="DX195" i="1"/>
  <c r="J203" i="1"/>
  <c r="DX113" i="1"/>
  <c r="DX102" i="1"/>
  <c r="DX101" i="1"/>
  <c r="DX52" i="1"/>
  <c r="DU147" i="1"/>
  <c r="DT147" i="1"/>
  <c r="CT147" i="1"/>
  <c r="CP147" i="1"/>
  <c r="AT146" i="1"/>
  <c r="AO146" i="1"/>
  <c r="AL146" i="1"/>
  <c r="DU145" i="1"/>
  <c r="DT145" i="1"/>
  <c r="CV145" i="1"/>
  <c r="CT145" i="1"/>
  <c r="CR145" i="1"/>
  <c r="CP145" i="1"/>
  <c r="J144" i="1"/>
  <c r="DU268" i="1"/>
  <c r="DT268" i="1"/>
  <c r="DS268" i="1"/>
  <c r="DW268" i="1" s="1"/>
  <c r="DX268" i="1" s="1"/>
  <c r="AH268" i="1"/>
  <c r="AB268" i="1"/>
  <c r="CZ124" i="1"/>
  <c r="CT124" i="1"/>
  <c r="CP124" i="1"/>
  <c r="CZ213" i="1"/>
  <c r="CT245" i="1"/>
  <c r="CT213" i="1"/>
  <c r="DX188" i="1" l="1"/>
  <c r="DS89" i="1"/>
  <c r="DX208" i="1"/>
  <c r="DX230" i="1"/>
  <c r="DX150" i="1"/>
  <c r="DX151" i="1" s="1"/>
  <c r="DW151" i="1"/>
  <c r="AF347" i="1"/>
  <c r="DS347" i="1"/>
  <c r="DU146" i="1"/>
  <c r="DS146" i="1"/>
  <c r="BH98" i="1"/>
  <c r="DS98" i="1"/>
  <c r="DU89" i="1"/>
  <c r="DT89" i="1"/>
  <c r="DT98" i="1"/>
  <c r="DU98" i="1"/>
  <c r="J230" i="1"/>
  <c r="AN89" i="1"/>
  <c r="J231" i="1"/>
  <c r="DV90" i="1"/>
  <c r="DW90" i="1" s="1"/>
  <c r="DX90" i="1" s="1"/>
  <c r="J17" i="1"/>
  <c r="DU348" i="1"/>
  <c r="CN348" i="1"/>
  <c r="DS348" i="1"/>
  <c r="DT348" i="1"/>
  <c r="DV341" i="1"/>
  <c r="DW341" i="1" s="1"/>
  <c r="DX341" i="1" s="1"/>
  <c r="DT347" i="1"/>
  <c r="DU347" i="1"/>
  <c r="DV332" i="1"/>
  <c r="DW332" i="1" s="1"/>
  <c r="DX332" i="1" s="1"/>
  <c r="DS339" i="1"/>
  <c r="DT339" i="1"/>
  <c r="DU339" i="1"/>
  <c r="DV326" i="1"/>
  <c r="DW326" i="1" s="1"/>
  <c r="DV318" i="1"/>
  <c r="DW318" i="1" s="1"/>
  <c r="DX318" i="1" s="1"/>
  <c r="DV319" i="1"/>
  <c r="DW319" i="1" s="1"/>
  <c r="DX319" i="1" s="1"/>
  <c r="DV317" i="1"/>
  <c r="DW317" i="1" s="1"/>
  <c r="DX317" i="1" s="1"/>
  <c r="DV232" i="1"/>
  <c r="DW232" i="1" s="1"/>
  <c r="DX232" i="1" s="1"/>
  <c r="J208" i="1"/>
  <c r="J209" i="1"/>
  <c r="DV147" i="1"/>
  <c r="DW147" i="1" s="1"/>
  <c r="DX147" i="1" s="1"/>
  <c r="DW144" i="1"/>
  <c r="DV145" i="1"/>
  <c r="DW145" i="1" s="1"/>
  <c r="DX145" i="1" s="1"/>
  <c r="AP146" i="1"/>
  <c r="DT146" i="1"/>
  <c r="DV268" i="1"/>
  <c r="DV124" i="1"/>
  <c r="DX144" i="1" l="1"/>
  <c r="DX326" i="1"/>
  <c r="DV146" i="1"/>
  <c r="DW146" i="1" s="1"/>
  <c r="DX146" i="1" s="1"/>
  <c r="DV89" i="1"/>
  <c r="DW89" i="1" s="1"/>
  <c r="DX89" i="1" s="1"/>
  <c r="DV348" i="1"/>
  <c r="DW348" i="1" s="1"/>
  <c r="DX348" i="1" s="1"/>
  <c r="DV347" i="1"/>
  <c r="DW347" i="1" s="1"/>
  <c r="DX347" i="1" s="1"/>
  <c r="DX149" i="1" l="1"/>
  <c r="DW149" i="1"/>
  <c r="DU212" i="1"/>
  <c r="DT212" i="1"/>
  <c r="DU139" i="1"/>
  <c r="DT139" i="1"/>
  <c r="DS139" i="1"/>
  <c r="T212" i="1"/>
  <c r="T139" i="1"/>
  <c r="R212" i="1"/>
  <c r="R139" i="1"/>
  <c r="CZ140" i="1"/>
  <c r="CT140" i="1"/>
  <c r="CP140" i="1"/>
  <c r="DU138" i="1"/>
  <c r="DT138" i="1"/>
  <c r="DS138" i="1"/>
  <c r="BL138" i="1"/>
  <c r="BK356" i="1"/>
  <c r="BJ138" i="1"/>
  <c r="DU137" i="1"/>
  <c r="DT137" i="1"/>
  <c r="DF137" i="1"/>
  <c r="DD137" i="1"/>
  <c r="CX137" i="1"/>
  <c r="BJ137" i="1"/>
  <c r="DW185" i="1"/>
  <c r="DX185" i="1" s="1"/>
  <c r="DX136" i="1"/>
  <c r="J136" i="1"/>
  <c r="I135" i="1"/>
  <c r="J135" i="1" s="1"/>
  <c r="J134" i="1" l="1"/>
  <c r="DW134" i="1"/>
  <c r="DX134" i="1" s="1"/>
  <c r="DV139" i="1"/>
  <c r="DW139" i="1" s="1"/>
  <c r="DX139" i="1" s="1"/>
  <c r="DV212" i="1"/>
  <c r="DW135" i="1"/>
  <c r="DX135" i="1" s="1"/>
  <c r="DW133" i="1" l="1"/>
  <c r="DX40" i="1"/>
  <c r="DX39" i="1"/>
  <c r="DX32" i="1"/>
  <c r="DX30" i="1"/>
  <c r="J16" i="1"/>
  <c r="J9" i="1"/>
  <c r="BP176" i="1"/>
  <c r="BN176" i="1"/>
  <c r="BB176" i="1"/>
  <c r="DU173" i="1"/>
  <c r="DT173" i="1"/>
  <c r="DS173" i="1"/>
  <c r="CR173" i="1"/>
  <c r="AH173" i="1"/>
  <c r="AB173" i="1"/>
  <c r="AQ172" i="1"/>
  <c r="AR172" i="1" s="1"/>
  <c r="AO172" i="1"/>
  <c r="AP172" i="1" s="1"/>
  <c r="AM172" i="1"/>
  <c r="AN172" i="1" s="1"/>
  <c r="AL172" i="1"/>
  <c r="DU171" i="1"/>
  <c r="DT171" i="1"/>
  <c r="DS171" i="1"/>
  <c r="CV171" i="1"/>
  <c r="CT171" i="1"/>
  <c r="CR171" i="1"/>
  <c r="CP171" i="1"/>
  <c r="DU163" i="1"/>
  <c r="DT163" i="1"/>
  <c r="DS163" i="1"/>
  <c r="CV163" i="1"/>
  <c r="CT163" i="1"/>
  <c r="CR163" i="1"/>
  <c r="CP163" i="1"/>
  <c r="AQ127" i="1"/>
  <c r="AR127" i="1" s="1"/>
  <c r="AO127" i="1"/>
  <c r="AP127" i="1" s="1"/>
  <c r="AM127" i="1"/>
  <c r="AL127" i="1"/>
  <c r="DU120" i="1"/>
  <c r="DT120" i="1"/>
  <c r="CV120" i="1"/>
  <c r="CT120" i="1"/>
  <c r="CR120" i="1"/>
  <c r="CP120" i="1"/>
  <c r="DU75" i="1"/>
  <c r="DT75" i="1"/>
  <c r="CV75" i="1"/>
  <c r="CT75" i="1"/>
  <c r="CR75" i="1"/>
  <c r="CP75" i="1"/>
  <c r="DU64" i="1"/>
  <c r="DT64" i="1"/>
  <c r="CV64" i="1"/>
  <c r="CT64" i="1"/>
  <c r="CR64" i="1"/>
  <c r="CP64" i="1"/>
  <c r="AQ170" i="1"/>
  <c r="AR170" i="1" s="1"/>
  <c r="AO170" i="1"/>
  <c r="AP170" i="1" s="1"/>
  <c r="AM170" i="1"/>
  <c r="AN170" i="1" s="1"/>
  <c r="AL170" i="1"/>
  <c r="DU169" i="1"/>
  <c r="DT169" i="1"/>
  <c r="DS169" i="1"/>
  <c r="T169" i="1"/>
  <c r="P169" i="1"/>
  <c r="DU168" i="1"/>
  <c r="DT168" i="1"/>
  <c r="T168" i="1"/>
  <c r="R168" i="1"/>
  <c r="P168" i="1"/>
  <c r="DU167" i="1"/>
  <c r="DT167" i="1"/>
  <c r="X167" i="1"/>
  <c r="V167" i="1"/>
  <c r="DU166" i="1"/>
  <c r="DT166" i="1"/>
  <c r="DS166" i="1"/>
  <c r="V166" i="1"/>
  <c r="T166" i="1"/>
  <c r="R166" i="1"/>
  <c r="P166" i="1"/>
  <c r="DU165" i="1"/>
  <c r="DT165" i="1"/>
  <c r="DS165" i="1"/>
  <c r="T165" i="1"/>
  <c r="R165" i="1"/>
  <c r="DU164" i="1"/>
  <c r="DT164" i="1"/>
  <c r="DS164" i="1"/>
  <c r="X164" i="1"/>
  <c r="V164" i="1"/>
  <c r="DU154" i="1"/>
  <c r="DT154" i="1"/>
  <c r="DS154" i="1"/>
  <c r="X154" i="1"/>
  <c r="V154" i="1"/>
  <c r="DU123" i="1"/>
  <c r="DT123" i="1"/>
  <c r="T123" i="1"/>
  <c r="R123" i="1"/>
  <c r="DU122" i="1"/>
  <c r="DT122" i="1"/>
  <c r="X122" i="1"/>
  <c r="V122" i="1"/>
  <c r="AQ121" i="1"/>
  <c r="AO121" i="1"/>
  <c r="AP121" i="1" s="1"/>
  <c r="AM121" i="1"/>
  <c r="AL121" i="1"/>
  <c r="AD126" i="1"/>
  <c r="Z126" i="1"/>
  <c r="BA83" i="1"/>
  <c r="BB83" i="1" s="1"/>
  <c r="AC83" i="1"/>
  <c r="AD83" i="1" s="1"/>
  <c r="Y83" i="1"/>
  <c r="DX105" i="1"/>
  <c r="DX104" i="1"/>
  <c r="DX103" i="1"/>
  <c r="AQ86" i="1"/>
  <c r="AR86" i="1" s="1"/>
  <c r="AO86" i="1"/>
  <c r="AP86" i="1" s="1"/>
  <c r="AM86" i="1"/>
  <c r="AL86" i="1"/>
  <c r="AQ80" i="1"/>
  <c r="AR80" i="1" s="1"/>
  <c r="AO80" i="1"/>
  <c r="AP80" i="1" s="1"/>
  <c r="AM80" i="1"/>
  <c r="AL80" i="1"/>
  <c r="AQ76" i="1"/>
  <c r="AR76" i="1" s="1"/>
  <c r="AO76" i="1"/>
  <c r="AP76" i="1" s="1"/>
  <c r="AM76" i="1"/>
  <c r="AL76" i="1"/>
  <c r="AQ69" i="1"/>
  <c r="AR69" i="1" s="1"/>
  <c r="AO69" i="1"/>
  <c r="AP69" i="1" s="1"/>
  <c r="AM69" i="1"/>
  <c r="AL69" i="1"/>
  <c r="DW50" i="1"/>
  <c r="DX50" i="1" s="1"/>
  <c r="DW49" i="1"/>
  <c r="DX49" i="1" s="1"/>
  <c r="DW78" i="1"/>
  <c r="BR12" i="1"/>
  <c r="BN12" i="1"/>
  <c r="BR11" i="1"/>
  <c r="BN11" i="1"/>
  <c r="DS80" i="1" l="1"/>
  <c r="DX78" i="1"/>
  <c r="DX133" i="1"/>
  <c r="DS86" i="1"/>
  <c r="Z83" i="1"/>
  <c r="DS83" i="1"/>
  <c r="AN69" i="1"/>
  <c r="DS69" i="1"/>
  <c r="AN127" i="1"/>
  <c r="DS127" i="1"/>
  <c r="AN121" i="1"/>
  <c r="DS121" i="1"/>
  <c r="DS76" i="1"/>
  <c r="DU86" i="1"/>
  <c r="DT86" i="1"/>
  <c r="J133" i="1"/>
  <c r="DV140" i="1"/>
  <c r="DW140" i="1" s="1"/>
  <c r="DX140" i="1" s="1"/>
  <c r="DV137" i="1"/>
  <c r="DW137" i="1" s="1"/>
  <c r="DX137" i="1" s="1"/>
  <c r="J49" i="1"/>
  <c r="J50" i="1"/>
  <c r="DV176" i="1"/>
  <c r="DW176" i="1" s="1"/>
  <c r="DX176" i="1" s="1"/>
  <c r="DV173" i="1"/>
  <c r="DW173" i="1" s="1"/>
  <c r="DX173" i="1" s="1"/>
  <c r="DS172" i="1"/>
  <c r="DV171" i="1"/>
  <c r="DW171" i="1" s="1"/>
  <c r="DX171" i="1" s="1"/>
  <c r="DV163" i="1"/>
  <c r="DW163" i="1" s="1"/>
  <c r="DX163" i="1" s="1"/>
  <c r="DT172" i="1"/>
  <c r="DU172" i="1"/>
  <c r="DV120" i="1"/>
  <c r="DW120" i="1" s="1"/>
  <c r="DX120" i="1" s="1"/>
  <c r="DT127" i="1"/>
  <c r="DU127" i="1"/>
  <c r="DV75" i="1"/>
  <c r="DW75" i="1" s="1"/>
  <c r="DX75" i="1" s="1"/>
  <c r="DV64" i="1"/>
  <c r="DW64" i="1" s="1"/>
  <c r="DX64" i="1" s="1"/>
  <c r="DV168" i="1"/>
  <c r="DW168" i="1" s="1"/>
  <c r="DX168" i="1" s="1"/>
  <c r="DV169" i="1"/>
  <c r="DW169" i="1" s="1"/>
  <c r="DX169" i="1" s="1"/>
  <c r="DS170" i="1"/>
  <c r="DV166" i="1"/>
  <c r="DW166" i="1" s="1"/>
  <c r="DX166" i="1" s="1"/>
  <c r="DV165" i="1"/>
  <c r="DW165" i="1" s="1"/>
  <c r="DX165" i="1" s="1"/>
  <c r="DT170" i="1"/>
  <c r="DU170" i="1"/>
  <c r="DV164" i="1"/>
  <c r="DW164" i="1" s="1"/>
  <c r="DX164" i="1" s="1"/>
  <c r="DV167" i="1"/>
  <c r="DW167" i="1" s="1"/>
  <c r="DX167" i="1" s="1"/>
  <c r="DV154" i="1"/>
  <c r="DW154" i="1" s="1"/>
  <c r="DX154" i="1" s="1"/>
  <c r="DW124" i="1"/>
  <c r="DX124" i="1" s="1"/>
  <c r="DV123" i="1"/>
  <c r="DW123" i="1" s="1"/>
  <c r="DX123" i="1" s="1"/>
  <c r="DV122" i="1"/>
  <c r="DW122" i="1" s="1"/>
  <c r="DX122" i="1" s="1"/>
  <c r="DT121" i="1"/>
  <c r="AR121" i="1"/>
  <c r="DU121" i="1"/>
  <c r="DV126" i="1"/>
  <c r="DW126" i="1" s="1"/>
  <c r="DX126" i="1" s="1"/>
  <c r="DT83" i="1"/>
  <c r="DU83" i="1"/>
  <c r="DU76" i="1"/>
  <c r="DT80" i="1"/>
  <c r="AN80" i="1"/>
  <c r="AN86" i="1"/>
  <c r="DU80" i="1"/>
  <c r="DT76" i="1"/>
  <c r="AN76" i="1"/>
  <c r="DT69" i="1"/>
  <c r="DU69" i="1"/>
  <c r="DV177" i="1" l="1"/>
  <c r="DW177" i="1" s="1"/>
  <c r="DX177" i="1" s="1"/>
  <c r="DV86" i="1"/>
  <c r="DW86" i="1" s="1"/>
  <c r="DX86" i="1" s="1"/>
  <c r="DV138" i="1"/>
  <c r="DW138" i="1" s="1"/>
  <c r="DX138" i="1" s="1"/>
  <c r="DV172" i="1"/>
  <c r="DW172" i="1" s="1"/>
  <c r="DX172" i="1" s="1"/>
  <c r="DV127" i="1"/>
  <c r="DW127" i="1" s="1"/>
  <c r="DX127" i="1" s="1"/>
  <c r="DV170" i="1"/>
  <c r="DW170" i="1" s="1"/>
  <c r="DX170" i="1" s="1"/>
  <c r="DV121" i="1"/>
  <c r="DW121" i="1" s="1"/>
  <c r="DX121" i="1" s="1"/>
  <c r="DV83" i="1"/>
  <c r="DW83" i="1" s="1"/>
  <c r="DX83" i="1" s="1"/>
  <c r="DV76" i="1"/>
  <c r="DW76" i="1" s="1"/>
  <c r="DX76" i="1" s="1"/>
  <c r="DV80" i="1"/>
  <c r="DW80" i="1" s="1"/>
  <c r="DV69" i="1"/>
  <c r="DW69" i="1" s="1"/>
  <c r="DX69" i="1" s="1"/>
  <c r="DV12" i="1"/>
  <c r="DW12" i="1" s="1"/>
  <c r="DX12" i="1" s="1"/>
  <c r="DV11" i="1"/>
  <c r="DW11" i="1" l="1"/>
  <c r="DX11" i="1" s="1"/>
  <c r="DW143" i="1"/>
  <c r="DX80" i="1"/>
  <c r="DX143" i="1"/>
  <c r="I184" i="1"/>
  <c r="DW184" i="1" s="1"/>
  <c r="DX184" i="1" s="1"/>
  <c r="CM106" i="1"/>
  <c r="CN106" i="1" s="1"/>
  <c r="CK106" i="1"/>
  <c r="CL106" i="1" s="1"/>
  <c r="DU88" i="1"/>
  <c r="DT88" i="1"/>
  <c r="DS88" i="1"/>
  <c r="AH88" i="1"/>
  <c r="AB88" i="1"/>
  <c r="DU87" i="1"/>
  <c r="DT87" i="1"/>
  <c r="AH87" i="1"/>
  <c r="AB87" i="1"/>
  <c r="DS106" i="1" l="1"/>
  <c r="DT106" i="1"/>
  <c r="DU106" i="1"/>
  <c r="DV88" i="1"/>
  <c r="DW88" i="1" s="1"/>
  <c r="DX88" i="1" s="1"/>
  <c r="DV87" i="1"/>
  <c r="DW87" i="1" s="1"/>
  <c r="DX87" i="1" s="1"/>
  <c r="DV106" i="1" l="1"/>
  <c r="DW106" i="1" s="1"/>
  <c r="DX106" i="1" s="1"/>
  <c r="J153" i="1" l="1"/>
  <c r="AH350" i="1"/>
  <c r="AB287" i="1"/>
  <c r="AB294" i="1"/>
  <c r="AH312" i="1"/>
  <c r="AB312" i="1"/>
  <c r="AH333" i="1"/>
  <c r="AB333" i="1"/>
  <c r="AB334" i="1"/>
  <c r="CV60" i="1"/>
  <c r="CP28" i="1"/>
  <c r="DW9" i="1" l="1"/>
  <c r="DX9" i="1" s="1"/>
  <c r="DX323" i="1"/>
  <c r="DX108" i="1"/>
  <c r="DU74" i="1"/>
  <c r="DT74" i="1"/>
  <c r="CR316" i="1" l="1"/>
  <c r="CR315" i="1"/>
  <c r="CR313" i="1"/>
  <c r="CR307" i="1"/>
  <c r="CR306" i="1"/>
  <c r="CR303" i="1"/>
  <c r="CR299" i="1"/>
  <c r="CT279" i="1"/>
  <c r="CR289" i="1"/>
  <c r="CR261" i="1"/>
  <c r="CR228" i="1"/>
  <c r="CR227" i="1"/>
  <c r="CR214" i="1"/>
  <c r="CR205" i="1"/>
  <c r="CP194" i="1"/>
  <c r="CR175" i="1"/>
  <c r="CR162" i="1"/>
  <c r="CT128" i="1"/>
  <c r="CV128" i="1"/>
  <c r="CV100" i="1"/>
  <c r="CR100" i="1"/>
  <c r="CT100" i="1"/>
  <c r="CV65" i="1"/>
  <c r="CT68" i="1"/>
  <c r="CP68" i="1"/>
  <c r="CP65" i="1"/>
  <c r="CP60" i="1"/>
  <c r="CT58" i="1"/>
  <c r="CV23" i="1"/>
  <c r="CP26" i="1"/>
  <c r="CP23" i="1"/>
  <c r="CT26" i="1"/>
  <c r="CT28" i="1"/>
  <c r="CV35" i="1"/>
  <c r="CV34" i="1"/>
  <c r="CT38" i="1"/>
  <c r="CP38" i="1"/>
  <c r="CP34" i="1"/>
  <c r="CP31" i="1"/>
  <c r="CT74" i="1" l="1"/>
  <c r="CP74" i="1"/>
  <c r="DU259" i="1" l="1"/>
  <c r="DT259" i="1"/>
  <c r="DS259" i="1"/>
  <c r="DS260" i="1"/>
  <c r="DU256" i="1"/>
  <c r="DT256" i="1"/>
  <c r="DS256" i="1"/>
  <c r="CP193" i="1"/>
  <c r="DU159" i="1"/>
  <c r="DT159" i="1"/>
  <c r="DS159" i="1"/>
  <c r="CT73" i="1"/>
  <c r="CP73" i="1"/>
  <c r="CR27" i="1"/>
  <c r="CT27" i="1"/>
  <c r="CP27" i="1"/>
  <c r="DU27" i="1"/>
  <c r="DT27" i="1"/>
  <c r="DS27" i="1"/>
  <c r="CV337" i="1" l="1"/>
  <c r="CR337" i="1"/>
  <c r="DU330" i="1" l="1"/>
  <c r="DT330" i="1"/>
  <c r="DS330" i="1"/>
  <c r="DU92" i="1" l="1"/>
  <c r="DT92" i="1"/>
  <c r="DT93" i="1"/>
  <c r="DV339" i="1" l="1"/>
  <c r="DW339" i="1" s="1"/>
  <c r="DX339" i="1" s="1"/>
  <c r="BI321" i="1" l="1"/>
  <c r="BJ321" i="1" s="1"/>
  <c r="BA321" i="1"/>
  <c r="BB321" i="1" s="1"/>
  <c r="AE321" i="1"/>
  <c r="AF321" i="1" s="1"/>
  <c r="DU321" i="1" l="1"/>
  <c r="DS321" i="1"/>
  <c r="DT321" i="1"/>
  <c r="DV199" i="1" l="1"/>
  <c r="DW199" i="1" s="1"/>
  <c r="DX199" i="1" s="1"/>
  <c r="CR65" i="1"/>
  <c r="DU112" i="1"/>
  <c r="DT112" i="1"/>
  <c r="DS112" i="1"/>
  <c r="DV112" i="1" l="1"/>
  <c r="DW112" i="1" s="1"/>
  <c r="DX112" i="1" s="1"/>
  <c r="DU238" i="1" l="1"/>
  <c r="DT238" i="1"/>
  <c r="DS238" i="1"/>
  <c r="DU205" i="1"/>
  <c r="DT205" i="1"/>
  <c r="DS205" i="1"/>
  <c r="DV238" i="1" l="1"/>
  <c r="DW238" i="1" s="1"/>
  <c r="DX238" i="1" s="1"/>
  <c r="DV205" i="1"/>
  <c r="DW205" i="1" s="1"/>
  <c r="DX205" i="1" s="1"/>
  <c r="CV238" i="1" l="1"/>
  <c r="CV205" i="1"/>
  <c r="CT238" i="1"/>
  <c r="CT205" i="1"/>
  <c r="CR238" i="1"/>
  <c r="CP238" i="1" l="1"/>
  <c r="CP205" i="1"/>
  <c r="CG356" i="1" l="1"/>
  <c r="CE356" i="1"/>
  <c r="CC356" i="1"/>
  <c r="CA356" i="1"/>
  <c r="BY356" i="1"/>
  <c r="BW356" i="1"/>
  <c r="BU356" i="1"/>
  <c r="BS356" i="1"/>
  <c r="BO356" i="1"/>
  <c r="BM356" i="1"/>
  <c r="BE356" i="1"/>
  <c r="BC356" i="1"/>
  <c r="AY356" i="1"/>
  <c r="AW356" i="1"/>
  <c r="AU356" i="1"/>
  <c r="AS356" i="1"/>
  <c r="AK356" i="1"/>
  <c r="AG356" i="1"/>
  <c r="AA356" i="1"/>
  <c r="W356" i="1"/>
  <c r="U356" i="1"/>
  <c r="S356" i="1"/>
  <c r="Q356" i="1"/>
  <c r="O356" i="1"/>
  <c r="DU128" i="1"/>
  <c r="DT128" i="1"/>
  <c r="J119" i="1" l="1"/>
  <c r="J270" i="1" l="1"/>
  <c r="DW267" i="1"/>
  <c r="DX267" i="1" s="1"/>
  <c r="DW266" i="1"/>
  <c r="J237" i="1"/>
  <c r="J236" i="1"/>
  <c r="DW204" i="1"/>
  <c r="DX204" i="1" s="1"/>
  <c r="J185" i="1"/>
  <c r="DW119" i="1"/>
  <c r="DX119" i="1" s="1"/>
  <c r="DW118" i="1"/>
  <c r="DW72" i="1"/>
  <c r="DX72" i="1" s="1"/>
  <c r="DW71" i="1"/>
  <c r="DX71" i="1" l="1"/>
  <c r="DX118" i="1"/>
  <c r="DX266" i="1"/>
  <c r="DX269" i="1" s="1"/>
  <c r="DW269" i="1"/>
  <c r="EA355" i="1" s="1"/>
  <c r="DX355" i="1" s="1"/>
  <c r="J184" i="1"/>
  <c r="DW203" i="1"/>
  <c r="J266" i="1"/>
  <c r="DW236" i="1"/>
  <c r="DW237" i="1"/>
  <c r="DX237" i="1" s="1"/>
  <c r="DW270" i="1"/>
  <c r="J204" i="1"/>
  <c r="J267" i="1"/>
  <c r="DX19" i="1"/>
  <c r="DW16" i="1"/>
  <c r="DX16" i="1" s="1"/>
  <c r="DW15" i="1"/>
  <c r="DU250" i="1"/>
  <c r="DU313" i="1"/>
  <c r="DT313" i="1"/>
  <c r="DS313" i="1"/>
  <c r="DU306" i="1"/>
  <c r="DT306" i="1"/>
  <c r="DS306" i="1"/>
  <c r="DU303" i="1"/>
  <c r="DT303" i="1"/>
  <c r="DS303" i="1"/>
  <c r="DU289" i="1"/>
  <c r="DT289" i="1"/>
  <c r="DS289" i="1"/>
  <c r="DU261" i="1"/>
  <c r="DT261" i="1"/>
  <c r="DS261" i="1"/>
  <c r="DU316" i="1"/>
  <c r="DT316" i="1"/>
  <c r="DS316" i="1"/>
  <c r="DU307" i="1"/>
  <c r="DT307" i="1"/>
  <c r="DS307" i="1"/>
  <c r="DU299" i="1"/>
  <c r="DT299" i="1"/>
  <c r="DS299" i="1"/>
  <c r="DU260" i="1"/>
  <c r="DT260" i="1"/>
  <c r="DU255" i="1"/>
  <c r="DT255" i="1"/>
  <c r="DS255" i="1"/>
  <c r="DU252" i="1"/>
  <c r="DT252" i="1"/>
  <c r="DS252" i="1"/>
  <c r="DT250" i="1"/>
  <c r="DS250" i="1"/>
  <c r="DU175" i="1"/>
  <c r="DT175" i="1"/>
  <c r="DX236" i="1" l="1"/>
  <c r="DX203" i="1"/>
  <c r="DX207" i="1" s="1"/>
  <c r="DW207" i="1"/>
  <c r="DX15" i="1"/>
  <c r="DX270" i="1"/>
  <c r="DV330" i="1"/>
  <c r="DW330" i="1" s="1"/>
  <c r="DX330" i="1" s="1"/>
  <c r="DV337" i="1"/>
  <c r="DW337" i="1" s="1"/>
  <c r="DX337" i="1" s="1"/>
  <c r="DW327" i="1"/>
  <c r="DV321" i="1"/>
  <c r="DW321" i="1" s="1"/>
  <c r="DX321" i="1" s="1"/>
  <c r="DV279" i="1"/>
  <c r="DW279" i="1" s="1"/>
  <c r="DX279" i="1" s="1"/>
  <c r="DV315" i="1"/>
  <c r="DW315" i="1" s="1"/>
  <c r="DX315" i="1" s="1"/>
  <c r="DV314" i="1"/>
  <c r="DW314" i="1" s="1"/>
  <c r="DX314" i="1" s="1"/>
  <c r="DV290" i="1"/>
  <c r="DW290" i="1" s="1"/>
  <c r="DX290" i="1" s="1"/>
  <c r="DV316" i="1"/>
  <c r="DW316" i="1" s="1"/>
  <c r="DX316" i="1" s="1"/>
  <c r="DV313" i="1"/>
  <c r="DW313" i="1" s="1"/>
  <c r="DX313" i="1" s="1"/>
  <c r="DV307" i="1"/>
  <c r="DW307" i="1" s="1"/>
  <c r="DX307" i="1" s="1"/>
  <c r="DV306" i="1"/>
  <c r="DW306" i="1" s="1"/>
  <c r="DX306" i="1" s="1"/>
  <c r="DV303" i="1"/>
  <c r="DW303" i="1" s="1"/>
  <c r="DX303" i="1" s="1"/>
  <c r="DV289" i="1"/>
  <c r="DW289" i="1" s="1"/>
  <c r="DX289" i="1" s="1"/>
  <c r="DV278" i="1"/>
  <c r="DW278" i="1" s="1"/>
  <c r="DX278" i="1" s="1"/>
  <c r="DV299" i="1"/>
  <c r="DW299" i="1" s="1"/>
  <c r="DX299" i="1" s="1"/>
  <c r="DV261" i="1"/>
  <c r="DW261" i="1" s="1"/>
  <c r="DX261" i="1" s="1"/>
  <c r="DV259" i="1"/>
  <c r="DW259" i="1" s="1"/>
  <c r="DX259" i="1" s="1"/>
  <c r="DV260" i="1"/>
  <c r="DW260" i="1" s="1"/>
  <c r="DX260" i="1" s="1"/>
  <c r="DV258" i="1"/>
  <c r="DW258" i="1" s="1"/>
  <c r="DX258" i="1" s="1"/>
  <c r="DV257" i="1"/>
  <c r="DW257" i="1" s="1"/>
  <c r="DX257" i="1" s="1"/>
  <c r="DV256" i="1"/>
  <c r="DW256" i="1" s="1"/>
  <c r="DX256" i="1" s="1"/>
  <c r="DV244" i="1"/>
  <c r="DW244" i="1" s="1"/>
  <c r="DX244" i="1" s="1"/>
  <c r="DV255" i="1"/>
  <c r="DW255" i="1" s="1"/>
  <c r="DX255" i="1" s="1"/>
  <c r="DW251" i="1"/>
  <c r="DX251" i="1" s="1"/>
  <c r="DV252" i="1"/>
  <c r="DW252" i="1" s="1"/>
  <c r="DX252" i="1" s="1"/>
  <c r="DV250" i="1"/>
  <c r="DW250" i="1" s="1"/>
  <c r="DX250" i="1" s="1"/>
  <c r="DV247" i="1"/>
  <c r="DW247" i="1" s="1"/>
  <c r="DX247" i="1" s="1"/>
  <c r="DV245" i="1"/>
  <c r="DW245" i="1" s="1"/>
  <c r="DX245" i="1" s="1"/>
  <c r="DV38" i="1"/>
  <c r="DV194" i="1"/>
  <c r="DX327" i="1" l="1"/>
  <c r="DU68" i="1"/>
  <c r="DT68" i="1"/>
  <c r="DU65" i="1"/>
  <c r="DT65" i="1"/>
  <c r="DU63" i="1"/>
  <c r="DT63" i="1"/>
  <c r="DU60" i="1"/>
  <c r="DT60" i="1"/>
  <c r="DV193" i="1"/>
  <c r="DW193" i="1" s="1"/>
  <c r="DX193" i="1" s="1"/>
  <c r="DU26" i="1"/>
  <c r="DT26" i="1"/>
  <c r="DV228" i="1" l="1"/>
  <c r="DW228" i="1" s="1"/>
  <c r="DX228" i="1" s="1"/>
  <c r="DV227" i="1"/>
  <c r="DV226" i="1"/>
  <c r="DW226" i="1" s="1"/>
  <c r="DX226" i="1" s="1"/>
  <c r="DV213" i="1"/>
  <c r="DW213" i="1" s="1"/>
  <c r="DX213" i="1" s="1"/>
  <c r="DV225" i="1"/>
  <c r="DW225" i="1" s="1"/>
  <c r="DX225" i="1" s="1"/>
  <c r="DV223" i="1"/>
  <c r="DW223" i="1" s="1"/>
  <c r="DX223" i="1" s="1"/>
  <c r="DV214" i="1"/>
  <c r="DW214" i="1" s="1"/>
  <c r="DX214" i="1" s="1"/>
  <c r="DV224" i="1"/>
  <c r="DW224" i="1" s="1"/>
  <c r="DX224" i="1" s="1"/>
  <c r="DV242" i="1"/>
  <c r="DW242" i="1" s="1"/>
  <c r="DX242" i="1" s="1"/>
  <c r="DV222" i="1"/>
  <c r="DW222" i="1" s="1"/>
  <c r="DX222" i="1" s="1"/>
  <c r="DV23" i="1"/>
  <c r="DW23" i="1" s="1"/>
  <c r="DW194" i="1"/>
  <c r="DX194" i="1" s="1"/>
  <c r="DW212" i="1"/>
  <c r="DV189" i="1"/>
  <c r="DW189" i="1" s="1"/>
  <c r="DW227" i="1" l="1"/>
  <c r="DX227" i="1" s="1"/>
  <c r="DX189" i="1"/>
  <c r="DX212" i="1"/>
  <c r="DX23" i="1"/>
  <c r="CV316" i="1"/>
  <c r="CV315" i="1"/>
  <c r="CV313" i="1"/>
  <c r="CV307" i="1"/>
  <c r="CV306" i="1"/>
  <c r="CV303" i="1"/>
  <c r="CV299" i="1"/>
  <c r="CV289" i="1"/>
  <c r="CV261" i="1"/>
  <c r="CV255" i="1"/>
  <c r="CV252" i="1"/>
  <c r="CV250" i="1"/>
  <c r="CV247" i="1"/>
  <c r="CV244" i="1"/>
  <c r="CV242" i="1"/>
  <c r="CV228" i="1"/>
  <c r="CV227" i="1"/>
  <c r="CV214" i="1"/>
  <c r="CV189" i="1"/>
  <c r="CV162" i="1"/>
  <c r="CV63" i="1"/>
  <c r="CP63" i="1"/>
  <c r="DU351" i="1" l="1"/>
  <c r="DT351" i="1"/>
  <c r="DS351" i="1"/>
  <c r="DU349" i="1"/>
  <c r="DT349" i="1"/>
  <c r="DS349" i="1"/>
  <c r="DU344" i="1"/>
  <c r="DT344" i="1"/>
  <c r="DS344" i="1"/>
  <c r="DU353" i="1"/>
  <c r="DT353" i="1"/>
  <c r="DS353" i="1"/>
  <c r="DU352" i="1"/>
  <c r="DT352" i="1"/>
  <c r="DS352" i="1"/>
  <c r="DU335" i="1"/>
  <c r="DT335" i="1"/>
  <c r="DS335" i="1"/>
  <c r="DU281" i="1"/>
  <c r="DT281" i="1"/>
  <c r="DS281" i="1"/>
  <c r="DU254" i="1"/>
  <c r="DT254" i="1"/>
  <c r="DS254" i="1"/>
  <c r="DU246" i="1"/>
  <c r="DT246" i="1"/>
  <c r="DS246" i="1"/>
  <c r="DU243" i="1"/>
  <c r="DT243" i="1"/>
  <c r="DS243" i="1"/>
  <c r="DU241" i="1"/>
  <c r="DT241" i="1"/>
  <c r="DU240" i="1"/>
  <c r="DT240" i="1"/>
  <c r="DS240" i="1"/>
  <c r="DU239" i="1"/>
  <c r="DT239" i="1"/>
  <c r="DU220" i="1"/>
  <c r="DT220" i="1"/>
  <c r="DS220" i="1"/>
  <c r="DU217" i="1"/>
  <c r="DT217" i="1"/>
  <c r="DU216" i="1"/>
  <c r="DT216" i="1"/>
  <c r="DU200" i="1"/>
  <c r="DT200" i="1"/>
  <c r="DS200" i="1"/>
  <c r="DU253" i="1"/>
  <c r="DT253" i="1"/>
  <c r="DS253" i="1"/>
  <c r="DU218" i="1"/>
  <c r="DT218" i="1"/>
  <c r="DU160" i="1"/>
  <c r="DT160" i="1"/>
  <c r="DS160" i="1"/>
  <c r="DU304" i="1"/>
  <c r="DU248" i="1"/>
  <c r="DT304" i="1"/>
  <c r="DT248" i="1"/>
  <c r="DS304" i="1"/>
  <c r="DS248" i="1"/>
  <c r="DU158" i="1"/>
  <c r="DT158" i="1"/>
  <c r="DS158" i="1"/>
  <c r="DU157" i="1"/>
  <c r="DT157" i="1"/>
  <c r="DS157" i="1"/>
  <c r="DU219" i="1"/>
  <c r="DT219" i="1"/>
  <c r="DS219" i="1"/>
  <c r="DU156" i="1"/>
  <c r="DT156" i="1"/>
  <c r="DS156" i="1"/>
  <c r="DU155" i="1"/>
  <c r="DT155" i="1"/>
  <c r="DS155" i="1"/>
  <c r="DU350" i="1"/>
  <c r="DT350" i="1"/>
  <c r="DS350" i="1"/>
  <c r="DU111" i="1"/>
  <c r="DT111" i="1"/>
  <c r="DU297" i="1"/>
  <c r="DU288" i="1"/>
  <c r="DT288" i="1"/>
  <c r="DS288" i="1"/>
  <c r="DU110" i="1"/>
  <c r="DT110" i="1"/>
  <c r="DU343" i="1"/>
  <c r="DT343" i="1"/>
  <c r="DS343" i="1"/>
  <c r="DU294" i="1"/>
  <c r="DT294" i="1"/>
  <c r="DS294" i="1"/>
  <c r="DU287" i="1"/>
  <c r="DT287" i="1"/>
  <c r="DS287" i="1"/>
  <c r="DU109" i="1"/>
  <c r="DT109" i="1"/>
  <c r="DU305" i="1"/>
  <c r="DT305" i="1"/>
  <c r="DS305" i="1"/>
  <c r="DU96" i="1"/>
  <c r="DT96" i="1"/>
  <c r="DU302" i="1"/>
  <c r="DT302" i="1"/>
  <c r="DS302" i="1"/>
  <c r="DU95" i="1"/>
  <c r="DT95" i="1"/>
  <c r="DS95" i="1"/>
  <c r="DU301" i="1"/>
  <c r="DT301" i="1"/>
  <c r="DS301" i="1"/>
  <c r="DU94" i="1"/>
  <c r="DT94" i="1"/>
  <c r="DU300" i="1"/>
  <c r="DT300" i="1"/>
  <c r="DS300" i="1"/>
  <c r="DU93" i="1"/>
  <c r="DS93" i="1"/>
  <c r="DU91" i="1"/>
  <c r="DU298" i="1"/>
  <c r="DT298" i="1"/>
  <c r="DS298" i="1"/>
  <c r="DU331" i="1"/>
  <c r="DT331" i="1"/>
  <c r="DS331" i="1"/>
  <c r="DU114" i="1"/>
  <c r="DT114" i="1"/>
  <c r="DU81" i="1"/>
  <c r="DT81" i="1"/>
  <c r="AH81" i="1"/>
  <c r="DU333" i="1"/>
  <c r="DT333" i="1"/>
  <c r="DS333" i="1"/>
  <c r="DU84" i="1"/>
  <c r="DT84" i="1"/>
  <c r="AH200" i="1"/>
  <c r="AB200" i="1"/>
  <c r="DU249" i="1"/>
  <c r="DT249" i="1"/>
  <c r="DS249" i="1"/>
  <c r="DU57" i="1"/>
  <c r="DT57" i="1"/>
  <c r="DU55" i="1"/>
  <c r="DT55" i="1"/>
  <c r="DU54" i="1"/>
  <c r="DT54" i="1"/>
  <c r="DU312" i="1"/>
  <c r="DT312" i="1"/>
  <c r="DS312" i="1"/>
  <c r="DU125" i="1"/>
  <c r="DT125" i="1"/>
  <c r="DU324" i="1"/>
  <c r="DT324" i="1"/>
  <c r="DS324" i="1"/>
  <c r="DU282" i="1"/>
  <c r="DT282" i="1"/>
  <c r="DS282" i="1"/>
  <c r="DU129" i="1"/>
  <c r="DT129" i="1"/>
  <c r="DU45" i="1"/>
  <c r="DT45" i="1"/>
  <c r="DS45" i="1"/>
  <c r="DU191" i="1"/>
  <c r="DT191" i="1"/>
  <c r="DU37" i="1"/>
  <c r="DT37" i="1"/>
  <c r="DS37" i="1"/>
  <c r="DU25" i="1"/>
  <c r="DT25" i="1"/>
  <c r="DS25" i="1"/>
  <c r="DU190" i="1"/>
  <c r="DT190" i="1"/>
  <c r="DU36" i="1"/>
  <c r="DT36" i="1"/>
  <c r="DS36" i="1"/>
  <c r="DU24" i="1"/>
  <c r="DT24" i="1"/>
  <c r="DS24" i="1"/>
  <c r="DV351" i="1" l="1"/>
  <c r="DW351" i="1" s="1"/>
  <c r="DX351" i="1" s="1"/>
  <c r="DV344" i="1"/>
  <c r="DW344" i="1" s="1"/>
  <c r="DX344" i="1" s="1"/>
  <c r="DV349" i="1"/>
  <c r="DW349" i="1" s="1"/>
  <c r="DX349" i="1" s="1"/>
  <c r="DV353" i="1"/>
  <c r="DW353" i="1" s="1"/>
  <c r="DX353" i="1" s="1"/>
  <c r="DV334" i="1"/>
  <c r="DW334" i="1" s="1"/>
  <c r="DX334" i="1" s="1"/>
  <c r="DV352" i="1"/>
  <c r="DW352" i="1" s="1"/>
  <c r="DX352" i="1" s="1"/>
  <c r="DV335" i="1"/>
  <c r="DW335" i="1" s="1"/>
  <c r="DX335" i="1" s="1"/>
  <c r="DV240" i="1"/>
  <c r="DW240" i="1" s="1"/>
  <c r="DX240" i="1" s="1"/>
  <c r="DV281" i="1"/>
  <c r="DW281" i="1" s="1"/>
  <c r="DX281" i="1" s="1"/>
  <c r="DV254" i="1"/>
  <c r="DW254" i="1" s="1"/>
  <c r="DX254" i="1" s="1"/>
  <c r="DV241" i="1"/>
  <c r="DW241" i="1" s="1"/>
  <c r="DX241" i="1" s="1"/>
  <c r="DV246" i="1"/>
  <c r="DW246" i="1" s="1"/>
  <c r="DX246" i="1" s="1"/>
  <c r="DV243" i="1"/>
  <c r="DW243" i="1" s="1"/>
  <c r="DX243" i="1" s="1"/>
  <c r="DV239" i="1"/>
  <c r="DW239" i="1" s="1"/>
  <c r="DV221" i="1"/>
  <c r="DW221" i="1" s="1"/>
  <c r="DX221" i="1" s="1"/>
  <c r="DV220" i="1"/>
  <c r="DW220" i="1" s="1"/>
  <c r="DX220" i="1" s="1"/>
  <c r="DV217" i="1"/>
  <c r="DW217" i="1" s="1"/>
  <c r="DX217" i="1" s="1"/>
  <c r="DV216" i="1"/>
  <c r="DW216" i="1" s="1"/>
  <c r="DX216" i="1" s="1"/>
  <c r="DV200" i="1"/>
  <c r="DW200" i="1" s="1"/>
  <c r="DX200" i="1" s="1"/>
  <c r="DV248" i="1"/>
  <c r="DW248" i="1" s="1"/>
  <c r="DX248" i="1" s="1"/>
  <c r="DV218" i="1"/>
  <c r="DW218" i="1" s="1"/>
  <c r="DX218" i="1" s="1"/>
  <c r="DV253" i="1"/>
  <c r="DW253" i="1" s="1"/>
  <c r="DX253" i="1" s="1"/>
  <c r="DV304" i="1"/>
  <c r="DW304" i="1" s="1"/>
  <c r="DX304" i="1" s="1"/>
  <c r="DV219" i="1"/>
  <c r="DW219" i="1" s="1"/>
  <c r="DX219" i="1" s="1"/>
  <c r="DV350" i="1"/>
  <c r="DW350" i="1" s="1"/>
  <c r="DX350" i="1" s="1"/>
  <c r="DV297" i="1"/>
  <c r="DW297" i="1" s="1"/>
  <c r="DX297" i="1" s="1"/>
  <c r="DV288" i="1"/>
  <c r="DW288" i="1" s="1"/>
  <c r="DX288" i="1" s="1"/>
  <c r="DV343" i="1"/>
  <c r="DW343" i="1" s="1"/>
  <c r="DX343" i="1" s="1"/>
  <c r="DV287" i="1"/>
  <c r="DW287" i="1" s="1"/>
  <c r="DX287" i="1" s="1"/>
  <c r="DV294" i="1"/>
  <c r="DW294" i="1" s="1"/>
  <c r="DV302" i="1"/>
  <c r="DW302" i="1" s="1"/>
  <c r="DX302" i="1" s="1"/>
  <c r="DV305" i="1"/>
  <c r="DW305" i="1" s="1"/>
  <c r="DX305" i="1" s="1"/>
  <c r="DV301" i="1"/>
  <c r="DW301" i="1" s="1"/>
  <c r="DX301" i="1" s="1"/>
  <c r="DV300" i="1"/>
  <c r="DW300" i="1" s="1"/>
  <c r="DX300" i="1" s="1"/>
  <c r="DV298" i="1"/>
  <c r="DW298" i="1" s="1"/>
  <c r="DX298" i="1" s="1"/>
  <c r="DV114" i="1"/>
  <c r="DW114" i="1" s="1"/>
  <c r="DX114" i="1" s="1"/>
  <c r="DV331" i="1"/>
  <c r="DW331" i="1" s="1"/>
  <c r="DX331" i="1" s="1"/>
  <c r="DV333" i="1"/>
  <c r="DW333" i="1" s="1"/>
  <c r="DX333" i="1" s="1"/>
  <c r="DV249" i="1"/>
  <c r="DW249" i="1" s="1"/>
  <c r="DX249" i="1" s="1"/>
  <c r="DV312" i="1"/>
  <c r="DW312" i="1" s="1"/>
  <c r="DX312" i="1" s="1"/>
  <c r="DV125" i="1"/>
  <c r="DW125" i="1" s="1"/>
  <c r="DV282" i="1"/>
  <c r="DW282" i="1" s="1"/>
  <c r="DX282" i="1" s="1"/>
  <c r="DV324" i="1"/>
  <c r="DW324" i="1" s="1"/>
  <c r="DX324" i="1" s="1"/>
  <c r="DV191" i="1"/>
  <c r="DW191" i="1" s="1"/>
  <c r="DX191" i="1" s="1"/>
  <c r="DV36" i="1"/>
  <c r="DW36" i="1" s="1"/>
  <c r="DX36" i="1" s="1"/>
  <c r="DV26" i="1"/>
  <c r="DW26" i="1" s="1"/>
  <c r="DX26" i="1" s="1"/>
  <c r="DV25" i="1"/>
  <c r="DW25" i="1" s="1"/>
  <c r="DX25" i="1" s="1"/>
  <c r="DV53" i="1"/>
  <c r="DW53" i="1" s="1"/>
  <c r="DX53" i="1" s="1"/>
  <c r="DV65" i="1"/>
  <c r="DW65" i="1" s="1"/>
  <c r="DX65" i="1" s="1"/>
  <c r="DV100" i="1"/>
  <c r="DW100" i="1" s="1"/>
  <c r="DX100" i="1" s="1"/>
  <c r="DV190" i="1"/>
  <c r="DW190" i="1" s="1"/>
  <c r="DV160" i="1"/>
  <c r="DW160" i="1" s="1"/>
  <c r="DX160" i="1" s="1"/>
  <c r="DV98" i="1"/>
  <c r="DW98" i="1" s="1"/>
  <c r="DV159" i="1"/>
  <c r="DW159" i="1" s="1"/>
  <c r="DX159" i="1" s="1"/>
  <c r="DV28" i="1"/>
  <c r="DW28" i="1" s="1"/>
  <c r="DX28" i="1" s="1"/>
  <c r="DV96" i="1"/>
  <c r="DW96" i="1" s="1"/>
  <c r="DX96" i="1" s="1"/>
  <c r="DV35" i="1"/>
  <c r="DW35" i="1" s="1"/>
  <c r="DX35" i="1" s="1"/>
  <c r="DV158" i="1"/>
  <c r="DW158" i="1" s="1"/>
  <c r="DX158" i="1" s="1"/>
  <c r="DV110" i="1"/>
  <c r="DW110" i="1" s="1"/>
  <c r="DX110" i="1" s="1"/>
  <c r="DV95" i="1"/>
  <c r="DW95" i="1" s="1"/>
  <c r="DX95" i="1" s="1"/>
  <c r="DV157" i="1"/>
  <c r="DW157" i="1" s="1"/>
  <c r="DX157" i="1" s="1"/>
  <c r="DV129" i="1"/>
  <c r="DW129" i="1" s="1"/>
  <c r="DX129" i="1" s="1"/>
  <c r="DV109" i="1"/>
  <c r="DW109" i="1" s="1"/>
  <c r="DX109" i="1" s="1"/>
  <c r="DV94" i="1"/>
  <c r="DW94" i="1" s="1"/>
  <c r="DX94" i="1" s="1"/>
  <c r="DV60" i="1"/>
  <c r="DW60" i="1" s="1"/>
  <c r="DX60" i="1" s="1"/>
  <c r="DV34" i="1"/>
  <c r="DW34" i="1" s="1"/>
  <c r="DV27" i="1"/>
  <c r="DW27" i="1" s="1"/>
  <c r="DX27" i="1" s="1"/>
  <c r="DV162" i="1"/>
  <c r="DW162" i="1" s="1"/>
  <c r="DX162" i="1" s="1"/>
  <c r="DV81" i="1"/>
  <c r="DW81" i="1" s="1"/>
  <c r="DV73" i="1"/>
  <c r="DW73" i="1" s="1"/>
  <c r="DV31" i="1"/>
  <c r="DW31" i="1" s="1"/>
  <c r="DX31" i="1" s="1"/>
  <c r="DV161" i="1"/>
  <c r="DW161" i="1" s="1"/>
  <c r="DX161" i="1" s="1"/>
  <c r="DV84" i="1"/>
  <c r="DW84" i="1" s="1"/>
  <c r="DX84" i="1" s="1"/>
  <c r="DW38" i="1"/>
  <c r="DX38" i="1" s="1"/>
  <c r="DV91" i="1"/>
  <c r="DW91" i="1" s="1"/>
  <c r="DX91" i="1" s="1"/>
  <c r="DV57" i="1"/>
  <c r="DW57" i="1" s="1"/>
  <c r="DX57" i="1" s="1"/>
  <c r="DV44" i="1"/>
  <c r="DW44" i="1" s="1"/>
  <c r="DX44" i="1" s="1"/>
  <c r="DV93" i="1"/>
  <c r="DW93" i="1" s="1"/>
  <c r="DX93" i="1" s="1"/>
  <c r="DV155" i="1"/>
  <c r="DW155" i="1" s="1"/>
  <c r="DX155" i="1" s="1"/>
  <c r="DV92" i="1"/>
  <c r="DW92" i="1" s="1"/>
  <c r="DX92" i="1" s="1"/>
  <c r="DV45" i="1"/>
  <c r="DW45" i="1" s="1"/>
  <c r="DX45" i="1" s="1"/>
  <c r="DV54" i="1"/>
  <c r="DW54" i="1" s="1"/>
  <c r="DX54" i="1" s="1"/>
  <c r="DV156" i="1"/>
  <c r="DW156" i="1" s="1"/>
  <c r="DX156" i="1" s="1"/>
  <c r="DV128" i="1"/>
  <c r="DW128" i="1" s="1"/>
  <c r="DX128" i="1" s="1"/>
  <c r="DV74" i="1"/>
  <c r="DW74" i="1" s="1"/>
  <c r="DX74" i="1" s="1"/>
  <c r="DV58" i="1"/>
  <c r="DW58" i="1" s="1"/>
  <c r="DX58" i="1" s="1"/>
  <c r="DV111" i="1"/>
  <c r="DW111" i="1" s="1"/>
  <c r="DX111" i="1" s="1"/>
  <c r="DV63" i="1"/>
  <c r="DW63" i="1" s="1"/>
  <c r="DV68" i="1"/>
  <c r="DW68" i="1" s="1"/>
  <c r="DX68" i="1" s="1"/>
  <c r="DV175" i="1"/>
  <c r="DW175" i="1" s="1"/>
  <c r="DX175" i="1" s="1"/>
  <c r="DV56" i="1"/>
  <c r="DW56" i="1" s="1"/>
  <c r="DX56" i="1" s="1"/>
  <c r="DV55" i="1"/>
  <c r="DW55" i="1" s="1"/>
  <c r="DX55" i="1" s="1"/>
  <c r="DV82" i="1"/>
  <c r="DW82" i="1" s="1"/>
  <c r="DX82" i="1" s="1"/>
  <c r="DV37" i="1"/>
  <c r="DW37" i="1" s="1"/>
  <c r="DX37" i="1" s="1"/>
  <c r="DX79" i="1"/>
  <c r="DV24" i="1"/>
  <c r="DW24" i="1" s="1"/>
  <c r="DX98" i="1" l="1"/>
  <c r="DX63" i="1"/>
  <c r="DX81" i="1"/>
  <c r="DX34" i="1"/>
  <c r="DX41" i="1" s="1"/>
  <c r="DW41" i="1"/>
  <c r="DX294" i="1"/>
  <c r="DX125" i="1"/>
  <c r="DX190" i="1"/>
  <c r="DX24" i="1"/>
  <c r="DX33" i="1" s="1"/>
  <c r="DW33" i="1"/>
  <c r="DX239" i="1"/>
  <c r="DX73" i="1"/>
  <c r="DX77" i="1" s="1"/>
  <c r="DW77" i="1"/>
  <c r="CT330" i="1"/>
  <c r="CT314" i="1"/>
  <c r="CT313" i="1"/>
  <c r="CT290" i="1"/>
  <c r="CT260" i="1"/>
  <c r="CT259" i="1"/>
  <c r="CT258" i="1"/>
  <c r="CT257" i="1"/>
  <c r="CT256" i="1"/>
  <c r="CT252" i="1"/>
  <c r="CT247" i="1"/>
  <c r="CT244" i="1"/>
  <c r="CT228" i="1"/>
  <c r="CT227" i="1"/>
  <c r="CT222" i="1"/>
  <c r="CT194" i="1"/>
  <c r="CT193" i="1"/>
  <c r="CT161" i="1"/>
  <c r="CT159" i="1"/>
  <c r="CT63" i="1"/>
  <c r="CP330" i="1" l="1"/>
  <c r="CP316" i="1"/>
  <c r="CP314" i="1"/>
  <c r="CP307" i="1"/>
  <c r="CP303" i="1"/>
  <c r="CP299" i="1"/>
  <c r="CP289" i="1"/>
  <c r="CP279" i="1"/>
  <c r="CP261" i="1"/>
  <c r="CP260" i="1"/>
  <c r="CP259" i="1"/>
  <c r="CP258" i="1"/>
  <c r="CP257" i="1"/>
  <c r="CP256" i="1"/>
  <c r="CP255" i="1"/>
  <c r="CP252" i="1"/>
  <c r="CP250" i="1"/>
  <c r="CP247" i="1"/>
  <c r="CP245" i="1"/>
  <c r="CP244" i="1"/>
  <c r="CP242" i="1"/>
  <c r="CP228" i="1"/>
  <c r="CP224" i="1"/>
  <c r="CP214" i="1"/>
  <c r="CP213" i="1"/>
  <c r="CP175" i="1"/>
  <c r="CP56" i="1"/>
  <c r="CP159" i="1"/>
  <c r="DW153" i="1"/>
  <c r="DX153" i="1" s="1"/>
  <c r="DW152" i="1"/>
  <c r="J118" i="1"/>
  <c r="BF352" i="1"/>
  <c r="BF335" i="1"/>
  <c r="BD352" i="1"/>
  <c r="BD335" i="1"/>
  <c r="BF281" i="1"/>
  <c r="BD281" i="1"/>
  <c r="DX152" i="1" l="1"/>
  <c r="DV215" i="1"/>
  <c r="DW215" i="1" s="1"/>
  <c r="DW183" i="1"/>
  <c r="DX183" i="1" s="1"/>
  <c r="J183" i="1"/>
  <c r="J182" i="1"/>
  <c r="DW182" i="1"/>
  <c r="AH352" i="1"/>
  <c r="AB353" i="1"/>
  <c r="AH351" i="1"/>
  <c r="AB351" i="1"/>
  <c r="DX182" i="1" l="1"/>
  <c r="DW186" i="1"/>
  <c r="DX215" i="1"/>
  <c r="DX229" i="1" s="1"/>
  <c r="DW229" i="1"/>
  <c r="AH349" i="1"/>
  <c r="AB349" i="1"/>
  <c r="AB111" i="1"/>
  <c r="AB110" i="1"/>
  <c r="AB109" i="1"/>
  <c r="AH331" i="1"/>
  <c r="AB331" i="1"/>
  <c r="AC43" i="1"/>
  <c r="AC198" i="1"/>
  <c r="Y99" i="1"/>
  <c r="AC99" i="1"/>
  <c r="AD99" i="1" s="1"/>
  <c r="AB45" i="1"/>
  <c r="AB82" i="1"/>
  <c r="AB84" i="1"/>
  <c r="AB81" i="1"/>
  <c r="AB114" i="1"/>
  <c r="AB125" i="1"/>
  <c r="AB129" i="1"/>
  <c r="AB297" i="1"/>
  <c r="AB350" i="1"/>
  <c r="AH334" i="1"/>
  <c r="AX334" i="1"/>
  <c r="AV334" i="1"/>
  <c r="AZ334" i="1"/>
  <c r="CD305" i="1"/>
  <c r="BZ305" i="1"/>
  <c r="BV305" i="1"/>
  <c r="BA99" i="1"/>
  <c r="BB99" i="1" s="1"/>
  <c r="BA309" i="1"/>
  <c r="BB309" i="1" s="1"/>
  <c r="AC309" i="1"/>
  <c r="AD309" i="1" s="1"/>
  <c r="Y309" i="1"/>
  <c r="CI308" i="1"/>
  <c r="CF308" i="1"/>
  <c r="R304" i="1"/>
  <c r="P304" i="1"/>
  <c r="CD300" i="1"/>
  <c r="BX300" i="1"/>
  <c r="BT300" i="1"/>
  <c r="CD302" i="1"/>
  <c r="CB302" i="1"/>
  <c r="BV302" i="1"/>
  <c r="CB301" i="1"/>
  <c r="BV301" i="1"/>
  <c r="DX186" i="1" l="1"/>
  <c r="CJ308" i="1"/>
  <c r="DT308" i="1"/>
  <c r="DU308" i="1"/>
  <c r="DS308" i="1"/>
  <c r="AD198" i="1"/>
  <c r="Z309" i="1"/>
  <c r="DT309" i="1"/>
  <c r="DU309" i="1"/>
  <c r="DS309" i="1"/>
  <c r="Z99" i="1"/>
  <c r="DU99" i="1"/>
  <c r="DT99" i="1"/>
  <c r="DS99" i="1"/>
  <c r="AD43" i="1"/>
  <c r="BZ298" i="1"/>
  <c r="BX298" i="1"/>
  <c r="BT298" i="1"/>
  <c r="BI295" i="1"/>
  <c r="BG295" i="1"/>
  <c r="AH294" i="1"/>
  <c r="CK342" i="1"/>
  <c r="CK336" i="1"/>
  <c r="CM342" i="1"/>
  <c r="CN342" i="1" s="1"/>
  <c r="CM336" i="1"/>
  <c r="CN336" i="1" s="1"/>
  <c r="CK292" i="1"/>
  <c r="CM292" i="1"/>
  <c r="AH287" i="1"/>
  <c r="BG285" i="1"/>
  <c r="BI285" i="1"/>
  <c r="BA284" i="1"/>
  <c r="BB284" i="1" s="1"/>
  <c r="AC284" i="1"/>
  <c r="AD284" i="1" s="1"/>
  <c r="Y284" i="1"/>
  <c r="Y356" i="1" s="1"/>
  <c r="CF280" i="1"/>
  <c r="CI280" i="1"/>
  <c r="CI356" i="1" s="1"/>
  <c r="BN276" i="1"/>
  <c r="BQ276" i="1"/>
  <c r="BA275" i="1"/>
  <c r="BP275" i="1"/>
  <c r="BN275" i="1"/>
  <c r="BD262" i="1"/>
  <c r="BI262" i="1"/>
  <c r="BA262" i="1"/>
  <c r="X254" i="1"/>
  <c r="V254" i="1"/>
  <c r="R254" i="1"/>
  <c r="T254" i="1"/>
  <c r="P254" i="1"/>
  <c r="T253" i="1"/>
  <c r="P253" i="1"/>
  <c r="T249" i="1"/>
  <c r="R249" i="1"/>
  <c r="R248" i="1"/>
  <c r="P248" i="1"/>
  <c r="T246" i="1"/>
  <c r="R246" i="1"/>
  <c r="X243" i="1"/>
  <c r="V243" i="1"/>
  <c r="R241" i="1"/>
  <c r="P241" i="1"/>
  <c r="T240" i="1"/>
  <c r="R240" i="1"/>
  <c r="P240" i="1"/>
  <c r="R239" i="1"/>
  <c r="P239" i="1"/>
  <c r="T218" i="1"/>
  <c r="P218" i="1"/>
  <c r="R221" i="1"/>
  <c r="P221" i="1"/>
  <c r="T220" i="1"/>
  <c r="P220" i="1"/>
  <c r="V219" i="1"/>
  <c r="T219" i="1"/>
  <c r="R219" i="1"/>
  <c r="P219" i="1"/>
  <c r="T217" i="1"/>
  <c r="R217" i="1"/>
  <c r="P217" i="1"/>
  <c r="T216" i="1"/>
  <c r="R216" i="1"/>
  <c r="DT295" i="1" l="1"/>
  <c r="DT285" i="1"/>
  <c r="DS336" i="1"/>
  <c r="DS275" i="1"/>
  <c r="DU275" i="1"/>
  <c r="DT275" i="1"/>
  <c r="BJ262" i="1"/>
  <c r="BI356" i="1"/>
  <c r="BG356" i="1"/>
  <c r="CN292" i="1"/>
  <c r="CM356" i="1"/>
  <c r="CK356" i="1"/>
  <c r="AC356" i="1"/>
  <c r="DV309" i="1"/>
  <c r="DW309" i="1" s="1"/>
  <c r="DX309" i="1" s="1"/>
  <c r="DV308" i="1"/>
  <c r="DW308" i="1" s="1"/>
  <c r="DX308" i="1" s="1"/>
  <c r="BH285" i="1"/>
  <c r="DS285" i="1"/>
  <c r="DU285" i="1"/>
  <c r="BB275" i="1"/>
  <c r="CL292" i="1"/>
  <c r="DT292" i="1"/>
  <c r="DU292" i="1"/>
  <c r="DS292" i="1"/>
  <c r="CJ280" i="1"/>
  <c r="DT280" i="1"/>
  <c r="DU280" i="1"/>
  <c r="DS280" i="1"/>
  <c r="CL336" i="1"/>
  <c r="DU336" i="1"/>
  <c r="DT336" i="1"/>
  <c r="BJ285" i="1"/>
  <c r="BR276" i="1"/>
  <c r="DU276" i="1"/>
  <c r="DT276" i="1"/>
  <c r="DS276" i="1"/>
  <c r="CL342" i="1"/>
  <c r="DS342" i="1"/>
  <c r="DT342" i="1"/>
  <c r="DU342" i="1"/>
  <c r="Z284" i="1"/>
  <c r="DT284" i="1"/>
  <c r="DS284" i="1"/>
  <c r="DU284" i="1"/>
  <c r="BB262" i="1"/>
  <c r="DT262" i="1"/>
  <c r="DS262" i="1"/>
  <c r="DU262" i="1"/>
  <c r="BJ295" i="1"/>
  <c r="DV99" i="1"/>
  <c r="DW99" i="1" s="1"/>
  <c r="BH295" i="1"/>
  <c r="DU295" i="1"/>
  <c r="DS295" i="1"/>
  <c r="J152" i="1"/>
  <c r="J48" i="1"/>
  <c r="I18" i="1"/>
  <c r="I10" i="1"/>
  <c r="I8" i="1"/>
  <c r="J72" i="1"/>
  <c r="J71" i="1"/>
  <c r="J19" i="1"/>
  <c r="J15" i="1"/>
  <c r="T37" i="1"/>
  <c r="R37" i="1"/>
  <c r="AL291" i="1"/>
  <c r="AO291" i="1"/>
  <c r="AP291" i="1" s="1"/>
  <c r="AM291" i="1"/>
  <c r="AM310" i="1"/>
  <c r="AL310" i="1"/>
  <c r="AL174" i="1"/>
  <c r="AM174" i="1"/>
  <c r="DS174" i="1" s="1"/>
  <c r="T160" i="1"/>
  <c r="P160" i="1"/>
  <c r="T158" i="1"/>
  <c r="R158" i="1"/>
  <c r="P158" i="1"/>
  <c r="X157" i="1"/>
  <c r="V157" i="1"/>
  <c r="V156" i="1"/>
  <c r="T156" i="1"/>
  <c r="R156" i="1"/>
  <c r="P156" i="1"/>
  <c r="T155" i="1"/>
  <c r="R155" i="1"/>
  <c r="BQ233" i="1"/>
  <c r="BN233" i="1"/>
  <c r="BQ130" i="1"/>
  <c r="DS130" i="1" s="1"/>
  <c r="BN130" i="1"/>
  <c r="AH125" i="1"/>
  <c r="AT320" i="1"/>
  <c r="AO320" i="1"/>
  <c r="AL320" i="1"/>
  <c r="AT115" i="1"/>
  <c r="AO115" i="1"/>
  <c r="DS115" i="1" s="1"/>
  <c r="AL115" i="1"/>
  <c r="AH114" i="1"/>
  <c r="AH111" i="1"/>
  <c r="AH109" i="1"/>
  <c r="BZ96" i="1"/>
  <c r="CD96" i="1"/>
  <c r="BV96" i="1"/>
  <c r="CD95" i="1"/>
  <c r="CB95" i="1"/>
  <c r="BV95" i="1"/>
  <c r="CB94" i="1"/>
  <c r="BV94" i="1"/>
  <c r="BX93" i="1"/>
  <c r="BT93" i="1"/>
  <c r="BX92" i="1"/>
  <c r="BT92" i="1"/>
  <c r="BZ91" i="1"/>
  <c r="BV91" i="1"/>
  <c r="BT91" i="1"/>
  <c r="BA43" i="1"/>
  <c r="BB43" i="1" s="1"/>
  <c r="BA198" i="1"/>
  <c r="BB198" i="1" s="1"/>
  <c r="BN85" i="1"/>
  <c r="BQ85" i="1"/>
  <c r="DS85" i="1" s="1"/>
  <c r="AH84" i="1"/>
  <c r="AT67" i="1"/>
  <c r="AL67" i="1"/>
  <c r="AO67" i="1"/>
  <c r="DS67" i="1" s="1"/>
  <c r="AL66" i="1"/>
  <c r="AM66" i="1"/>
  <c r="DS66" i="1" s="1"/>
  <c r="BN59" i="1"/>
  <c r="BQ59" i="1"/>
  <c r="R57" i="1"/>
  <c r="T57" i="1"/>
  <c r="T55" i="1"/>
  <c r="R55" i="1"/>
  <c r="P55" i="1"/>
  <c r="R54" i="1"/>
  <c r="P54" i="1"/>
  <c r="AQ116" i="1"/>
  <c r="AR116" i="1" s="1"/>
  <c r="AO116" i="1"/>
  <c r="AP116" i="1" s="1"/>
  <c r="AM116" i="1"/>
  <c r="AL116" i="1"/>
  <c r="AQ61" i="1"/>
  <c r="AR61" i="1" s="1"/>
  <c r="AO61" i="1"/>
  <c r="AP61" i="1" s="1"/>
  <c r="AM61" i="1"/>
  <c r="AL61" i="1"/>
  <c r="AL46" i="1"/>
  <c r="AL338" i="1"/>
  <c r="AL328" i="1"/>
  <c r="AL201" i="1"/>
  <c r="AQ201" i="1"/>
  <c r="AR201" i="1" s="1"/>
  <c r="AO201" i="1"/>
  <c r="AP201" i="1" s="1"/>
  <c r="AM201" i="1"/>
  <c r="AQ328" i="1"/>
  <c r="AR328" i="1" s="1"/>
  <c r="AO328" i="1"/>
  <c r="AP328" i="1" s="1"/>
  <c r="AM328" i="1"/>
  <c r="AQ338" i="1"/>
  <c r="AR338" i="1" s="1"/>
  <c r="AO338" i="1"/>
  <c r="AP338" i="1" s="1"/>
  <c r="AM338" i="1"/>
  <c r="AQ46" i="1"/>
  <c r="AO46" i="1"/>
  <c r="AM46" i="1"/>
  <c r="AI43" i="1"/>
  <c r="AM42" i="1"/>
  <c r="AL42" i="1"/>
  <c r="AI198" i="1"/>
  <c r="AH344" i="1"/>
  <c r="AH297" i="1"/>
  <c r="AH110" i="1"/>
  <c r="AH82" i="1"/>
  <c r="AH129" i="1"/>
  <c r="AH45" i="1"/>
  <c r="AL197" i="1"/>
  <c r="T190" i="1"/>
  <c r="R190" i="1"/>
  <c r="P190" i="1"/>
  <c r="T36" i="1"/>
  <c r="R36" i="1"/>
  <c r="P36" i="1"/>
  <c r="T25" i="1"/>
  <c r="R25" i="1"/>
  <c r="T24" i="1"/>
  <c r="R24" i="1"/>
  <c r="P24" i="1"/>
  <c r="DS61" i="1" l="1"/>
  <c r="DX99" i="1"/>
  <c r="DV275" i="1"/>
  <c r="DW275" i="1" s="1"/>
  <c r="DS116" i="1"/>
  <c r="DV284" i="1"/>
  <c r="DW284" i="1" s="1"/>
  <c r="DX284" i="1" s="1"/>
  <c r="AM356" i="1"/>
  <c r="BA356" i="1"/>
  <c r="AP46" i="1"/>
  <c r="AO356" i="1"/>
  <c r="BQ356" i="1"/>
  <c r="AR46" i="1"/>
  <c r="AQ356" i="1"/>
  <c r="J8" i="1"/>
  <c r="DW8" i="1"/>
  <c r="J10" i="1"/>
  <c r="DW10" i="1"/>
  <c r="DX10" i="1" s="1"/>
  <c r="J18" i="1"/>
  <c r="DW18" i="1"/>
  <c r="DW20" i="1" s="1"/>
  <c r="DW48" i="1"/>
  <c r="AI356" i="1"/>
  <c r="DV292" i="1"/>
  <c r="DW292" i="1" s="1"/>
  <c r="DX292" i="1" s="1"/>
  <c r="DV342" i="1"/>
  <c r="DW342" i="1" s="1"/>
  <c r="DX342" i="1" s="1"/>
  <c r="DV295" i="1"/>
  <c r="DW295" i="1" s="1"/>
  <c r="DV276" i="1"/>
  <c r="DW276" i="1" s="1"/>
  <c r="DX276" i="1" s="1"/>
  <c r="DV280" i="1"/>
  <c r="DW280" i="1" s="1"/>
  <c r="DX280" i="1" s="1"/>
  <c r="BR130" i="1"/>
  <c r="DT130" i="1"/>
  <c r="DU130" i="1"/>
  <c r="DT61" i="1"/>
  <c r="DU61" i="1"/>
  <c r="DU66" i="1"/>
  <c r="DT66" i="1"/>
  <c r="BR233" i="1"/>
  <c r="DT233" i="1"/>
  <c r="DU233" i="1"/>
  <c r="DS233" i="1"/>
  <c r="AN328" i="1"/>
  <c r="DU328" i="1"/>
  <c r="DT328" i="1"/>
  <c r="DS328" i="1"/>
  <c r="AP67" i="1"/>
  <c r="DU67" i="1"/>
  <c r="DT67" i="1"/>
  <c r="AP115" i="1"/>
  <c r="DT115" i="1"/>
  <c r="DU115" i="1"/>
  <c r="DU116" i="1"/>
  <c r="DT116" i="1"/>
  <c r="AN310" i="1"/>
  <c r="DT310" i="1"/>
  <c r="DU310" i="1"/>
  <c r="DS310" i="1"/>
  <c r="DV285" i="1"/>
  <c r="DW285" i="1" s="1"/>
  <c r="DX285" i="1" s="1"/>
  <c r="AN338" i="1"/>
  <c r="DU338" i="1"/>
  <c r="DT338" i="1"/>
  <c r="DS338" i="1"/>
  <c r="AJ198" i="1"/>
  <c r="DT198" i="1"/>
  <c r="DU198" i="1"/>
  <c r="DS198" i="1"/>
  <c r="BR85" i="1"/>
  <c r="DU85" i="1"/>
  <c r="DT85" i="1"/>
  <c r="AN291" i="1"/>
  <c r="DT291" i="1"/>
  <c r="DS291" i="1"/>
  <c r="DU291" i="1"/>
  <c r="DV262" i="1"/>
  <c r="DW262" i="1" s="1"/>
  <c r="DT174" i="1"/>
  <c r="DU174" i="1"/>
  <c r="DV336" i="1"/>
  <c r="DW336" i="1" s="1"/>
  <c r="DX336" i="1" s="1"/>
  <c r="AN201" i="1"/>
  <c r="DU201" i="1"/>
  <c r="DS201" i="1"/>
  <c r="DT201" i="1"/>
  <c r="DT43" i="1"/>
  <c r="DS43" i="1"/>
  <c r="DU43" i="1"/>
  <c r="AP320" i="1"/>
  <c r="DU320" i="1"/>
  <c r="DS320" i="1"/>
  <c r="DT320" i="1"/>
  <c r="DS46" i="1"/>
  <c r="DU46" i="1"/>
  <c r="DT46" i="1"/>
  <c r="BR59" i="1"/>
  <c r="DU59" i="1"/>
  <c r="DS59" i="1"/>
  <c r="DT59" i="1"/>
  <c r="AJ43" i="1"/>
  <c r="AN197" i="1"/>
  <c r="DU197" i="1" s="1"/>
  <c r="DU42" i="1"/>
  <c r="DT42" i="1"/>
  <c r="DS42" i="1"/>
  <c r="AN116" i="1"/>
  <c r="AN174" i="1"/>
  <c r="AN42" i="1"/>
  <c r="AN46" i="1"/>
  <c r="AN61" i="1"/>
  <c r="AN66" i="1"/>
  <c r="DX48" i="1" l="1"/>
  <c r="DX295" i="1"/>
  <c r="DX262" i="1"/>
  <c r="DX263" i="1" s="1"/>
  <c r="DW263" i="1"/>
  <c r="DX275" i="1"/>
  <c r="DX8" i="1"/>
  <c r="DX13" i="1" s="1"/>
  <c r="DW13" i="1"/>
  <c r="DX18" i="1"/>
  <c r="DV130" i="1"/>
  <c r="DW130" i="1" s="1"/>
  <c r="DV291" i="1"/>
  <c r="DW291" i="1" s="1"/>
  <c r="DX291" i="1" s="1"/>
  <c r="DV233" i="1"/>
  <c r="DW233" i="1" s="1"/>
  <c r="DV115" i="1"/>
  <c r="DW115" i="1" s="1"/>
  <c r="DV43" i="1"/>
  <c r="DW43" i="1" s="1"/>
  <c r="DX43" i="1" s="1"/>
  <c r="DV61" i="1"/>
  <c r="DW61" i="1" s="1"/>
  <c r="DX61" i="1" s="1"/>
  <c r="DV198" i="1"/>
  <c r="DW198" i="1" s="1"/>
  <c r="DX198" i="1" s="1"/>
  <c r="DV85" i="1"/>
  <c r="DW85" i="1" s="1"/>
  <c r="DW97" i="1" s="1"/>
  <c r="DV67" i="1"/>
  <c r="DW67" i="1" s="1"/>
  <c r="DX67" i="1" s="1"/>
  <c r="DV310" i="1"/>
  <c r="DW310" i="1" s="1"/>
  <c r="DX310" i="1" s="1"/>
  <c r="DV201" i="1"/>
  <c r="DW201" i="1" s="1"/>
  <c r="DX201" i="1" s="1"/>
  <c r="DV59" i="1"/>
  <c r="DW59" i="1" s="1"/>
  <c r="DX59" i="1" s="1"/>
  <c r="DV320" i="1"/>
  <c r="DW320" i="1" s="1"/>
  <c r="DX320" i="1" s="1"/>
  <c r="DV328" i="1"/>
  <c r="DW328" i="1" s="1"/>
  <c r="DV338" i="1"/>
  <c r="DW338" i="1" s="1"/>
  <c r="DX338" i="1" s="1"/>
  <c r="DV116" i="1"/>
  <c r="DW116" i="1" s="1"/>
  <c r="DX116" i="1" s="1"/>
  <c r="DV42" i="1"/>
  <c r="DW42" i="1" s="1"/>
  <c r="DV174" i="1"/>
  <c r="DW174" i="1" s="1"/>
  <c r="DW178" i="1" s="1"/>
  <c r="DV66" i="1"/>
  <c r="DW66" i="1" s="1"/>
  <c r="DV197" i="1"/>
  <c r="DW197" i="1" s="1"/>
  <c r="DV46" i="1"/>
  <c r="DW46" i="1" s="1"/>
  <c r="DX46" i="1" s="1"/>
  <c r="P357" i="1"/>
  <c r="DW293" i="1" l="1"/>
  <c r="DX42" i="1"/>
  <c r="DX47" i="1" s="1"/>
  <c r="DW47" i="1"/>
  <c r="DX115" i="1"/>
  <c r="DX117" i="1" s="1"/>
  <c r="DW117" i="1"/>
  <c r="DX233" i="1"/>
  <c r="DX235" i="1" s="1"/>
  <c r="DW235" i="1"/>
  <c r="DW325" i="1"/>
  <c r="DX328" i="1"/>
  <c r="DX354" i="1" s="1"/>
  <c r="DW354" i="1"/>
  <c r="DX293" i="1"/>
  <c r="DX197" i="1"/>
  <c r="DX202" i="1" s="1"/>
  <c r="DW202" i="1"/>
  <c r="DX66" i="1"/>
  <c r="DX70" i="1" s="1"/>
  <c r="DW70" i="1"/>
  <c r="DX130" i="1"/>
  <c r="DX132" i="1" s="1"/>
  <c r="DW132" i="1"/>
  <c r="DW62" i="1"/>
  <c r="DX20" i="1"/>
  <c r="DX62" i="1"/>
  <c r="DX325" i="1"/>
  <c r="DX174" i="1"/>
  <c r="DX178" i="1" s="1"/>
  <c r="DX85" i="1"/>
  <c r="DX97" i="1" s="1"/>
  <c r="DX356" i="1" l="1"/>
  <c r="DW356" i="1"/>
  <c r="DX21" i="1" l="1"/>
  <c r="DX22" i="1" s="1"/>
  <c r="DW22" i="1"/>
  <c r="DW180" i="1" l="1"/>
  <c r="DW357" i="1" s="1"/>
  <c r="DX180" i="1"/>
  <c r="DX357"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NELCY</author>
  </authors>
  <commentList>
    <comment ref="CD16" authorId="0" shapeId="0" xr:uid="{A5BB5403-BAD7-46B1-8B04-960F6EA1C994}">
      <text>
        <r>
          <rPr>
            <b/>
            <sz val="9"/>
            <color indexed="81"/>
            <rFont val="Tahoma"/>
            <family val="2"/>
          </rPr>
          <t xml:space="preserve">Se toma el valor unitario del pliego según la cotización $1.300 X 30, para hallar el valor del paquete requerido
</t>
        </r>
      </text>
    </comment>
    <comment ref="K25" authorId="0" shapeId="0" xr:uid="{9E5BC527-8C9B-4E6D-A750-2BC2C41D37EA}">
      <text>
        <r>
          <rPr>
            <b/>
            <sz val="9"/>
            <color indexed="81"/>
            <rFont val="Tahoma"/>
            <family val="2"/>
          </rPr>
          <t xml:space="preserve">24/07/2025
El valor según cotización incluido iva es de $12.000
</t>
        </r>
      </text>
    </comment>
    <comment ref="D46" authorId="0" shapeId="0" xr:uid="{2B6EF149-A0E1-48EB-A345-C35383A87EDE}">
      <text>
        <r>
          <rPr>
            <b/>
            <sz val="9"/>
            <color indexed="81"/>
            <rFont val="Tahoma"/>
            <family val="2"/>
          </rPr>
          <t>31/07/2025
Se cambió unidad de medida</t>
        </r>
      </text>
    </comment>
    <comment ref="H64" authorId="0" shapeId="0" xr:uid="{385E8834-6513-4A48-98E7-739757550D7F}">
      <text>
        <r>
          <rPr>
            <b/>
            <sz val="9"/>
            <color indexed="81"/>
            <rFont val="Tahoma"/>
            <family val="2"/>
          </rPr>
          <t xml:space="preserve">26/07/2025
Sg cotización la presentación viene Taco X 400 hojas, se calcula el valor X 100 hojas para el cálculo
</t>
        </r>
      </text>
    </comment>
  </commentList>
</comments>
</file>

<file path=xl/sharedStrings.xml><?xml version="1.0" encoding="utf-8"?>
<sst xmlns="http://schemas.openxmlformats.org/spreadsheetml/2006/main" count="3937" uniqueCount="1360">
  <si>
    <t>Objeto: “PRESTAR LOS SERVICIOS PARA LA IMPLEMENTACIÓN DE ACCIONES INTEGRALES PARA LOS DIFERENTES TIPOS DE VIOLENCIAS ENFOCADAS EN LA GESTIÓN DE CONFLICTIVIDADES, PREVENCIÓN DEL FEMINICIDIO, LAS VIOLENCIAS CONTRA LAS MUJERES Y VIOLENCIAS EN EL CONTEXTO FAMILIAR Y/O SEXUAL EN LA LOCALIDAD DE CIUDAD BOLÍVAR DURANTE LA VIGENCIA 2025”</t>
  </si>
  <si>
    <t>ITEM</t>
  </si>
  <si>
    <t>PROYECTO</t>
  </si>
  <si>
    <t>COMPONENTE</t>
  </si>
  <si>
    <t>ELEMENTO Y/O PRODUCTO</t>
  </si>
  <si>
    <t>DESCRIPCIÓN / ESPECIFICACIÓN TÉCNICA</t>
  </si>
  <si>
    <t>UNIDAD DE MEDIDA</t>
  </si>
  <si>
    <t>TIEMPO</t>
  </si>
  <si>
    <t xml:space="preserve">VALOR UNITARIO IVA INCLUIDO </t>
  </si>
  <si>
    <t>VALOR TOTAL IVA INCLUIDO</t>
  </si>
  <si>
    <t>TRANSVERSAL</t>
  </si>
  <si>
    <t>Prevención de violencias mujer 60%
Prevención de violencia intrafamiliar y sexual 40%</t>
  </si>
  <si>
    <t xml:space="preserve">Mes </t>
  </si>
  <si>
    <t>Apoyo administrativo</t>
  </si>
  <si>
    <t>Mes</t>
  </si>
  <si>
    <t>PREVENCIÓN VIOLENCIAS MUJER</t>
  </si>
  <si>
    <t xml:space="preserve">Profesional para el acompañamiento técnico
</t>
  </si>
  <si>
    <t xml:space="preserve">Unidad </t>
  </si>
  <si>
    <t>Diplomado en masculinidades y violencia de género</t>
  </si>
  <si>
    <t>Unidad</t>
  </si>
  <si>
    <t>Día</t>
  </si>
  <si>
    <t>Unidades</t>
  </si>
  <si>
    <t>Kits</t>
  </si>
  <si>
    <t>Sonido y video tipo 3: Alquiler de Sonido profesional evento masivo (desde 201 hasta 500 personas) incluye 3 cabinas array (cada lado del escenario), 2 bajos dobles, 2 retornos en tarima y 1 consola digital mínimo de 32 canales, conforme las condiciones del sitio, se requeriría 4 monitores de piso y snake de 32 canales x 12 envíos de 10 metros, con set básico de micrófonos conforme a los requerimientos del espacio y condiciones particulares del evento, así como, las cajas directas, cableado, cajas necesarias, ingeniero de sonido y todos los elementos requeridos para su operación.</t>
  </si>
  <si>
    <t>Caja</t>
  </si>
  <si>
    <t>Papel Kraft, 60 grs, 70 cm x 100 cm.</t>
  </si>
  <si>
    <t>Bolígrafo negro Cuerpo plástico; punta metálica, con tapa, redondo, rectangular o hexagonal, CAJA X 12 UNIDADES</t>
  </si>
  <si>
    <t>Curso de Defensa personal feminista.</t>
  </si>
  <si>
    <t>Global</t>
  </si>
  <si>
    <t>Actividad 1: Territorio de Respeto: Juntos Prevenimos la Violencia</t>
  </si>
  <si>
    <t>Sillas: Alquiler de Silla plástica con apoyabrazos (Día). Incluye transporte</t>
  </si>
  <si>
    <t>Unidad/Dia</t>
  </si>
  <si>
    <t>Carpa 4x4: Alquiler de Carpa 4 mts X 4 mtscon laterales, contra peso, incluye montaje, transporte y desmontaje (Por día)</t>
  </si>
  <si>
    <t>Caneca de Vinilo tipo 1 Color por Definir</t>
  </si>
  <si>
    <t>Pintura Epóxica Dos Componentes. - Galon</t>
  </si>
  <si>
    <t>Rodillo De Esponja Poliéster. De 9". X 37 Mm De Alto. Todo Tipo De Pintura Resistente A Solventes</t>
  </si>
  <si>
    <t>Rodillo Profesional Felpa Acrílica De 3”. Para Pintura En Cualquier Superficie. A Base De Agua</t>
  </si>
  <si>
    <t>Brocha Gruesa 3" (7.6 cm). mango plástico y/o madera. refuerzo metálico</t>
  </si>
  <si>
    <t>Brocha Gruesa 1-1/2". mango plástico y/o madera. refuerzo metálico</t>
  </si>
  <si>
    <t>Aerosol profesional: Elementos Aerosoles profesionales: Colores Sólidos (Según diseño de mural). Pintura mate. baja presión. alta cubrición y secado rápido.400 ml. Baja presión. Válvula hembra polivalente; Propelente: Butano / Propano / Mezcla; Tipo Ligante Alquídico modificado; Brillo 60º: 15-25% mate; Espesor de capa seca 15 micras/capa; Resistencia del pintado al calor: 100ºC</t>
  </si>
  <si>
    <t xml:space="preserve">Paquete </t>
  </si>
  <si>
    <t>Tarima: Alquiler de Tarima de 7.20 mts X 9.60 mts de 20 cms a 1 mts de altura (por día), incluido techo. Incluye trasnporte montaje y desmontaje. Estructuras en perfecto estado.</t>
  </si>
  <si>
    <t>Sonido: Servicio de alquiler Sonido profesional de 4000 watts para asamblea (desde 71 hasta 250 personas) (incluye 4 cabinas (2 cabinas Configuracion de 2 vias, Amplificador de integrado LF de 3 Canales potencia peak 1200 W + 300 W  y 2 cabinas
1000 watts clase-D (650 W + 350 W, biamplificación)Bocina de 12" con bobina de voz de 2,5"Driver de 1" pulgadas con bobina de voz 1,75"135 dB SPL máximo de pico), 1 o 2 retornos en tarima y 1 consola Digital mínimo de 16 canales, con set básico de micrófonos conforme a los requerimientos del espacio y condiciones particulares del evento, así como, las cajas directas, cableado necesario. Incluye transporte, montaje y desmontaje</t>
  </si>
  <si>
    <t>Vallas de contención: Alquiler de Valla en tubo galvanizado de 1.40 de alto X 2 mts de ancho con base de 60 mm, calibre de 1 ¼ “, existen dos clases: con lamina &amp; de tubo, incluye transporte</t>
  </si>
  <si>
    <t>Carpa: Alquiler de Carpa 4 mts X 4 mtscon laterales, contra peso, incluye montaje, transporte y desmontaje (Por día)</t>
  </si>
  <si>
    <t>Pacas de agua: Pack de 24 unidades de agua por 300ml</t>
  </si>
  <si>
    <t>Actividad 3:  Tejiendo Redes - Mujeres por una Vida Libre de Violencias.</t>
  </si>
  <si>
    <t>Caja de marcadores permanentes por 10 unidades, con tinta resistente al agua, de rápido secado y no se decolora.</t>
  </si>
  <si>
    <t>Notas autoadhesivas medianas de 75 x 75 mm Colores surtidos, paquete x 100 unds</t>
  </si>
  <si>
    <t>Paquetes de fichas bibliográficas (colores: azul, blanco, amarillo, verde y rosado: 3 paquetes de cada color)</t>
  </si>
  <si>
    <t>Cinta adhesiva de empaque en rollo 48 mm x 100 mts</t>
  </si>
  <si>
    <t>Hilo Macrame 100 % Acrílico tonos sólidos, grosor 2 mm, Peso 100 gramos, contiene 1 ovillo de 100 gramos</t>
  </si>
  <si>
    <t>Caja de lápices por 12 unidades, hechos en madera y grafito HB No. 2, con borrador en parte superior</t>
  </si>
  <si>
    <t>Pliego de carton para realizar la figura de Una rama o tronco de árbol.</t>
  </si>
  <si>
    <t>Alquiler de Grabadora de Voz Audio Digital Recargable Y Portátil de bolsillo, Batería de litio incorporada (270MA), Soporte de capacidad de memoria: 4G/8G/16G/32G, tiempo de grabación: 4G grabación máxima 72 horas, 8G grabación máxima 144 horas, 16G grabación máxima 288 horas, 32G grabación máxima 576 horas, Formato de grabación: formato MP3
-Tasa de bits de muestreo de grabación: 128Kbps.</t>
  </si>
  <si>
    <t>PREVENCIÓN VIOLENCIA INTRAFAMILIAR</t>
  </si>
  <si>
    <t>Profesional de apoyo componente</t>
  </si>
  <si>
    <t>Propuesta de presupuestos participativos 43962 Segunda Feria de Familias Acacianas</t>
  </si>
  <si>
    <t>Certificaciones en papel opalina, tamaña carta, impresión laser, full color, para los participantes del proceso, con los logos de la Alcaldia local de Ciudad Bolívar, donde incluye el nombre del participante y una frase de participación en dicho proceso.</t>
  </si>
  <si>
    <t>Alquiler de Tarima de 7.20 mts X 9.60 mts de 20 cms a 1 mts de altura (por día), incluido techo. Incluye trasnporte montaje y desmontaje. Estructuras en perfecto estado.</t>
  </si>
  <si>
    <t>Rodillos antigoteo para fachadas 9 ´´ o 12” mango plástico</t>
  </si>
  <si>
    <t>Brocha Gruesa 3” (7.6 cm). Mango plástico y/o madera. Refuerzo metálico</t>
  </si>
  <si>
    <t>Brocha Gruesa 1-1/2”. Mango plástico y/o madera. Refuerzo metálico</t>
  </si>
  <si>
    <t>Tizas de colores surtidos, que se usa para escribir en pizarras y otras superficies</t>
  </si>
  <si>
    <t>Horas</t>
  </si>
  <si>
    <t>Palomitas de sal y dulce 120 gr en empaque biodegradable, Jugo de 200 mil.</t>
  </si>
  <si>
    <t>Kit defensa personal</t>
  </si>
  <si>
    <t>Paquete</t>
  </si>
  <si>
    <t xml:space="preserve">TOTAL </t>
  </si>
  <si>
    <t xml:space="preserve">SECRETARIA DE GOBIERNO 
ALCALDIA LOCAL DE CUIDAD BOLIVAR </t>
  </si>
  <si>
    <t>Equipo de Trabajo componente</t>
  </si>
  <si>
    <t>Propuesta de presupuestos participativos priorizada 39554 - Diplomado Escuela de estudio de género.</t>
  </si>
  <si>
    <t xml:space="preserve">Diplomado </t>
  </si>
  <si>
    <t>Memoria USB 16 Gigabytes, interfaz: USB 16gb. o más. Compatible con: Windows 10, Windows 8.1, Windows 8, Windows 7 (SP1), Windows Vista (SP2), Mac OS X v.10.8.x+, Linux v.2.6.x+, Chrome OS, con garantía mínima de 1 año. Marca reconocida en el mercado nacional.</t>
  </si>
  <si>
    <t>Alarma de pánico
kit diplomado</t>
  </si>
  <si>
    <t>Medida: 6.6x3.2cm de sonido fuerte 140 dB, Distancias máxima de hasta 606 pies, Linterna incorporada, Incluye Pilas LR44.</t>
  </si>
  <si>
    <t>Bono transporte por $300.000
diplomado</t>
  </si>
  <si>
    <t>Kit
Practica de divulgación e información</t>
  </si>
  <si>
    <t>Kit</t>
  </si>
  <si>
    <t>Propuesta de presupuestos participativos priorizada 43962 - Diplomado “Escuela De Formación Voces Libres”.</t>
  </si>
  <si>
    <t>Ceremonia de cierre
Diplomados</t>
  </si>
  <si>
    <t>Maestro de ceremonias</t>
  </si>
  <si>
    <t>Grupo artístico</t>
  </si>
  <si>
    <t>Refrigerio tipo 2</t>
  </si>
  <si>
    <t>Un (1) Sándwich de 240 gr, compuesto minimo de pan (árabe o artesanal), proteína (carne, pollo, cerdo, pavo, etc) queso (doble crema o mozzarella), lechuga (lisa o rizada), o hamburguesa de 230 gr compuesta minimo de (pan de hamburguesa), proteína animal de 140 gr, queso (doble crema o mozzarella), lechuga (lisa o rizada), o crepe o grap de 240 gr compuesto minimo de proteína (carne, pollo, cerdo, pavo o mixto) con sour cream, envuelto en papel encerado)
una (1) porción de papas chips de 25 gr
Una (1) fruta entera de mínimo 80 gramos.
Una (1) Jugo natural en agua envasado en empaques 100% biodegradables 250 ml o servido en vaso de 12 onzas o bebida caliente de 12 onzas o gaseosa botella pet de 250 ml (tipo ziplock).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</si>
  <si>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Propuesta de presupuestos participativos priorizada 39285 - Seminarios Marco de Derecho Humano Internacional de la Mujer.</t>
  </si>
  <si>
    <t>Pliego</t>
  </si>
  <si>
    <t>Papel bond 75g carta con la NTC 4436:1998 y la NTC 5397. Resmas de 500 hojas, caja x 10 resmas</t>
  </si>
  <si>
    <t>Cuaderno Cosido Mediano Cuadriculado Book - 50 Hojas</t>
  </si>
  <si>
    <t>Pliego Papel bond para plotter de 1 metro x 70 cm, de gramaje de 75 grs</t>
  </si>
  <si>
    <t>Caja x 12 unidades</t>
  </si>
  <si>
    <t>Diplomas en papel opalina, tamaña carta, impresión laser, full color, para los participantes del proceso, con los logos de la alcaldia local de ciudad bolivar, donde incluye el nombre del participante y una frase de participacion en dicho proceso.</t>
  </si>
  <si>
    <t>Recordatorio
Seminarios</t>
  </si>
  <si>
    <t>Sesiones</t>
  </si>
  <si>
    <t>Propuesta de presupuestos participativos priorizada 39554 - Curso de Defensa personal feminista.</t>
  </si>
  <si>
    <t>Porcion de frutas  de 90 gramos que contenga: fresas de exportación, banano, uvas verdes y rojas chilena, papaya. Deben entregarse empacados herméticamente con tenedor biodegradable, garantizando productos frescos y preparación del mismo día, incluye transporte y entrega.</t>
  </si>
  <si>
    <t>Tallerista maquillaje artístico</t>
  </si>
  <si>
    <t>Talleristas Percusión de Batucada</t>
  </si>
  <si>
    <t>Kit
Taller maquillaje artístico</t>
  </si>
  <si>
    <t>Kit 
Taller percusión de Batucada</t>
  </si>
  <si>
    <t>Propuesta de presupuestos participativos priorizada 39285 - Movilización artística y cultura de prevención de violencias.</t>
  </si>
  <si>
    <t>Sistematización de experiencias</t>
  </si>
  <si>
    <t>Derechos conexos al derecho de autor</t>
  </si>
  <si>
    <t>Alquiler Grabadora</t>
  </si>
  <si>
    <t>Notas autoadhesivas</t>
  </si>
  <si>
    <t>Fichas bibliográficas</t>
  </si>
  <si>
    <t>Pliego de Carton</t>
  </si>
  <si>
    <t>Hilos</t>
  </si>
  <si>
    <t>Diplomado de 120 horas estructurado por módulos para 150 mujeres, que incluya: inscripción, matrícula, carné estudiantil (si aplica), elementos pedagógicos aprendizaje (cartillas, libros, plataforma, videos, entre otros), seguro de estudiante (si aplica), docentes profesionales e idóneos y certificación. 
El diplomado contemplará un máximo de 20% de trabajo autónomo y abordará los siguientes temas: 1. Derechos de las mujeres y enfoque de género, 2. Línea de tiempo sobre derechos de las mujeres y alcances de los movimientos sociales de mujeres, 3. Tipologías de violencias y feminicidio, 4. Marco normativo internacional que sustenta el derecho de las mujeres a una vida libre de violencias, 5. Marco normativo nacional sobre sensibilización, prevención y sanción de formas de violencia y discriminación contra las mujeres (Ley 1257 de 2008) y 6. Ruta única de atención a mujeres víctimas de violencias y en riesgo de feminicidio.</t>
  </si>
  <si>
    <t>Agendas Material amigable con el medio ambiente, tamaño de cuaderno (21,5 x 14 cm), 80 hojas internas en bond 75 gms, impresas a una tinta (1x2),  tapa dura, full color, plastificada, anillo doble O, hojas, con logos del proyecto e institucionales y previa revisión del area de prensa del FDLCB
cuadriculadas para ser utilizadas por cada participante. 
Esfero en plástico reciclado, 14.5 cm, Tinta negra, Diseño a full color.</t>
  </si>
  <si>
    <t xml:space="preserve">Curso de defensa personal para 18 personas por gurpo que incluye: inscripción, elementos de prácticas (guantes, pecheros, casco protector, saco de boxeo, colchonetas o piso adecuado para la práctica, entre otros), personal idóneo y certificación del curso. </t>
  </si>
  <si>
    <t>3 brochas para ojos, incluye dos difuminadores de sombras, una plana para aplicación precisa, brocha doble para cejas, sombras de 30 colores resistentes al agua, purpurinas de cosmético profesional para maquillaje y arte de 12 unidades de diferentes colores,  3 iluminadores de diferentes tonos que  ofrece un brillo intenso y radiante, 3 bases de maquillaje, rubor por 3 de diferentes tonos, 1 primer, labial de 3 de diferentes tonos, 1 brillo tipo labial líquido.</t>
  </si>
  <si>
    <t>Unidad/dia</t>
  </si>
  <si>
    <t>Diplomado de 120 horas estructurado por módulos para 20 líderes/lideresas mayores de 18 años de los sectores sociales LGTBI, que incluya: inscripción, matrícula, carné estudiantil (si aplica), elementos pedagógicos aprendizaje (cartillas, libros, plataforma, videos, entre otros), seguro de estudiante (si aplica), docentes profesionales e idóneos y certificación. 
El diplomado contemplará un máximo de 20% de trabajo autónomo y abordará los siguientes temas: Temática 1. Prevención violencia sexual, física, familiar y psicológica, Temática 2. Activación de rutas, Temática 3. Orientaciones sexuales, identidad de género y expresiones de genero diversas y Temática 4. Aplicación de herramientas pedagógicas, didácticas y “aplicación de conocimientos”.</t>
  </si>
  <si>
    <t>Compra de botella plástica libre de BPA, de 600 ml de capacidad, diferentes colores con estampado de logo institucional (No adhesivo u sti-cker), con boquilla tipo chupa abatible, máximo altura 22 cm, porta caramañola color negro en fibra de vidrio y/o carbono con tornillos tipo Bristol, instalada en lugar de salida del recorrido.</t>
  </si>
  <si>
    <t>Kit de caramañola + porta caramañola</t>
  </si>
  <si>
    <t>Alquiler de Sonido profesional para conferencia (desde 20 hasta 50 personas) (incluye 2 micrófonos, 2 cabinas estilo (bose L1), 1 retorno en tarima, 1 consola mínimo de 16 canales, ingeniero de sonido y todos los elementos requeridos para su operación.</t>
  </si>
  <si>
    <t>Estrategia Formación “Entornos Protectores y Territorios Seguros, inclusivos y diversos”.</t>
  </si>
  <si>
    <t xml:space="preserve">Alquiler de espacio (salón) </t>
  </si>
  <si>
    <t>Espacio adecuado con dotación de sillas, baños, mesas, video beam, computador, sonido y elementos necesarios para el desarrollo de eventos de hasta 30 personas. Con disponibilidad de espacio exterior para el desarrollo de las actividades al aire libre.
Un sitio en un punto estratégico de la localidad, agradable, seguro y libre de interrupciones.</t>
  </si>
  <si>
    <t>Sesiones 2 horas</t>
  </si>
  <si>
    <t>Estrategia de acompañamiento “Cuidándome -Cuidándonos”.</t>
  </si>
  <si>
    <t>Bono</t>
  </si>
  <si>
    <t>Tabla planillera</t>
  </si>
  <si>
    <t>Plástico Oficio Tamaño: 35 cm alto x 23 cm largo – tamaño oficio Clip: 8 cm alto x 20 cm largo Tabla de plástico con bordes redondos.</t>
  </si>
  <si>
    <t>Resma carta</t>
  </si>
  <si>
    <t>Resma de papel tamaño carta x 500 hojas de 75 gr</t>
  </si>
  <si>
    <t>Mándala</t>
  </si>
  <si>
    <t>Bolígrafo</t>
  </si>
  <si>
    <t>"Bolígrafo plástico, cuerpo color mate, clip metálico
Cuerpo Lateral: 55 x 7 mm - Cuerpo Posterior: 70 x 7 mm - Frente al Clip: 50 x 7 mm Punta con acabado metalizado Tinta negra Medidas: 14.5 cm Impresión Tampografía Tinta Plástica Sistema retráctil."</t>
  </si>
  <si>
    <t>Paquetes</t>
  </si>
  <si>
    <t>Tablero</t>
  </si>
  <si>
    <t>Tablero borrable y Cartelera en corcho, tamaño 60 x 80 cm, marco en madera, superficie grano fino productos que protege el medio ambiente, de fácil colgado en la pared.</t>
  </si>
  <si>
    <t>Borrador tablero</t>
  </si>
  <si>
    <t>Borrador para tablero Elaborado en felpa sintética, fieltro o paño chalet. La base debe ser en madera o plástico.</t>
  </si>
  <si>
    <t>Láminas</t>
  </si>
  <si>
    <t>Plancha
juguete</t>
  </si>
  <si>
    <t xml:space="preserve">Muñeca
juguete </t>
  </si>
  <si>
    <t>Carro 
juguete</t>
  </si>
  <si>
    <t>Kit cocina
juguete</t>
  </si>
  <si>
    <t>Juego</t>
  </si>
  <si>
    <t xml:space="preserve">Balón </t>
  </si>
  <si>
    <t>Pelota Balón Pilates Mini 22 Cm</t>
  </si>
  <si>
    <t>Estrategia de Formación: "Conociendo mis derechos me protejo".</t>
  </si>
  <si>
    <t>Estrategia de Formación “Entre Pares”.</t>
  </si>
  <si>
    <t>Plastilina</t>
  </si>
  <si>
    <t>Plastilina en barra de 55 gramos. Caja x 12 unidades, que incluya color blanco y negro.</t>
  </si>
  <si>
    <t>Pegante</t>
  </si>
  <si>
    <t>Pegante líquido 225g</t>
  </si>
  <si>
    <t xml:space="preserve">Lana </t>
  </si>
  <si>
    <t>Nylon</t>
  </si>
  <si>
    <t>Rollo de nylon 0.40 mm x 100 mts</t>
  </si>
  <si>
    <t>Papel periódico</t>
  </si>
  <si>
    <t>Papel periódico pliego 70cmx100cm</t>
  </si>
  <si>
    <t>Alfileres</t>
  </si>
  <si>
    <t>Caja Alfileres Cabeza Vidrio Para Costura 100 Unidades</t>
  </si>
  <si>
    <t>Caja de colores por 12 unidades a una sola punta.</t>
  </si>
  <si>
    <t>Plumones</t>
  </si>
  <si>
    <t>Marcador plumón permanente caja 12 colores</t>
  </si>
  <si>
    <t>Cinta enmascarar</t>
  </si>
  <si>
    <t>Cinta adhesiva para enmascarar multipropósito 12 mm x 40 mts.</t>
  </si>
  <si>
    <t>Papel Kraft</t>
  </si>
  <si>
    <t>Fichas con imágenes</t>
  </si>
  <si>
    <t>Dominó</t>
  </si>
  <si>
    <t>Cartulina</t>
  </si>
  <si>
    <t>Octavos de cartulina, colores variados paquete x 12 unidades</t>
  </si>
  <si>
    <t>Block Iris</t>
  </si>
  <si>
    <t>Papel de colores/ Bond, tamaño mínimo de Carta / 40 hojas</t>
  </si>
  <si>
    <t>Marcadores gráficos</t>
  </si>
  <si>
    <t>Caja x 10 marcadores gráficos. Tinta A Base De Agua Para Dibujar Y Colorear, Con punta gruesa tipo bala colores intensos, Su tinta resalta incluso sobre superficies oscuras y raya casi todo tipo de superficie.</t>
  </si>
  <si>
    <t>Modelos anatómicos</t>
  </si>
  <si>
    <t>Preservativo masculino</t>
  </si>
  <si>
    <t>Condón masculino caja por 3 unidades</t>
  </si>
  <si>
    <t>Preservativo femenino</t>
  </si>
  <si>
    <t>Condón femenino caja por 3 unidades</t>
  </si>
  <si>
    <t>Kit tarjetas ilustrativas 1</t>
  </si>
  <si>
    <t>Kit tarjetas ilustrativas 2</t>
  </si>
  <si>
    <t>Bonos canjeables y redimibles en canasta básica familiar por $500.000</t>
  </si>
  <si>
    <t>Bonos canjeables y redimibles en canasta básica familiar por $300.000</t>
  </si>
  <si>
    <t>Bonos canjeables y redimibles en canasta básica familiar por $200.000</t>
  </si>
  <si>
    <t>Bonos canjeables y redimibles en canasta básica familiar por $100.000</t>
  </si>
  <si>
    <t>Pendón</t>
  </si>
  <si>
    <t>Pendón tipo araña de 1 metro de ancho por 2 de alto. (1m *2m). Material Hierro- aluminio
Impresión digital Banner 13oz Alta calidad
Impresión: Impresión digital en plóter full color, Alta resolución. Estuche en tela.</t>
  </si>
  <si>
    <t>Espacio salida de convivencia</t>
  </si>
  <si>
    <t>Alquiler de espacio adecuado personas con dotación de sillas, mesas, electricidad, baños y elementos necesarios para el desarrollo de eventos de hasta 250 personas en la zona rural de Ciudad Bolívar.</t>
  </si>
  <si>
    <t>Alquiler de buses, recorridos al interior de la ciudad Características técnicas cómodos climatizados, con capacidad mínima para 40 personas sentadas, con vidrios panorámicos, excelentes condiciones técnico-mecánicas, de aseo y estéticas, salida de emergencia, equipo de sonido, botiquín de primeros auxilios, conductor experimentado y calificado, que conduzca a la velocidad permitida y con equipo completo de carretera). (punto salida - punto llegada) recorrido ida y vuelta. Modelo 2020 en adelante. con acceso a las bodegas de almacenamiento del vehículo.</t>
  </si>
  <si>
    <t>Pólizas</t>
  </si>
  <si>
    <t>Un (1) Sándwich de 240 gr, compuesto mínimo de pan (árabe o artesanal), proteína (carne, pollo, cerdo, pavo, etc) queso (doble crema o mozzarella), lechuga (lisa o rizada), o hamburguesa de 230 gr compuesta minimo de (pan de hamburguesa), proteína animal de 140 gr, queso (doble crema o mozzarella), lechuga (lisa o rizada), o crepe o grap de 240 gr compuesto minimo de proteína (carne, pollo, cerdo, pavo o mixto) con sour cream, envuelto en papel encerado)
una (1) porción de papas chips de 25 gr
Una (1) fruta entera de mínimo 80 gramos.
Una (1) Jugo natural en agua envasado en empaques 100% biodegradables 250 ml o servido en vaso de 12 onzas o bebida caliente de 12 onzas o gaseosa botella pet de 250 ml (tipo ziplock).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</si>
  <si>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 xml:space="preserve">Bingo </t>
  </si>
  <si>
    <t>El bolillero consta de una esfera o tambor con una manivela que permite su giro. Dentro de este tambor se encuentran las bolillas numeradas.
Alquiler de Pantalla LED de 3 a 4 pitch 8 x 3 mts con opción de outdoor (Día). Incluye transporte.</t>
  </si>
  <si>
    <t>Cartones bingo</t>
  </si>
  <si>
    <t>Cartones con 24 números, divididos en 5 columnas. Las columnas están definidas por cada una de las letras del bingo, B, I, N, G, O.</t>
  </si>
  <si>
    <t>Servicio de alquiler Sonido profesional de 4000 watts para asamblea (desde 71 hasta 250 personas) (incluye 4 cabinas (2 cabinas Configuración de 2 vias, Amplificador de integrado LF de 3 Canales potencia peak 1200 W + 300 W y 2 cabinas 1000 watts clase-D (650 W + 350 W, biamplificación)
Bocina de 12” con bobina de voz de 2,5” Driver de 1” pulgadas con bobina de voz 1,75” 135 dB SPL máximo de pico), 1 o 2 retornos en tarima y 1 consola Digital mínimo de 16 canales, con set básico de micrófonos conforme a los requerimientos del espacio y condiciones particulares del evento, así como, las cajas directas, cableado necesario. Incluye transporte, montaje y desmontaje.</t>
  </si>
  <si>
    <t xml:space="preserve">Set de 10 pinceles de diferentes tamaños.  </t>
  </si>
  <si>
    <t xml:space="preserve">Semana de la juventud </t>
  </si>
  <si>
    <t>Una (1) Entrada (Sopa, crema, consomé o fruta).
Una (1) proteína de 250 gramos mínimo (Pollo, carne de res, cerdo ó pescado) Dos (2) Porciones de Carbohidratos entre 80 y 100 gramos (Papa, yuca, o cualquier otro tubérculo, plátano, cereales y productos derivados (Tortas, arroz, pastas, entre otros) Una (1) guarnición porción de 100 gramos (fríjoles, garbanzos, lentejas, arverja) o porción verdura fría y/o caliente de 100 gramos mínimo. Una (1) porción de Ensalada de mínimo 70 gr. Un (1) postre de mínimo 30 gramos (frutas, gelatinas, flanes, bocadillos, dulces, entre otros) Una (1) Bebida refresco o éctar de fruta 200 ml o jugo natural en agua servido en vaso de 12 onzas o gaseosa botella plástica de 250 ml (tipo ziplock). Incluir 4 opciones de menú (incluida una opción vegetariana) (puesto por persona que incluye, plato base, plato fuerte, plato sopa, vaso largo o de jugo, copa de agua, tenedor fuerte, cuchillo fuerte, tenedor o cuchara de entrada, plato postre, cuchara o tenedor para postre, cuchillo de untar, según corresponda) Incluye transporte, menaje y servicio (servido en plato o mesa según corresponda e impuesto al consumo si aplica).  Deben entregarse empacados herméticamente, garantizando productos frescos y preparación del mismo día, incluye transporte de entrega.</t>
  </si>
  <si>
    <t>Kit de materiales (Asamblea de Juventud)</t>
  </si>
  <si>
    <t>Alquiler Espacio adecuado con dotación de sillas, baños, mesas, video beam, computador, sonido y elementos necesarios para el desarrollo de eventos de hasta 100 personas. Con disponibilidad de espacio exterior para el desarrollo de las actividades al aire libre.</t>
  </si>
  <si>
    <t>Pantalla Cine Foro. (Muestra juvenil)</t>
  </si>
  <si>
    <t>Combo cine</t>
  </si>
  <si>
    <t>Coliseo cubierto con capacidad mínima de 200 personas, con graderías para acompañantes. Disponibilidad de acceso a baños. Pago de póliza según reglamentación IDRD.</t>
  </si>
  <si>
    <t>Derechos conexos al derecho de autor (Evento de cierre)</t>
  </si>
  <si>
    <t>Un (1) Sándwich de 240 gr, compuesto mínimo de pan (árabe o artesanal), proteína (carne, pollo, cerdo, pavo, etc) queso (doble crema o mozzarella), lechuga (lisa o rizada), o hamburguesa de 230 gr compuesta minimo de (pan de hamburguesa), proteína animal de 140 gr, queso (doble crema o mozzarella), lechuga (lisa o rizada), o crepe o grap de 240 gr compuesto minimo de proteína (carne, pollo, cerdo, pavo o mixto) con sour cream, envuelto en papel encerado)una (1) porción de papas chips de 25 gr
Una (1) fruta entera de mínimo 80 gramos.Una (1) Jugo natural en agua envasado en empaques 100% biodegradables 250 ml o servido en vaso de 12 onzas o bebida caliente de 12 onzas o gaseosa botella pet de 250 ml (tipo ziplock).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</si>
  <si>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 xml:space="preserve">Semana del Buen Trato </t>
  </si>
  <si>
    <t>Un (1) Sándwich de 240 gr, compuesto mínimo de pan (árabe o artesanal), proteína (carne, pollo, cerdo, pavo, etc) queso (doble crema o mozzarella), lechuga (lisa o rizada), o hamburguesa de 230 gr compuesta minimo de (pan de hamburguesa), proteína animal de 140 gr, queso (doble crema o mozzarella), lechuga (lisa o rizada), o crepe o grap de 240 gr compuesto minimo de proteína (carne, pollo, cerdo, pavo o mixto) con sour cream, envuelto en papel encerado)una (1) porción de papas chips de 25 gr. Una (1) fruta entera de mínimo 80 gramos.Una (1) Jugo natural en agua envasado en empaques 100% biodegradables 250 ml o servido en vaso de 12 onzas o bebida caliente de 12 onzas o gaseosa botella pet de 250 ml (tipo ziplock).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</si>
  <si>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Cine</t>
  </si>
  <si>
    <t xml:space="preserve">Alquiler de película con pago de derechos de uso (licencia umbrella). Equipo de proyección con extensión eléctrica y operador. </t>
  </si>
  <si>
    <t>Alquiler de Carpa tipo hangar modulares 12 mts X 18 mts (por día) incluye traslados, armado y desarmado.</t>
  </si>
  <si>
    <t>Alquiler de silla plástica sin apoyabrazos (Día)</t>
  </si>
  <si>
    <t>Alquiler planta eléctrica de 5.000 W para evento (Día)</t>
  </si>
  <si>
    <t>Planeación, Elaboración, evaluación, ejecución, publicación y autorización de los planes de contingencia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enfermero, bomberos, defensa civil y demás aspectos requeridos. Baja complejidad</t>
  </si>
  <si>
    <t xml:space="preserve">Palomitas de sal y dulce 120 gr en empaque biodegradable, Jugo de 200 mil. </t>
  </si>
  <si>
    <t>Planeación, Elaboración, evaluación, ejecución, publicación y autorización de los planes de contingencia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enfermero, bomberos, defensa civil y demás aspectos requeridos. Baja complejidad</t>
  </si>
  <si>
    <t>Alquiler de Pantalla LED de 3 a 4 pitch 5 x 3 mts con opción de outdoor (Día)</t>
  </si>
  <si>
    <t>Vallas de contención</t>
  </si>
  <si>
    <t>Alquiler de Valla en tubo galvanizado de 1.40 de alto X 2 mts de ancho con base de 60 mm, calibre de 1 ¼ “, existen dos clases: con lamina &amp; de tubo.</t>
  </si>
  <si>
    <t>Alquiler de planta eléctrica de 10.000 W para evento (Día)</t>
  </si>
  <si>
    <t xml:space="preserve">SUBTOTAL COMPONENTE II: PREVENCIÓN DE VIOLENCIAS INTRAFAMILIAR </t>
  </si>
  <si>
    <t>COMPONENTE II: PREVENCIÓN DE VIOLENCIAS INTRAFAMILIAR Y SEXUAL</t>
  </si>
  <si>
    <t>Transporte
Bus dentro de la ciudad</t>
  </si>
  <si>
    <t>Servicio de Locutor o Moderador de cada final y acto de premiación. persona con experiencia en manejo de locución o presentador de eventos, preferiblemente residente de la localidad. Servicio por toda la jornada mínimo de 6 horas.</t>
  </si>
  <si>
    <t xml:space="preserve">Narrador </t>
  </si>
  <si>
    <t xml:space="preserve">Bono </t>
  </si>
  <si>
    <t>Planta eléctrica tipo 1</t>
  </si>
  <si>
    <t>Los amparos para cada uno de los participantes: por muerte $10.000.000, invalidez y desmembración $10.000.000, gastos funerarios $2.000.000 y gastos médicos (incluirá cualquier tipo de accidente, golpes, fracturas, entre otras.) $2.000.000. Incluye participantes.</t>
  </si>
  <si>
    <t>Refrigerio Tipo 2</t>
  </si>
  <si>
    <t>Plan de contingencia Tipo 1</t>
  </si>
  <si>
    <t>Planta Electrica Tipo 2</t>
  </si>
  <si>
    <t xml:space="preserve">ESTUDIO DE MERCADO </t>
  </si>
  <si>
    <t>ESCOLARES VERSALES S.A.S
NIT: 800.088.063 -4</t>
  </si>
  <si>
    <t>DISTRIBUIDORA NACIONAL GROUP S.A.S
NIT: 901.708.000-9</t>
  </si>
  <si>
    <t>COMPAÑÍA PAPELERIA NACIONAL S.A.S
NIT: 900.009.495-8</t>
  </si>
  <si>
    <t>FUNDACIÓN JUSTICIA SOCIAL
NIT: 830.069.703-8
(AÑO 2025)</t>
  </si>
  <si>
    <t>Servicio de cafetería (tinto, aromática y agua): Operario + presentación mesa + vasos biodegradables bebida caliente  4 oz. + mezclador + azúcar + crema para café), (bebida fria vaso material biodegradable de 10 onzas). Incluye galletas tipo avena o integrales. Duración del evento aprox. 5 horas. Transporte incluido.</t>
  </si>
  <si>
    <t>Estación de café y/o Hidratación (300 personas)</t>
  </si>
  <si>
    <t>PALILI EVENTOS S.A.S. 
NIT: 901.463.924-5</t>
  </si>
  <si>
    <t>SR. PIMIENTA CHEF SERGIO RIVEROS - PEPPER IT S.A.S.
NIT: 901.876.218-6
(COTIZACION 2024 + IPC 5,2% 2024)</t>
  </si>
  <si>
    <t>VALOR UNITARIO
IVA INCLUIDO + IPC 5,2%</t>
  </si>
  <si>
    <t>VALOR UNITARIO
IVA INCLUIDO</t>
  </si>
  <si>
    <t>GRUPO EMPRESARIAL DE CONSULTORES E INTERVENTORES S.A.S. BIC
NIT: 901.548.063-5</t>
  </si>
  <si>
    <t>Personas / Día</t>
  </si>
  <si>
    <t>BODEGA Y COCINA DISEÑO DE EVENTOS Y EXPERIENCIAS - BODEGA Y COCINA S.A.S.
NIT: 830.044.885-1
(COTIZACION 2024 + IPC 5,2% 2024)</t>
  </si>
  <si>
    <t>REFRIBREAK S.A.S. - RFB S.A.S.
NIT: 901.008.027-3
(COTIZACION 2024 + IPC 5,2% 2024)</t>
  </si>
  <si>
    <t xml:space="preserve"> Un (1) Sándwich de 240 gr, compuesto minimo de pan (árabe o artesanal), proteína (carne, pollo, cerdo, pavo, etc) queso (doble crema o mozzarella), lechuga (lisa o rizada), o hamburguesa de 230 gr compuesta minimo de (pan de hamburguesa), proteína animal de 140 gr, queso (doble crema o mozzarella), lechuga (lisa o rizada), o crepe o grap de 240 gr compuesto minimo de proteína (carne, pollo, cerdo, pavo o mixto) con sour cream, envuelto en papel encerado) una (1) porción de papas chips de 25 gr Una (1) fruta entera de mínimo 80 gramos. Una (1) Jugo natural en agua envasado en empaques 100% biodegradables 250 ml o servido en vaso de 12 onzas o bebida caliente de 12 onzas o gaseosa botella pet de 250 ml (tipo ziplock).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</si>
  <si>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 xml:space="preserve"> Un (1) Sándwich de 240 gr, compuesto minimo de pan (árabe o artesanal), proteína (carne, pollo, cerdo, pavo, etc) queso (doble crema o mozzarella), lechuga (lisa o rizada), o hamburguesa de 230 gr compuesta minimo de (pan de hamburguesa), proteína animal de 140 gr, queso (doble crema o mozzarella), lechuga (lisa o rizada), o crepe o grap de 240 gr compuesto minimo de proteína (carne, pollo, cerdo, pavo o mixto) con sour cream, envuelto en papel encerado)una (1) porción de papas chips de 25 grUna (1) fruta entera de mínimo 80 gramos.Una (1) Jugo natural en agua envasado en empaques 100% biodegradables 250 ml o servido en vaso de 12 onzas o bebida caliente de 12 onzas o gaseosa botella pet de 250 ml (tipo ziplock).(lo anterior en un empaque que cumpla los lineamientos de la política ambiental del distrito capital con respecto a los plásticos y empaques de un solo uso.)Deben entregarse empacados individual y herméticamente con cubiertos biodegradables, garantizando productos frescos, incluye transporte de entrega.</t>
  </si>
  <si>
    <t>CAC PUBLICIDAD
NIT: 830.135.170-5</t>
  </si>
  <si>
    <t>IDDENTIFY S.A.S
NIT: 901.412.899 -0</t>
  </si>
  <si>
    <t>ANALISIS COTIZACIONES</t>
  </si>
  <si>
    <t xml:space="preserve">MEDIANA  </t>
  </si>
  <si>
    <t xml:space="preserve">PROMEDIO </t>
  </si>
  <si>
    <t xml:space="preserve">DESVIACIÓN ESTÁNDAR 
</t>
  </si>
  <si>
    <t>DISPERSIÓN PRECIOS 
(Promedio)</t>
  </si>
  <si>
    <t>VALOR UNITARIO TECHO
(IVA INCLUIDO)</t>
  </si>
  <si>
    <t>Agua para el consumo humano en botella plástica reciclable (material 100% biodegradables en procesos de compostaje, biodegradables en proceso natural o que cuenten con contenido de materia prima 100% reciclada) - Presentación de mínimo 600 mililitros</t>
  </si>
  <si>
    <t>Pack de 24 unidades de agua por 300ml</t>
  </si>
  <si>
    <t>Paca</t>
  </si>
  <si>
    <t>EVENTOS DIANA GARCIA
NIT: 901,709.437-8</t>
  </si>
  <si>
    <t>FUNDACION COLOMBIANOS PA´LANTE
NIT: 900.393.503-3</t>
  </si>
  <si>
    <t>INVERSIONES SERVICIOS INTEGRALES Y OCASIONALES DE COLOMBIA S.A.S.
NIT: 900.995.091 - 4</t>
  </si>
  <si>
    <t>TELEMARKETER BPO &amp; LOGISTICS S.A.S.
NIT: 901.012.708-6</t>
  </si>
  <si>
    <t>HOMECENTER - SODIMAC COLOMBIA S.A.
NIT: 800.242.106-2</t>
  </si>
  <si>
    <t>EASY - CENCOSUD COLOMBIA S.A.
NIT 900.155.107-1</t>
  </si>
  <si>
    <t>DEPOSITO Y FERRETERIA ALQUERIA S.A.S.
NIT: 901.390.728-3</t>
  </si>
  <si>
    <t>TEKNOKORAN S.A.S.
NIT: 901.677.221-5</t>
  </si>
  <si>
    <t>FERRETERIA ROJO S.A.S.
NIT: 901.500.135-1</t>
  </si>
  <si>
    <t>FERRE ELECTRICOS FABIAN - MARÍA MARCELA ROJAS NIÑO
NIT: 30.024.825-2</t>
  </si>
  <si>
    <t>Bachiller que resida en la localidad de Ciudad Bolívar. Experiencia como apoyo logístico mínimo en 2 eventos</t>
  </si>
  <si>
    <t>Carpa hangar 12 x18</t>
  </si>
  <si>
    <t>Diploma</t>
  </si>
  <si>
    <t>Caja de marcadores</t>
  </si>
  <si>
    <t>COMERCIALIZADORA DISFENIX S.A.S.
NIT: 900.348.994-5</t>
  </si>
  <si>
    <t>PAPELERIA Y CACHARRERIA NCA - NORMA CECILIA AGUIRRE MEJÍA
NIT: 39.797.006-6</t>
  </si>
  <si>
    <t xml:space="preserve">Cinta de empaque </t>
  </si>
  <si>
    <t>Rollo</t>
  </si>
  <si>
    <t>Caja de lapiz</t>
  </si>
  <si>
    <t>Almuerzo tipo 3</t>
  </si>
  <si>
    <t>Una (1) Entrada (Sopa, crema, consomé o fruta)
Una (1) proteína de 250 gramos mínimo (Pollo, carne de res, cerdo ó pescado)
Dos (2) Porciones de Carbohidratos entre 80 y 100 gramos (Papa, yuca, o cualquier
otro tubérculo, plátano, cereales y productos derivados (Tortas, arróz, pastas, entre otros)
Una (1) guarnición porción  de 100 gramos (fríjoles, garbanzos, lentejas, arverja)  o porción verdura fría y/o caliente de 100 gramos mínimo.
Una (1) porción de Ensalada de mínimo 70 gr.
Un (1) postre de mínimo 30 gramos (frutas, gelatinas, flanes, bocadillos, dulces, entre otros)
Una (1)  Bebida refresco o nectar de fruta 200 ml o jugo natural en agua servido en vaso de 12 onzas o gaseosa botella plástica de 250 ml (tipo ziplock).
 Incluir 4 opciones de menú (incluida una opción vegetariana)
(puesto por persona que incluye, plato base, plato fuerte, plato sopa, vaso largo o de jugo, copa de agua, tenedor      fuerte, cuchillo fuerte, tenedor o cuchara de entrada, plato postre, cuchara o tenedor para postre, cuchillo de untar, según corresponda)
Incluye transporte, menaje y servicio (servido en plato o mesa según corresponda e impuesto al consumo si aplica).  Deben entregarse empacados herméticamente, garantizando productos frescos y preparación del mismo día , incluye transporte de entrega.</t>
  </si>
  <si>
    <t>RESOLUCIÓN HONORARIOS 1124 SECRETARIA DISTRITAL DE GOBIERNO
11 DE DICIEMBRE DE 2024</t>
  </si>
  <si>
    <t xml:space="preserve"> ASOCIACION TUVIDA
NIT:901615151-2</t>
  </si>
  <si>
    <t>Caja de Lápiz</t>
  </si>
  <si>
    <t>Lana Escolar Surtida Paq X 12 Und Elemento: Lana escolar de colores
- Cantidad: 12 unidades / rollo de 16 gr
- Colores: negro, amarillo, azul oscuro, verde oscuro, rojo oscuro, verde mente, rosa, beage, blanco, curuva, azul claro, verde limón, palo de rosa, amarillo, fucsia y rojo</t>
  </si>
  <si>
    <t>Caja de Colores</t>
  </si>
  <si>
    <t xml:space="preserve">Balon plastico siliconado  con medidas de  65 cm de diametro </t>
  </si>
  <si>
    <t>Balón Plastico</t>
  </si>
  <si>
    <t xml:space="preserve"> CLUB DEPORTIVO EAGLES SKATE DEL MUNICIPIO DE MOSQUERA
NIT. 901.773.493-2</t>
  </si>
  <si>
    <t>GLIO S.A.S. - GESTION LOGISTICA INVERSIONES OBRAS S.A.S.
NIT: 901.412.163-9</t>
  </si>
  <si>
    <t>PUBLICIDAD POP SOLUCIONES S.A.S.
NIT:  901.243.321-0</t>
  </si>
  <si>
    <t>Trayecto
(ida y Vuelta)</t>
  </si>
  <si>
    <t>TRANSPORTE MARTINEZ VIP S.A.S.
NIT: 900.815.941-9</t>
  </si>
  <si>
    <t>SANTORINI S.A.S.
NIT: 901.504.393-1</t>
  </si>
  <si>
    <t>LÍNEAS TURÍSTICAS COLOMBIANAS S.A.S. - LINTURCOL
NIT: 830.114.351-1</t>
  </si>
  <si>
    <t>FUNDACION GESTION Y PROCESOS CULTURALES
NIT: 900.456.669-9</t>
  </si>
  <si>
    <t>DISTRIBUIDORA INTEGRAL ALMA S.A.S.
NIT:  901.421.573-3
(COTIZACIÓN 2024 + IPC 5,2% 2024)</t>
  </si>
  <si>
    <t>A2 MARKETING NEWS S.A.S.
NIT: 900.653.412-8
(COTIZACIÓN 2024 + IPC 5,2% 2024)</t>
  </si>
  <si>
    <t>Servicio de Locutor o Moderador. persona con experiencia en manejo de locución o presentador de eventos, preferiblemente residente de la localidad. Servicio por toda la jornada mínimo de 6 horas.</t>
  </si>
  <si>
    <t xml:space="preserve">Sillas sin brazo </t>
  </si>
  <si>
    <t>CONSULTORES Y ASESORES TIC S.A.S.
2024
NIT: 901.360.556-5 
(AÑO 2025)</t>
  </si>
  <si>
    <t>CONSULTORES Y ASESORES TIC S.A.S.
2025
NIT: 901.360.556-5
(AÑO 2025)</t>
  </si>
  <si>
    <t>FUNDACIÓN JUSTICIA SOCIAL
NIT: 830.069.703-8
(AÑO 2024)</t>
  </si>
  <si>
    <t xml:space="preserve">Pantalla Led 5x3 </t>
  </si>
  <si>
    <t>Alquiler baño para uso de las personas participantes del evento donde se dispondrá de un baño para hombre y un baños para mujeres , cuyos sanitarios deben ir instalados con bomba recirculatoria, lavamanos interno, tanque de depósito de 80 galones, asiento de inodoro de forma alargada, paredes de alta durabilidad con paneles de alta limpieza, rejillas para ventilación, spring de doble torsión, manija, cierre de puertas de fácil manejo, bases con bajillas plásticas para la eliminación de desechos, cada unidad portátil dotada con. -Dos (2) rollos de papel higiénico por baño x 170 mtrs. -Jabón líquido para manos. Respectivo químico biodegradable. Bolsa de basura.
Los baños debe proporcionarse con instalación y desmontaje, servicio de limpieza cargue de suministros idóneos para su funcionamiento y descargue y disposición de residuos de uso.Incluye transporte</t>
  </si>
  <si>
    <t>Baños portátil tipo 1</t>
  </si>
  <si>
    <t>CORPORACION PUNTOS CARDINALES
NIT: 9002069108</t>
  </si>
  <si>
    <t>CORPENSAR 
NIT: 900982622-9</t>
  </si>
  <si>
    <t>RADAR, CREATIVIDAD E INNOVACIÓN
NIT: 901954205-5</t>
  </si>
  <si>
    <t>RESULTADO DEL ANALISIS</t>
  </si>
  <si>
    <t>VALOR TOTAL (IVA INCLUIDO)</t>
  </si>
  <si>
    <t xml:space="preserve">OBSERVACIÓN </t>
  </si>
  <si>
    <t xml:space="preserve">SE TOMA EL PROMEDIO COMO MEDIDA DE TENDENCIA CENTRAL. VALORES TOMADOS DE LA CANASTA DE COSTOS II SEMESTRE 2025. </t>
  </si>
  <si>
    <t xml:space="preserve">SE TOMA LA MEDIANA COMO MEDIDA DE TENDENCIA CENTRAL. VALORES TOMADOS DE LA CANASTA DE COSTOS II SEMESTRE 2025. </t>
  </si>
  <si>
    <t>SE TOMA LA MEDIANA COMO MEDIDA DE TENDENCIA CENTRAL. VALORES TOMADOS DE LA CANASTA DE COSTOS II SEMESTRE 2025.</t>
  </si>
  <si>
    <t>Sonido y video tipo 1</t>
  </si>
  <si>
    <t>Persona / Día</t>
  </si>
  <si>
    <t>SE TOMA EL PROMEDIO COMO MEDIDA DE TENDENCIA CENTRAL PARA EL CALCULO. VALOREES TOMADOS DE LA CANASTA DE COSTOS II SEMESTRE 2025.</t>
  </si>
  <si>
    <t>SE TOMA LA MEDIANA COMO MEDIDA DE TENDENCIA CENTRAL PARA EL CALCULO. VALOREES TOMADOS DE LA CANASTA DE COSTOS II SEMESTRE 2025.</t>
  </si>
  <si>
    <t>SE TOMA EL PROMEDIO COMO MEDIDA DE TENDENCIA CENTRAL PARA EL CALCULO. VALORES TOMADOS DE LA CANASTA DE COSTOS II SEMESTRE 2025.</t>
  </si>
  <si>
    <t>SE TOMA EL PROMEDIO COMO MEDIDA DE TENDENCIA CENTRAL PARA EL CALCULO. VALORES TOMADOS DE LA CANASTA DE COSTOS II SMESTRE 2025.</t>
  </si>
  <si>
    <t>SE TOMA EL PROMEDIO COMO MEDIDA DE TENDENCIA CENTAL PARA EL CALCULO. VALORES TOMADOS DE LA CANASTA DE COSTOS II SEMESTRE 2025</t>
  </si>
  <si>
    <t>FUNDACIÓN E&amp;GC
NIT: 901532753-9</t>
  </si>
  <si>
    <t xml:space="preserve"> INVICTOS SAS 
NIT: 900290969-9</t>
  </si>
  <si>
    <t>Artista</t>
  </si>
  <si>
    <t xml:space="preserve">SE TOMA EL PROMEDIO COMO MEDIDA DE TENDENCIA CENTRAL. </t>
  </si>
  <si>
    <t>SE TOMA LA MEDIANA COMO MEDIDA DE TENDENCIA CENTRAL PARA EL CALCULO.</t>
  </si>
  <si>
    <t xml:space="preserve">SE TOMA VALOR DE  RESOLUCION No 1124 SECRETARIA DISTRITAL DE GOBIERNO, TABLA DE HONORARIOS PERSONAS NATURALES POR PRESTACION DE SERVICIOS PROFESIONALES Y DE APOYO A LA GESTION </t>
  </si>
  <si>
    <t>ANPIMA S.A.S.
2024
NIT: 901.479.644-8</t>
  </si>
  <si>
    <t xml:space="preserve">CANTIDAD </t>
  </si>
  <si>
    <t>Dia</t>
  </si>
  <si>
    <t>COMERCIALIZADORA SOME
NIT. 900.974.613-9
(AÑO 2024)</t>
  </si>
  <si>
    <t>SE TOMA EL PROMEDIO COMO MEDIDA DE TENDENCIA CENTRAL PARA EL CALCULO.</t>
  </si>
  <si>
    <t>SE TOMA EL PROMEDIO COMO MEDIDA DE TENDENCIA CENTRAL PARA EL CALCULO</t>
  </si>
  <si>
    <t xml:space="preserve">ACINPRO
</t>
  </si>
  <si>
    <t>Bono redimible en parque de diversiones (Incluye ingreso con acceso a atracciones de acuerdo con grupo etario, alimentación: plato principal -gaseosa). Bono por valor de $180.000 por persona.</t>
  </si>
  <si>
    <t>Bolsa</t>
  </si>
  <si>
    <t>Autorizaciones para utilizar efectivamente o tener la posibilidad de realizar la ejecución o comunicación pública de los fonogramas e interpretaciones, artísticas, ejecuciones o productores fonográficos pertenecientes únicamente a sus afiliados, en los eventos propios de la alcaldía.  Categoria de aforo hasta 250.</t>
  </si>
  <si>
    <t>EL VALOR DESCRITO EN EL PRESENTE ÍTEM, SE ENCUENTRA DEFINIDO DE CONFORMIDAD CON LA COTIZACIÓN PRESENTADA POR ASOCIACIÓN COLOMBIANA DE INTÉRPRETES Y PRODUCTORES FONOGRÁFICOS - ACINPRO.</t>
  </si>
  <si>
    <t>Profesional comunicaciones</t>
  </si>
  <si>
    <t>Volante de 1/2 carta cote 90g, 4x4, con acabado relife, con logos institucionales, incluye diseño e impresión.</t>
  </si>
  <si>
    <t>1/4 de pliego (Afiche de 50x35 cm, bond, con logos  institucionales, incluye diseño e impresión.)</t>
  </si>
  <si>
    <t>Diplomado de 120 horas estructurado por módulos para 100 hombres, que incluya: inscripción, matrícula, carné estudiantil (si aplica), elementos pedagógicos aprendizaje (cartillas, libros, plataforma, videos, entre otros), seguro de estudiante (si aplica), docentes profesionales e idóneos y certificación. 
El diplomado contemplará un máximo de 20% de trabajo autónomo y abordará los siguientes temas: 1. Sexualidad, 2. Masculinidad y violencia, 3. Prevención violencia de género, 4. Nuevas masculinidades, 5. Comunicación, empatía y vínculos sanos, 6.	Taller de cambio cultural.</t>
  </si>
  <si>
    <t>Caneca de vinilo</t>
  </si>
  <si>
    <t>Bono $3.000.000
Movilización</t>
  </si>
  <si>
    <t>Bono $2.000.000
Movilización</t>
  </si>
  <si>
    <t>Bono $1.500.000
Movilización</t>
  </si>
  <si>
    <t>Bono $1.000.000
Movilización</t>
  </si>
  <si>
    <t>Plan de Contingencia Tipo 3</t>
  </si>
  <si>
    <t>Planeación, Elaboración, evaluación, ejecución, publicación y autorización de los planes de contingencia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enfermero, bomberos, defensa civil y demás aspectos requeridos. Alta complejidad</t>
  </si>
  <si>
    <t>Alquiler de Carpa tipo hangar modulares 12 mts X 6 mts (por día) incluye traslados, armado y desarmado.</t>
  </si>
  <si>
    <t>Diplomas en papel opalina, tamaña carta, impresión laser, full color, para los participantes del proceso, con los logos de la Alcaldia local de Ciudad Bolívar, donde incluye el nombre del participante y una frase de participación en dicho proceso.</t>
  </si>
  <si>
    <t>Plan de medios</t>
  </si>
  <si>
    <t>Plan de medios componente</t>
  </si>
  <si>
    <t>Subtotal Equipo de trabajo componente</t>
  </si>
  <si>
    <t>Subtotal Plan de Medios</t>
  </si>
  <si>
    <t>Subtotal Diplomado Escuela de Estudio de Género - Propuesta presupuestos participativos 39554</t>
  </si>
  <si>
    <t>Subtotal Diplomado en masculinidades y violencia de género</t>
  </si>
  <si>
    <t>Un (1) grupo artístico compuesto por cinco (5) personas, experiencia mínima de 24 meses en actividades relacionadas a Teatro callejero, clown, teatro, comparsas, de los cuales 12 meses de experiencia en trabajo relacionada a temas relacionados enfoque de género, y/o Derechos de las mujeres y/o Política Pública de las Mujeres y Equidad de género con conocimiento territorial de la Localidad de Ciudad Bolívar y de los cuales 12 meses de experiencia con población afectada por violencia en el contexto familiar y/o violencia sexual en situación de vulnerabilidad.</t>
  </si>
  <si>
    <t>Subtotal Ceremonia de Cierre Diplomados</t>
  </si>
  <si>
    <t>Actividad 1: Territorio de Respeto: Juntos Prevenimos la Violencia. Componente 2 Conmemoraciones</t>
  </si>
  <si>
    <t>Profesional actividad Tipo 1</t>
  </si>
  <si>
    <t>Subtotal Seminarios - Propuestas presupuestos participativos 39285</t>
  </si>
  <si>
    <t>Subtotal Curso de Defensa Personal Feminista - Propuestas presupuestos participativos 39554</t>
  </si>
  <si>
    <t>Subtotal Taller artístico de prevención - Propuestas presupuestos participativos 43944</t>
  </si>
  <si>
    <t>Subtotal Territorio de Respeto</t>
  </si>
  <si>
    <t>Un (1) Sándwich de 240 gr, compuesto minimo de pan (árabe o artesanal), proteína (carne, pollo, cerdo, pavo, etc) queso (doble crema o mozzarella), lechuga (lisa o rizada), o hamburguesa de 230 gr compuesta minimo de (pan de hamburguesa), proteína animal de 140 gr, queso (doble crema o mozzarella), lechuga (lisa o rizada), o crepe o grap de 240 gr compuesto minimo de proteína (carne, pollo, cerdo, pavo o mixto) con sour cream, envuelto en papel encerado) una (1) porción de papas chips de 25 gr Una (1) fruta entera de mínimo 80 gramos. Una (1) Jugo natural en agua envasado en empaques 100% biodegradables 250 ml o servido en vaso de 12 onzas o bebida caliente de 12 onzas o gaseosa botella pet de 250 ml (tipo ziplock).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</si>
  <si>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 xml:space="preserve">Refrigerio tipo 2 </t>
  </si>
  <si>
    <t xml:space="preserve">Refrigerio  tipo 2 </t>
  </si>
  <si>
    <t>COMERCIALIZADORA SOUL SAS
NIT: 900974613-9</t>
  </si>
  <si>
    <t>Bono $800.000
Movilización</t>
  </si>
  <si>
    <t>Apoyo Logistico</t>
  </si>
  <si>
    <t>Jueces</t>
  </si>
  <si>
    <t>Bolsa elementos</t>
  </si>
  <si>
    <t>Derechos conexos al derecho de autor: Autorizaciones para utilizar efectivamente o tener la posibilidad de realizar la ejecución o comunicación pública de los fonogramas e interpretaciones, artísticas, ejecuciones o productores fonográficos pertenecientes únicamente a sus afiliados, en los eventos propios de la alcaldía. Categoria de aforo de 251 a 500.</t>
  </si>
  <si>
    <t>Subtotal Movilización artístistica y cultural - Presupuestos participativos 39285</t>
  </si>
  <si>
    <t>Sonido Tipo 1</t>
  </si>
  <si>
    <t>Sonido y video tipo 3</t>
  </si>
  <si>
    <t>Sonido Tipo 2</t>
  </si>
  <si>
    <t xml:space="preserve">Resma carta </t>
  </si>
  <si>
    <t>Subtotal Tejiendo Redes</t>
  </si>
  <si>
    <t>Alquiler de espacio apto para 100 personas</t>
  </si>
  <si>
    <t>Alquiler de espacios 100 personas</t>
  </si>
  <si>
    <t>Alquiler de espacios 250 personas</t>
  </si>
  <si>
    <t>Alquiler de Espacio apto para 250 personas,                                                  
Nota 1: El espacio debe ser dentro de la Localidad de Ciudad Bolívar
Nota 2: En caso de que el lugar previsto para el desarrollo del evento de cierre del proceso sea un complejo que no requiera alquiler, no se realizará pago al contratista por este ítem. Esto se acordará dentro de la ejecución previa concertación entre el contratista y la supervisión.</t>
  </si>
  <si>
    <t>Pendón tipo araña de 1 metro de ancho por 2 de alto. (1m *2m) Material Hierro- aluminio
Impresión digital Banner 13oz Alta calidad
Impresión: Impresión digital en plóter full color, Alta resolución Estuche en tela.</t>
  </si>
  <si>
    <t>Subtotal Sistematización de experiencias</t>
  </si>
  <si>
    <t>TOTAL COMPONENTE I: PREVENCIÓN DE VIOLENCIAS MUJER</t>
  </si>
  <si>
    <t>COMPONENTE 1: PREVENCIÓN DE VIOLENCIAS MUJERES</t>
  </si>
  <si>
    <t>Alquiler de espacios Global</t>
  </si>
  <si>
    <t>Actividad 4:  Redes comunitarias para la prevención de violencias.</t>
  </si>
  <si>
    <t>Diseñador gráfico</t>
  </si>
  <si>
    <t xml:space="preserve">Subtotal Redes comunitarias </t>
  </si>
  <si>
    <t>Cachuchas</t>
  </si>
  <si>
    <t>Chaqueta institucional estrategia</t>
  </si>
  <si>
    <t xml:space="preserve">Chaqueta deportiva rompevientos, casual, de material de nylon, con cuello redondo, manga larga impermeable, cierre de cremallera nylon, fabricación nacional, Unisex. Diseño según manual de imagen institucional aprobada por la oficina de comunicaciones para la implementación de la estrategia. </t>
  </si>
  <si>
    <t xml:space="preserve">TODO EN DEPORTES - DEPORTIVA SAS 
NIT: 830013803-5
</t>
  </si>
  <si>
    <t>CEDEINCO ADMINISTRACIÓN E INVERSIONES COMERCIALES SA
NIT: 890304297-5</t>
  </si>
  <si>
    <t>Volantes</t>
  </si>
  <si>
    <t>Alquiler inmueble</t>
  </si>
  <si>
    <t>Inmueble de con fácil acceso peatonal y de transporte público los cuales deberán contener como mínimo:
1. Área mínima 80 metros cuadrados, con áreas independientes de uso exclusivo para la prestación de servicio del componente de asesoría.                           
2. Espacios cerrados que permitan la privacidad del proceso, una vez aprobado el inmueble por el CTS el mismo deberá ser dotado con los siguientes elementos los cuales se incluyen en el valor del canon de arrendamiento
• Tres (3) Sillas de escritorio ejecutiva con ruedas .
• Doce (12) sillas auxiliares de oficina con espaldar Tubería ovalada en Acero Calibre 18 con pintura electrostática, Altura hasta el asiento: 50 cm. Altura total: 83 cm
• Tres (3) escritorios de oficina con archivador
• Una (1) impresora multifuncional
• Tres (3) Computadores de escritorio con procesador RYZEN 5 o Core i5 y licencia de office.
• Una (1) silla o mueble de sala de espera con capacidad mínima de tres personas
• Un (1) baño con sanitario y lavamanos una vez aprobado el inmueble por el CTS el mismo deberá ser dotado con: (toalla para manos desechables, jabón para manos papel higiénico, papelera).
• Una (1) recepción y sala de espera, cuya ambientación visual y auditiva propicie un ambiente tranquilo y agradable a los participantes.
• Un Estar de café y agua permanente, con insumos para toda la duración del componente
• Incluye pago de servicios públicos    agua luz gas y domiciliario
El estado del inmueble debe permanecer durante la ejecución del proyecto en óptimas condiciones de higiene, aseo y presentación, libre de humedad y goteras, con adecuada ventilación e iluminación y disponer de los servicios públicos domiciliarios de manera permanente, manteniendo además los protocolos y condiciones de bioseguridad vigentes o que apliquen al momento de ejecutar el componente.
Nota: Es importante que los espacios designados para desarrollar el componente se encuentren dentro de la localidad de Ciudad Bolívar y estén ubicados en lugares de fácil acceso para personas con discapacidad, los cuales deben cumplir con la normatividad vigente de acuerdo con las actividades a desarrollar y con las normas de accesibilidad pertinentes.</t>
  </si>
  <si>
    <t>Actividad 5:  Taller de meditación y fortalecimiento de la autoestima</t>
  </si>
  <si>
    <t>Subtotal Taller de meditación y fortalecimiento de la autoestima</t>
  </si>
  <si>
    <t>Porción de frutas</t>
  </si>
  <si>
    <t>Subtotal Escuela de Formación Voces Libres</t>
  </si>
  <si>
    <t>Subtotal Entornos protectores y territorios seguros, inclusivos y diversos</t>
  </si>
  <si>
    <t>Subtotal Cuidándome - Cuidándonos</t>
  </si>
  <si>
    <t>Bolsa materiales</t>
  </si>
  <si>
    <t>Subtotal Conociendo mis derechos me protejo</t>
  </si>
  <si>
    <t>Subtotal Entre Pares</t>
  </si>
  <si>
    <t>Orientación y Asesoria Familiar</t>
  </si>
  <si>
    <t>Subtotal Orientación y Asesoría Familiar</t>
  </si>
  <si>
    <t>Bolsa de materiales</t>
  </si>
  <si>
    <t>Subtotal Segunda Feria de Familias Acacianas - Propuesta presupuestos participativos 43962</t>
  </si>
  <si>
    <t xml:space="preserve">Tallerista </t>
  </si>
  <si>
    <t>Hidratación tipo 2</t>
  </si>
  <si>
    <t>Curso de Defensa personal</t>
  </si>
  <si>
    <t xml:space="preserve">Paca de agua </t>
  </si>
  <si>
    <t>Paca de agua</t>
  </si>
  <si>
    <t>Subtotal Semana de la Juventud</t>
  </si>
  <si>
    <t>Subtotal Semana del buen trato</t>
  </si>
  <si>
    <t xml:space="preserve">Escenario Tipo Coliseo </t>
  </si>
  <si>
    <t>Profesional seguimiento</t>
  </si>
  <si>
    <r>
      <t xml:space="preserve">Asistente territorial 1 
</t>
    </r>
    <r>
      <rPr>
        <sz val="10"/>
        <color theme="1"/>
        <rFont val="Garamond"/>
        <family val="1"/>
      </rPr>
      <t>Se requiere para este perfil que sea mujer, preferiblemente que resida en la localidad.</t>
    </r>
  </si>
  <si>
    <r>
      <t xml:space="preserve">Asistente territorial 2 
</t>
    </r>
    <r>
      <rPr>
        <sz val="10"/>
        <color theme="1"/>
        <rFont val="Garamond"/>
        <family val="1"/>
      </rPr>
      <t>Se requiere para este perfil que sea mujer, preferiblemente que resida en la localidad.</t>
    </r>
  </si>
  <si>
    <r>
      <t xml:space="preserve">Tarjeta y/o recarga de tarjeta tu llave o transmipass, para de mitigar la deserción.  
Se realizará tres recargas de $100.000. La primera recarga se realizará a las/los participantes que completen el 30% del proceso de formación, la segunda recarga se realizará a las/los participantes que completen el 60% proceso de formación y la tercera y última recarga a cada participante que culmine el proceso de formación y cumpla con los requisitos académicos requeridos.
</t>
    </r>
    <r>
      <rPr>
        <b/>
        <sz val="10"/>
        <color theme="1"/>
        <rFont val="Garamond"/>
        <family val="1"/>
      </rPr>
      <t xml:space="preserve">Ítem no ofertable.
</t>
    </r>
  </si>
  <si>
    <r>
      <t xml:space="preserve">Bono Primer Puesto: Bono canjeable o redimible $ 3.000.000  tres millones de pesos. </t>
    </r>
    <r>
      <rPr>
        <b/>
        <sz val="10"/>
        <color theme="1"/>
        <rFont val="Garamond"/>
        <family val="1"/>
      </rPr>
      <t>Item no ofertable</t>
    </r>
  </si>
  <si>
    <r>
      <t xml:space="preserve">Bono Segundo Puesto: Bono canjeable o redimible de un valor de $ 2.000.000  dos millones de pesos. </t>
    </r>
    <r>
      <rPr>
        <b/>
        <sz val="10"/>
        <color theme="1"/>
        <rFont val="Garamond"/>
        <family val="1"/>
      </rPr>
      <t xml:space="preserve"> Item no ofertable</t>
    </r>
  </si>
  <si>
    <r>
      <t>Bono Segundo Puesto: Bono canjeable o redimible de un valor de $ 1.500.000  millón quinientos mil pesos. 
It</t>
    </r>
    <r>
      <rPr>
        <b/>
        <sz val="10"/>
        <color theme="1"/>
        <rFont val="Garamond"/>
        <family val="1"/>
      </rPr>
      <t>em no ofertable</t>
    </r>
  </si>
  <si>
    <r>
      <t xml:space="preserve">Bono Tercer Puesto: Bono canjeable o redimible de un valor de $ 1.000.000  un millón de pesos.  </t>
    </r>
    <r>
      <rPr>
        <b/>
        <sz val="10"/>
        <color theme="1"/>
        <rFont val="Garamond"/>
        <family val="1"/>
      </rPr>
      <t>Item no ofertable</t>
    </r>
  </si>
  <si>
    <r>
      <t xml:space="preserve">Bono Tercer Puesto: Bono canjeable o redimible de un valor de $ 800.000  ochocientos mil pesos.  </t>
    </r>
    <r>
      <rPr>
        <b/>
        <sz val="10"/>
        <color theme="1"/>
        <rFont val="Garamond"/>
        <family val="1"/>
      </rPr>
      <t>Item no ofertable</t>
    </r>
  </si>
  <si>
    <r>
      <t xml:space="preserve">Asistente territorial 1
</t>
    </r>
    <r>
      <rPr>
        <sz val="10"/>
        <color rgb="FF000000"/>
        <rFont val="Garamond"/>
        <family val="1"/>
      </rPr>
      <t>Preferiblemente que resida en la localidad.</t>
    </r>
  </si>
  <si>
    <r>
      <t xml:space="preserve">Asistente territorial 2 
</t>
    </r>
    <r>
      <rPr>
        <sz val="10"/>
        <color theme="1"/>
        <rFont val="Garamond"/>
        <family val="1"/>
      </rPr>
      <t>Preferiblemente que resida en la localidad.</t>
    </r>
  </si>
  <si>
    <r>
      <t xml:space="preserve">Asistente territorial 1 
</t>
    </r>
    <r>
      <rPr>
        <sz val="10"/>
        <color theme="1"/>
        <rFont val="Garamond"/>
        <family val="1"/>
      </rPr>
      <t>Preferiblemente que resida en la localidad.</t>
    </r>
  </si>
  <si>
    <r>
      <t xml:space="preserve">Tarjeta y/o recarga de tarjeta tu llave o transmipass, para de mitigar la deserción.  
Se realizará tres recargas de $100.000. La primera recarga se realizará a las/los participantes que completen el 30% del proceso de formación, la segunda recarga se realizará a las/los participantes que completen el 60% proceso de formación y la tercera y última recarga a cada participante que culmine el proceso de formación y cumpla con los requisitos académicos requeridos.
</t>
    </r>
    <r>
      <rPr>
        <b/>
        <sz val="10"/>
        <color theme="1"/>
        <rFont val="Garamond"/>
        <family val="1"/>
      </rPr>
      <t>Ítem no ofertable..</t>
    </r>
  </si>
  <si>
    <r>
      <t xml:space="preserve">Espacio adecuado con dotación de sillas, baños, mesas, video beam, computador, sonido y elementos necesarios para el desarrollo de eventos de hasta 30 personas. Con disponibilidad de espacio exterior para el desarrollo de las actividades al aire libre.
Un sitio en un punto estratégico de la localidad, agradable, seguro y libre de interrupciones.
</t>
    </r>
    <r>
      <rPr>
        <b/>
        <sz val="10"/>
        <color theme="1"/>
        <rFont val="Garamond"/>
        <family val="1"/>
      </rPr>
      <t>Sesiones 2 horas</t>
    </r>
  </si>
  <si>
    <t>Caneca de Vinilo</t>
  </si>
  <si>
    <t xml:space="preserve">Vallas de contención </t>
  </si>
  <si>
    <t>Bolsa Impresos</t>
  </si>
  <si>
    <t xml:space="preserve">Afiches </t>
  </si>
  <si>
    <t>Actividad 6:  Formación en cuidado estético de manos y pies con enfoque de género</t>
  </si>
  <si>
    <t>Subtotal  Formación en cuidado estético de manos y pies con enfoque de género</t>
  </si>
  <si>
    <t>Volante de 1/2 carta cote 90g, 4x4, con acabado relife, con logos institucionales</t>
  </si>
  <si>
    <t>VALOR UNITARIO IVA INCLUIDO + IPC 2024</t>
  </si>
  <si>
    <t>VALOR UNITARIO
 IVA INCLUIDO + IPC 2024</t>
  </si>
  <si>
    <t xml:space="preserve">
VALOR UNITARIO IVA INCLUIDO + IPC 2024</t>
  </si>
  <si>
    <t xml:space="preserve">Para el desarrollo de las acciones de divulgación, promoción y/o convocatoria del proyecto y sus actividades, el contratista deberá presentar durante el primer mes de ejecución del contrato una propuesta de Plan de Medios. Para el desarrollo de este plan de medios se le asignará un rubro tipo bolsa de forma global. </t>
  </si>
  <si>
    <t>ACTIVIDAD 5. Taller Artístico de Prevención.</t>
  </si>
  <si>
    <t>Plan de Contingencia Tipo 1</t>
  </si>
  <si>
    <t>Espacio adecuado con dotación de sillas, baños, mesas, video beam, computador, sonido y elementos necesarios para el desarrollo de eventos de hasta 100 personas. Con disponibilidad de espacio exterior para el desarrollo de las actividades al aire libre.</t>
  </si>
  <si>
    <t>VALOR NO OFERTABLE E INMODIFICABLE, EL VALOR TECHO ESTABLECIDO POR LA ENTIDAD COMPRENDE IMPUESTOS TASAS Y TREBUCIONES A QUE HAYA LUGAR, ASI COMO UN PORCENTAJE DE ADMINISTRACION POR PARTE DEL OPERADOR.</t>
  </si>
  <si>
    <t>TEMPO FOOD SAS
NIT: 901825930-4</t>
  </si>
  <si>
    <t xml:space="preserve">SE TOMA EL PROMEDIO COMO MEDIDA DE TENDENCIA CENTRAL PARA EL CALCULO. </t>
  </si>
  <si>
    <t xml:space="preserve">VILLAMIL COMUNICACIÓN VISUAL  
NIT: 900688310-6
</t>
  </si>
  <si>
    <t>Servicio de cafetería (tinto, aromática y agua): Operario + presentación mesa + vasos biodegradable bebida caliente  4 oz. + mezclador + azúcar + crema para café), (bebida fria vaso material biodegradable de 10 onzas). Duración del evento aprox. 5 horas. Transporte incluido.</t>
  </si>
  <si>
    <t>Estación de café y/o Hidratación (100 personas)</t>
  </si>
  <si>
    <t>RECURSO TRANSVERSAL</t>
  </si>
  <si>
    <t>SUBTOTAL RECURSO TRANSVERSAL</t>
  </si>
  <si>
    <t>LUZ NANCY ESCUELA DE BELLEZA 
  NIT. 21189618-1</t>
  </si>
  <si>
    <t xml:space="preserve">SE TOMA EL PROMEDIO COMO MEDIDA DE TENDENCIA CENTRAL PARA EL CALULO. </t>
  </si>
  <si>
    <t>SE TOMA PROMEDIO COMO MEDIDA DE TENDENCIA CENTRAL PARA EL CALCULO.</t>
  </si>
  <si>
    <t xml:space="preserve">SE TOMA  EL PROMEDIO COMO MEDIDA DE TENDENCIA CENTRAL. VALORES TOMADOS DE LA CANASTA DE COSTOS II SEMESTRE 2025. </t>
  </si>
  <si>
    <t>SE TOMA LA MEDIANA COMO MEDIDA DE TENDENCIA CENTAL PARA EL CALCULO. VALORES TOMADOS DE LA CANASTA DE COSTOS II SEMESTRE 2025</t>
  </si>
  <si>
    <t xml:space="preserve">ACADEMIA ESCUELA DE BELLEZA ELITE                                                      </t>
  </si>
  <si>
    <t xml:space="preserve">SE TOMA VALOR DE  RESOLUCION No 1124 DICIEMBRE 2024 SECRETARIA DISTRITAL DE GOBIERNO, TABLA DE HONORARIOS PERSONAS NATURALES POR PRESTACION DE SERVICIOS PROFESIONALES Y DE APOYO A LA GESTION </t>
  </si>
  <si>
    <r>
      <t xml:space="preserve">Para el desarrollo de las acciones de divulgación, promoción y/o convocatoria del proyecto y sus actividades, el contratista deberá presentar durante el primer mes de ejecución del contrato una propuesta de Plan de Medios. Para el desarrollo de este plan de medios se le asignará un rubro tipo bolsa de forma global. - </t>
    </r>
    <r>
      <rPr>
        <b/>
        <sz val="11"/>
        <color theme="1"/>
        <rFont val="Garamond"/>
        <family val="1"/>
      </rPr>
      <t>Verificar Anexo tecnico.</t>
    </r>
  </si>
  <si>
    <t>Bono redimible en parque de diversiones (Incluye ingreso con acceso a atracciones de acuerdo con grupo etario, alimentación: plato principal -gaseosa). . Bono por valor de $180.000 por familia.</t>
  </si>
  <si>
    <t>Servicio/Dia (24 Horas)</t>
  </si>
  <si>
    <t xml:space="preserve">Aerosol Profesional
</t>
  </si>
  <si>
    <t>De 70 a 80 páginas, Papel Propalcote de 150 para las internas.Portada y tapa Propalcote de 250 plastificado Media carta, Vertical, Full color 4x4
El contenido   de la cartilla  y su diseño  estará a cargo de la oficina de prensa de la Alcaldía Local de Ciudad Bolívar, y de la oficina de comunicaciones de la secretaria Distrital de Gobierno lo anterior en cumplimiento del Manual de Comunicaciones y Manual de Imagen Institucional. La impresión de la cartilla junto con su contenido estará a cargo del operador.</t>
  </si>
  <si>
    <t>Cartilla tipo libro</t>
  </si>
  <si>
    <t xml:space="preserve">Cuadernos
</t>
  </si>
  <si>
    <t xml:space="preserve">Papel bond 
</t>
  </si>
  <si>
    <t xml:space="preserve">Papel Kraft 
</t>
  </si>
  <si>
    <t xml:space="preserve">        MARKETASH SAS              
NIT. 901320562-9</t>
  </si>
  <si>
    <t>CREATIVOS PUBLICIDAD BOGOTA SAS   
NIT. 901251708</t>
  </si>
  <si>
    <t>Maleta impermeable con cable USB 
Tamaño 35 x 40 x 40 cm, Ancho 35 cm, Alto 40 cm, Material Nylon.</t>
  </si>
  <si>
    <t>Servicio/Dia  (24 Horas)</t>
  </si>
  <si>
    <t>Servicio / Dia  (24 Horas)</t>
  </si>
  <si>
    <t>Servicio /Día  (24 Horas)</t>
  </si>
  <si>
    <t>Servicio / Evento  (24 Horas)</t>
  </si>
  <si>
    <t>Servicio/Día  (24 Horas)</t>
  </si>
  <si>
    <t>ALMACENES ÉXITO SA
NIT: 890900608-9</t>
  </si>
  <si>
    <t>ELECTRO AUDIO 
NIT: 52803015-6</t>
  </si>
  <si>
    <t>Curso de formación integral en el cuidado y la esterica de manos y pies.</t>
  </si>
  <si>
    <t>Muñeca de juguete plástico: 4 Piezas, Plastico 100%, Medidas (Ancho x Alto X Fondo) Cms
5.5x3x28 cm, Incluye 1 muñeca y 1 figura de perro.</t>
  </si>
  <si>
    <t>Curso certificado, con una duración total de 5 meses, ofrece formación integral en el cuidado y la estética de manos y pies para un grupo de 70 mujeres. La capacitación se realizará en modalidad presencial y se dividirá en dos módulos, combinando teoría y práctica para un aprendizaje completo.
El curso incluye los siguientes materiales para cada participante: Uniforme, Kit de bioseguridad y desinfección, Guía de decoración, Protector de mesa, Guía práctica, Kit de manicura y pedicura completo para tecnicas básicas y avanzadas. 
Módulos del Curso
Módulo 1: Fundamentos y Cuidado de Uñas
Este módulo incluye Diagnóstico y morfología de manos y pies, Enfermedades y tratamientos de la uña, Técnicas de manicura y pedicura, Tratamientos estéticos de manos y pies, Bioseguridad, Diseño y decoración de uñas, Taller de color
Módulo 2: Técnicas Avanzadas y Extensiones
En este módulo, las estudiantes explorarán técnicas más especializadas para la creación de diseños duraderos y complejos.
Contenidos: Diseño y extensión de uñas, Técnicas de extensiones en gel y acrílico, Extensiones con tips, Uñas semipermanentes, Uñas esculturales.</t>
  </si>
  <si>
    <t>Carro: Volqueta de juguete acompañada de rastrillo y pala. - Dimensiones: 22 cm de alto x 30 cm de largo x 12 cm de ancho.- Peso: 0.37 kg.</t>
  </si>
  <si>
    <t>Kit juguete cocina infantil didáctico: Set 36 Accesorios Cocina Juguetes: Ideal para futuros chefs. - Fabricado en Polipropileno: Seguro y duradero. - Estimula Creatividad e Imaginación: A través del juego de roles. - Fomenta Aprendizaje Interactivo: Con frutas y verduras de juguete. - Incluye Tula con Cremallera: Para almacenamiento y portabilidad. - Dimensiones Perfectas del set: 24cm alto, 11cm largo, 13cm ancho. - Peso Ligero: Solo 0.4 kg. - Regalo Ideal: Fomenta diversión y aprendizaje.</t>
  </si>
  <si>
    <t>28 fichas extra-grandes en propalcote y laminadas a todo color de los Derechos Sexuales y Reproductivos. Tamaño: 27 x 21 c.m, 28 tarjetas con información sobre Derechos Sexuales y Reproductivos contemplados en diferentes sentencias de la Corte Constitucional en Colombia, reglamentaciones y acuerdos nacionales e internacionales. Tamaño: 7 x 10 c.m , Bolso en lona.</t>
  </si>
  <si>
    <t>Plancha de juguete: Material: Plastico ABS, Dimensión del tablero: 11 cm x 7 cm x 5 cm, Peso 129 g</t>
  </si>
  <si>
    <t xml:space="preserve">Agenda con esfero 
</t>
  </si>
  <si>
    <t xml:space="preserve">Baños portátil tipo 1 </t>
  </si>
  <si>
    <t xml:space="preserve">Bolígrafo
</t>
  </si>
  <si>
    <t xml:space="preserve">Caja de herramientas
</t>
  </si>
  <si>
    <t xml:space="preserve">Carpa 4X4 
</t>
  </si>
  <si>
    <t xml:space="preserve">Carpa 4X4  </t>
  </si>
  <si>
    <t xml:space="preserve">Cinta enmascarar </t>
  </si>
  <si>
    <t xml:space="preserve">Combo cine </t>
  </si>
  <si>
    <t xml:space="preserve">Diploma
</t>
  </si>
  <si>
    <t xml:space="preserve">Lechona
</t>
  </si>
  <si>
    <t>LECHONA ESPECIAL, una (1) porción de mínimo 300g. Debe contener carne de cerdo al 100% , arroz y arveja en cantidad mínima; se entrega desgrasada, deshuesada, carnuda, fresca, bien caliente. con arepa, platos y cubiertos biodegradables. Deben entregarse empacados  herméticamente, garantizando productos frescos y preparación del mismo día , incluye transporte de entrega.</t>
  </si>
  <si>
    <t xml:space="preserve">Maleta negra
</t>
  </si>
  <si>
    <t xml:space="preserve">Materiales de serigrafia </t>
  </si>
  <si>
    <t>Memorias USB</t>
  </si>
  <si>
    <t xml:space="preserve">Pintura
</t>
  </si>
  <si>
    <t xml:space="preserve">Porción de frutas
</t>
  </si>
  <si>
    <t xml:space="preserve">Set de pinceles </t>
  </si>
  <si>
    <t xml:space="preserve">Sillas
</t>
  </si>
  <si>
    <t xml:space="preserve">Sonido y video tipo 3
</t>
  </si>
  <si>
    <t xml:space="preserve">Tallerista  </t>
  </si>
  <si>
    <t xml:space="preserve">Tizas </t>
  </si>
  <si>
    <t xml:space="preserve">Volante
</t>
  </si>
  <si>
    <t>Intervención</t>
  </si>
  <si>
    <t>Rodillo 9" o 12"</t>
  </si>
  <si>
    <t xml:space="preserve">Rodillo 9" X 37Mm
</t>
  </si>
  <si>
    <t xml:space="preserve">Rodillo 3"
</t>
  </si>
  <si>
    <t xml:space="preserve">Brocha gruesa 1-1/2"
</t>
  </si>
  <si>
    <t xml:space="preserve">Brocha Gruesa 3"
</t>
  </si>
  <si>
    <t>Tarima 7.20 mts x 9.60 mts</t>
  </si>
  <si>
    <t>Carpa tipo hangar 12mts X6 mts</t>
  </si>
  <si>
    <t>Bono redimible $600.000
Practica de divulgación e información</t>
  </si>
  <si>
    <t>Brochas gruesa 3"</t>
  </si>
  <si>
    <t>Brochas guesa 1 1/2"</t>
  </si>
  <si>
    <t xml:space="preserve">Tarima 7.20 mts x 9.60 mts
</t>
  </si>
  <si>
    <t xml:space="preserve">
Presentación de los 3 grupos seleccionados en la actividad noche sin miedo. Cuatro presentaciones por cada grupo. Los grupos conformados por 3 personas recibirán un reconocimiento económico por valor de $2.500.000</t>
  </si>
  <si>
    <t>AGENDAS Y PUBLICIDAD   
NIT. 800219123.</t>
  </si>
  <si>
    <t xml:space="preserve">Coordinador(a) general del proyecto 
</t>
  </si>
  <si>
    <t xml:space="preserve">Profesional de apoyo componente
</t>
  </si>
  <si>
    <t>Jueces: juzgamiento en vía de competencia: Jueces de competencias, técnico o tecnólogo en cualquier núcleo basico del conocimiento, con experiencia en eventos recreo deportivos de un (1) año, En procesos de evaluación, valora la estética y creatividad, el contenido simbólico, el mensaje social y la representación equitativa de género en cada presentación.</t>
  </si>
  <si>
    <t>ESTE ITEM COMPRENDE LA BOLSA DE PLAN DE MEDIOS, ES UN VALOR INMODIFICABLE E INOFERTABLE, ESTE VALOR CORRESPONDE AL 1,01043840194116% DEL VALOR  DEL PRESUPUESTO OFICIAL DEL COMPONENTE ($2.818.920.000) ESTE VALOR COMPRENDE TODOS LOS GASTOS DIRECTOS E INDIRECTOS, TALES COMO LA ADMINISTRACION DEL RECURSO, IMPUESSTOS, TASAS Y RETRIBUCIONES A QUE HAYA LUGAR Y PUEDAN LLEGAR A GENERARSE DE ACUERDO A LA NORMATIVIDAD FISCAL VIGENTE.</t>
  </si>
  <si>
    <t>ESTE ITEM COMPRENDE LA BOLSA DE PLAN DE MEDIOS, ES UN VALOR INMODIFICABLE E INOFERTABLE, ESTE VALOR CORRESPONDE AL 0,964959737040629% DEL VALOR  DEL PRESUPUESTO OFICIAL DEL COMPONENTE ($2.818.920.000) ESTE VALOR COMPRENDE TODOS LOS GASTOS DIRECTOS E INDIRECTOS, TALES COMO LA ADMINISTRACION DEL RECURSO, IMPUESSTOS, TASAS Y RETRIBUCIONES A QUE HAYA LUGAR Y PUEDAN LLEGAR A GENERARSE DE ACUERDO A LA NORMATIVIDAD FISCAL VIGENTE.</t>
  </si>
  <si>
    <t>Para este ítem se deja un rubro de $18.760.000  los cuales contemplan  impuestos, tasas y retribuciones a que haya lugar, asi como la administración y/o utilidad del recurso. Con este rubro se debe cubrir el alquiler de los espacios, donde se deben desarrollar las sesiones de 2 horas o más horas para cada uno de los 6 grupos conformados por los participantes. Este rubro debe cubrir las sesiones de principio a fin, durante los tres meses y/o tiempo requerido para el desarrollo del diplomado.  deben ubicarse dentro de la Localidad Ciudad Bolívar acorde con la caracterización, prioridades, necesidades, intereses y demanda de la comunidad. El lugar físico debe tener capacidad para grupos de 25 personas, con sillas mesas y baños aptos para el uso de los participantes, para desarrollar las formaciones requeridas.
Ver anexo tecnico, Pagina 17 ("Requisitos logisticos) y Nota N. 1.</t>
  </si>
  <si>
    <r>
      <t xml:space="preserve">Para este ítem se deja un rubro de $ 16.080.000 los cuales contemplan  impuestos, tasas y retribuciones a que haya lugar, asi como la administración y/o utilidad del recurso. Con este rubro se debe cubrir el alquiler de los espacios, donde se deben desarrollar las sesiones de 2 horas o más horas para cada uno de los 5 grupos conformados por los participantes. Este rubro debe cubrir las sesiones de principio a fin, durante los tres meses y/o tiempo requerido para el desarrollo del diplomado.  deben ubicarse dentro de la Localidad Ciudad Bolívar acorde con la caracterización, prioridades, necesidades, intereses y demanda de la comunidad. El lugar físico debe tener capacidad para grupos de 20 personas, con sillas mesas y baños aptos para el uso de los participantes, para desarrollar las formaciones requeridas. 
Ver anexo tecnico, Pagina 22 ("Requisitos logisticos) y Nota N. 1.
</t>
    </r>
    <r>
      <rPr>
        <b/>
        <sz val="10"/>
        <color theme="1"/>
        <rFont val="Garamond"/>
        <family val="1"/>
      </rPr>
      <t>Item no ofertable</t>
    </r>
  </si>
  <si>
    <r>
      <t xml:space="preserve">Para este ítem se deja un rubro de $ 18.760.000 los cuales contemplan  impuestos, tasas y retribuciones a que haya lugar, asi como la administración y/o utilidad del recurso. Con este rubro se debe cubrir el alquiler de los espacios, donde se deben desarrollar los seminarios de 6 horas, dos (2) días consecutivos de tres (3) horas por día, para cada uno de los 15 seminarios. Este rubro debe cubrir las sesiones de principio a fin, durante los el mes y/o tiempo requerido para el desarrollo de los seminarios.  deben ubicarse dentro de la Localidad Ciudad Bolívar acorde con la caracterización, prioridades, necesidades, intereses y demanda de la comunidad. El lugar físico debe tener capacidad para grupos de 30 personas, con sillas mesas y baños aptos para el uso de los participantes, para desarrollar las formaciones requeridas
Ver anexo tecnico, Pagina 27 ("Requisitos logisticos) y Nota N. 1 Pag. 29
</t>
    </r>
    <r>
      <rPr>
        <b/>
        <sz val="10"/>
        <color theme="1"/>
        <rFont val="Garamond"/>
        <family val="1"/>
      </rPr>
      <t>Item no ofertable</t>
    </r>
  </si>
  <si>
    <t>Para este ítem se deja un rubro de $ 6.700.000 los cuales contemplan  impuestos, tasas y retribuciones a que haya lugar, asi como la administración y/o utilidad del recurso. Con este rubro se debe cubrir el alquiler de los espacios, donde se deben desarrollar las sesiones de 2 horas o más horas para el grupo conformados por los participantes. Este rubro debe cubrir las sesiones de principio a fin, durante los tres meses y/o tiempo requerido para el desarrollo del diplomado.  deben ubicarse dentro de la Localidad Ciudad Bolívar acorde con la caracterización, prioridades, necesidades, intereses y demanda de la comunidad. El lugar físico debe tener capacidad para grupos de 25 personas, con sillas mesas y baños aptos para el uso de los participantes, para desarrollar las formaciones requeridas.
Ver anexo tecnico, Pagina 14 ("Requisitos logisticos) y Nota N. 15.</t>
  </si>
  <si>
    <t>TRENDY
NIT.  901374981-3</t>
  </si>
  <si>
    <t xml:space="preserve">EXHIBOLSAS LAS PAISITAS
</t>
  </si>
  <si>
    <t>CON LOS CRESPOS HECHOS</t>
  </si>
  <si>
    <t>AIPE PAPELERRA 
NIT.  813010383</t>
  </si>
  <si>
    <t xml:space="preserve">BISUTERIA FINA 
NIT. 900986368 </t>
  </si>
  <si>
    <t xml:space="preserve">FANTY ADORNOS
NIT. 52.105.664
</t>
  </si>
  <si>
    <t>EL REY DE LOS ADORNOS SAS 
NIT. 8000810428</t>
  </si>
  <si>
    <t>EL RINCON DEL TIPLE
NIT. 1020802759-7</t>
  </si>
  <si>
    <t>MAJA BELLEZA
NIT. 901777696</t>
  </si>
  <si>
    <t>DISTRIBUIRDORA LUZA</t>
  </si>
  <si>
    <t>LA MINA 
NIT. 901.649.369-7</t>
  </si>
  <si>
    <t>SANTORINE BISUTERIA 
NIT. 9016680251</t>
  </si>
  <si>
    <t>Tempo Foods SAS
:901825930-4</t>
  </si>
  <si>
    <t>TONO MUSIC 
NIT. NIT, 80110102-6</t>
  </si>
  <si>
    <t>INNGO MARKETING CULTURAL 
NIT. 900.893.185-1</t>
  </si>
  <si>
    <t xml:space="preserve">DISTRIBUIDORA Y COSMETICOS MONELIZZ
NIT. </t>
  </si>
  <si>
    <t xml:space="preserve">ALMACEN LOS MONOS </t>
  </si>
  <si>
    <t xml:space="preserve">VIOLETA MAKEUD
</t>
  </si>
  <si>
    <t>TIENDA DE MUSICA
Nit: 890.916.911</t>
  </si>
  <si>
    <t>MUSICALES BONILLA 
NIT 901860844</t>
  </si>
  <si>
    <t>ALL MUSIC
NIT: 901779308</t>
  </si>
  <si>
    <t xml:space="preserve">CABEZA DE MARTILLO
NIT.  900.356.527-2 </t>
  </si>
  <si>
    <t>EL EMPERADOR
NIT. 901114393</t>
  </si>
  <si>
    <t>MUEBLES Y ARTESANIAS CRISTIAN 
NIT. 87.710.847-4</t>
  </si>
  <si>
    <t>ARTESANIAS ACOSTA DORA
NIT. 20.271.810</t>
  </si>
  <si>
    <t xml:space="preserve">TIPICOS SAN MIGUEL
</t>
  </si>
  <si>
    <t xml:space="preserve">ARTESANIAS NACIR
</t>
  </si>
  <si>
    <t xml:space="preserve">SUMINISTROS Y PAPELERIA INKJET
</t>
  </si>
  <si>
    <t xml:space="preserve">EXHIBOLSAS LAS PAISITAS
NIT.  </t>
  </si>
  <si>
    <t xml:space="preserve">TEO TIN 
</t>
  </si>
  <si>
    <t xml:space="preserve">FANTANOVIOS Y COSMETICOS EL OSKAR 
</t>
  </si>
  <si>
    <t>ARTESANIAS EL INDIO 
NIT. 19.194.442-3</t>
  </si>
  <si>
    <t>AVIA MAKE UP 
NIT. 901381815</t>
  </si>
  <si>
    <t>BLUE MARINE 
NIT. 901738198</t>
  </si>
  <si>
    <t>COSMETICOS MAYA
NIT.</t>
  </si>
  <si>
    <t>SUBLIMACION GRAFICA S.A.S.
NIT. 900.692.649‑2</t>
  </si>
  <si>
    <t xml:space="preserve">ZOLUSHKA BALLET S.A.S.
NIT. 901524375‑4 </t>
  </si>
  <si>
    <t>ALL WE AR
NIT. 901491512-3</t>
  </si>
  <si>
    <t>ARABESQUE
NIT. 90112026-8</t>
  </si>
  <si>
    <t xml:space="preserve"> T‑Shirt Lab S.A.S.
NIT. 830.016.029‑4</t>
  </si>
  <si>
    <t>CONNITED S PELUCAS DE COLOMBIA S.A.S.
NIT.  900772118-7</t>
  </si>
  <si>
    <t>DISTRIBUIDORA NACIONAL DE SOMBREROS S.A.S.
NIT.  890918413‑9</t>
  </si>
  <si>
    <t>HAIR EXTENSIONES S.A.S.
NIT. 901845070-0</t>
  </si>
  <si>
    <t>SCARPE BALLET S.A.S. 
NIT. 901650294-5</t>
  </si>
  <si>
    <t>SOMBREROS DLUNA S.A.S
NIT. 901932251.</t>
  </si>
  <si>
    <t xml:space="preserve">EXITO
NIT. 890900608-9. </t>
  </si>
  <si>
    <t>DISTRIBUIDORA NACIONAL GROUP S.A.S.
NIT 901.708.000-9</t>
  </si>
  <si>
    <t xml:space="preserve">COMPAÑÍA PAPELERA NACIONAL S.A.S.
NIT: 900.009.495 - 8 </t>
  </si>
  <si>
    <t>TELEMARKETER BPO &amp; LOGISTICS SAS
NIT. 901012708 - 6</t>
  </si>
  <si>
    <t xml:space="preserve">CONFECCIONES PAULINA MALU
</t>
  </si>
  <si>
    <t>CONFECCIONES COLOMBIANAS DE TEXTILES S.A.S.
NIT. 901155035-1</t>
  </si>
  <si>
    <t>FUNDACION CEDHI 
NIT.  900.032.841 - 1</t>
  </si>
  <si>
    <t xml:space="preserve">OFFIGRAND MAYORISTA SAS
NIT: 901642603-4
</t>
  </si>
  <si>
    <t>TODO EN DEPORTES 1
NIT: 830013803-5</t>
  </si>
  <si>
    <t>CLUB DEPORTIVO EAGLES SKATE DEL MUNICIPIO DE MOSQUERA
NIT.  901.773.493</t>
  </si>
  <si>
    <t>HOMECENTER
NIT. 800.242.106-2</t>
  </si>
  <si>
    <t xml:space="preserve">DOTACIONES Y SUMINISTROS LA 17 SAS
NIT.  9004641907 
</t>
  </si>
  <si>
    <t>PROTEGERNOS SEGURIDAD INDUSTRIAL
NIT. 9005888907</t>
  </si>
  <si>
    <t>ADORNOS Y ENCAJES EL UNIVERSO
NIT 9012297254​​</t>
  </si>
  <si>
    <t>LA NOVEDAD DE LOS ADORNOS SAS 
NIT 9012298933</t>
  </si>
  <si>
    <t>DEPOSITO FONTIBON A&amp;V SAS
NIT: 900531144.</t>
  </si>
  <si>
    <t>PINTURAS EL MUNDIAL DEL COLOR 
NIT. 79.845.412-5</t>
  </si>
  <si>
    <t>TODO PINTURAS SANM 
NIT. 8110453713​​</t>
  </si>
  <si>
    <t>DEPOSITO FONTIVON A&amp;V SAS</t>
  </si>
  <si>
    <t>LOS TRES ELEFANTES
Nit 86003047-8</t>
  </si>
  <si>
    <t xml:space="preserve">CIRCOROTOS
</t>
  </si>
  <si>
    <t>SANDRA CAMPOS COLLECTION
NIT. 900969283</t>
  </si>
  <si>
    <t>TONSON S.A.S
NIT. 9011658990.</t>
  </si>
  <si>
    <t>MICHE PRODUCCIONES LTDA
NIT 8020106517</t>
  </si>
  <si>
    <t>TELEMARKETER BPO &amp; LOGISTICS SAS
NIT: 901012708 - 6</t>
  </si>
  <si>
    <t>FUNDACION IWOKE
NT: 900.094963-5</t>
  </si>
  <si>
    <t>GRUPO EMPRESARIAL DYG
NIT. 901.798.970-2</t>
  </si>
  <si>
    <t>SERVICIOS INTEGRALES J&amp;M SAS
NIT. 901.124.263-1</t>
  </si>
  <si>
    <t xml:space="preserve">RESULTADO  DEL ANALISIS </t>
  </si>
  <si>
    <t>CANTIDAD</t>
  </si>
  <si>
    <t>VALOR UNITARIO INCLUIDO IVA</t>
  </si>
  <si>
    <t>VALOR TOTAL  INCLUIDO IVA</t>
  </si>
  <si>
    <t>VALOR UNITARIO IVA INCLUIDO</t>
  </si>
  <si>
    <t>VALOR TOTAL IVA INCLUIDO + IPC 5,2%</t>
  </si>
  <si>
    <t>VALOR TOTAL INCLUIDO IVA</t>
  </si>
  <si>
    <t>MEDIANA (Unitario)</t>
  </si>
  <si>
    <t>PROMEDIO (Unitario)</t>
  </si>
  <si>
    <t>DESVIACIÓN ESTÁNDAR (Unitario)</t>
  </si>
  <si>
    <t>DISPERCIÓN PRECIOS (Promedio)</t>
  </si>
  <si>
    <t>VALOR UNITARIO  (IVA INCLUIDO)</t>
  </si>
  <si>
    <t xml:space="preserve">OBSERVACIONES </t>
  </si>
  <si>
    <t>Kit de maquillaje fashion – Profesional artístico</t>
  </si>
  <si>
    <t>Paleta Combinada Teca X 12 - Base Oleosa Individual 12 Grs - Polvo Facial Hd 10 Gr - Pinceles X 9 Uds - Pinzas Depiladoras maletín Personal, Delineador de ojos 2 Grs. Paleta de sombras mate y nacarada - 3 Gr Brocha para bases Hb-20 - Diluyente Ptos Oleosos X 30. Puesto en el sitio de entreda.</t>
  </si>
  <si>
    <t>unidad</t>
  </si>
  <si>
    <t xml:space="preserve">SE TOMA EL PROMEDIO COMO MEDIDA DE TENDENCIA CENTRAL </t>
  </si>
  <si>
    <t xml:space="preserve"> Diabolo</t>
  </si>
  <si>
    <t>Diabolo grande pro+, baquetas fibra de vidrio.  Puesto en el sitio de entreda.</t>
  </si>
  <si>
    <t>Platos chinos</t>
  </si>
  <si>
    <t>Compuesto de PAD (Polietileno de alta densidad), peso 110 gramos, mide 240 mm, Incluye baqueta de madera, colores variados.  Puesto en el sitio de entreda.</t>
  </si>
  <si>
    <t>ula-ula</t>
  </si>
  <si>
    <t>Pieza o objeto en forma de circunferencia, los aros de ula-ula pueden estar hechos de diversos materiales, como plástico, bambú.  Puesto en el sitio de entreda.</t>
  </si>
  <si>
    <t>Cajas de Malabarismo (TRIO) 13cm x 18cm</t>
  </si>
  <si>
    <t xml:space="preserve">Cigar Box: cajas de malabarismo. de 13 X 18 cm
Compuesta de madera terciada de placa natural fibra larga
Peso de las cajas entre 200 a 220 gramos
 Puesto en el sitio de entreda.
</t>
  </si>
  <si>
    <t>Clava Pánico Bicolor</t>
  </si>
  <si>
    <t>Clavas Modelo: Pánico Bicolor Mango: Liso
Compuesta por botella y mango de PAD, alma de plástico reforzada de PAD, tope y regatón caucho termoplástico.
Mango: Liso
Largo: 52 cm
Peso: 220 grs
 Puesto en el sitio de entreda.</t>
  </si>
  <si>
    <t xml:space="preserve">SE TOMA LA MEDIANA COMO MEDIDA DE TENDENCIA CENTRAL </t>
  </si>
  <si>
    <t>Pelota de Rebote 65mm G-Force Play</t>
  </si>
  <si>
    <t>Pelota de Rebote Modelo: G-Force 65mm
Pelota de goma para rebotar
Rebote del 90%
Peso: 155 gr
Diametro: 65mm
 Puesto en el sitio de entreda.</t>
  </si>
  <si>
    <t>Pelota Mr. Babache Stage 72mm</t>
  </si>
  <si>
    <t>72mmPeso: 110gr Colores disponibles: Rojo, Púrpura, Amarillo, Blanco, Rosa, Azul, Naranjo, Verde.  Puesto en el sitio de entreda.</t>
  </si>
  <si>
    <t>Pelota Burbuja 63mm Color</t>
  </si>
  <si>
    <t>Pelota de PVC rellena con semillas mijo63 mm (110 grs) Textura lisa o piel de durazno Colores blanco, amarillo flúor, azul, magenta, naranja, negro, verde, rojo, amarillo primario, morado, verde menta, azul crema.  Puesto en el sitio de entreda.</t>
  </si>
  <si>
    <t>Bandera Ajedrez</t>
  </si>
  <si>
    <t>Bandera tela con Diseños Ajedrez. Medidas 56cm x68 cm.   Destorcedor de rodamientos. Tirador de perilla para poi.  Puesto en el sitio de entreda.</t>
  </si>
  <si>
    <t>Aro Mr. Babache 24 cm C/U</t>
  </si>
  <si>
    <t>Argolla diámetro: 24cm Colores Disponibles.  Puesto en el sitio de entreda.</t>
  </si>
  <si>
    <t>Sombrero Volador</t>
  </si>
  <si>
    <t>Sombrero Modelo: Volador Sombrero de lanzamiento para malabarear. Puesto en el sitio de entreda.</t>
  </si>
  <si>
    <t>Hula hula plegable Cabeza de Martillo 90 cm</t>
  </si>
  <si>
    <t>Hula Hula Clip Martillo. Clip Polietileno. Ideal para transportarlo. Varios diámetros y colores disponibles. Clip puede ser metálico o plástico.  Puesto en el sitio de entreda.</t>
  </si>
  <si>
    <t xml:space="preserve">lápiz </t>
  </si>
  <si>
    <t>Lápices de escritura mina negra, Madera reforestada o resina sintética.  Borrador no tóxico. Color negro dureza HB o No 2- Longitud 17.8 - 19.7 cms y diámetro de mínimo  7,2mm Forma redonda, triangular o hexagonal, Borrador asegurado en casquillo de metal o plástico sin bordes afilados ni cortantes, caja x 12 unidades.  Puesto en el sitio de entreda.</t>
  </si>
  <si>
    <t xml:space="preserve">Caja </t>
  </si>
  <si>
    <t>Borrador</t>
  </si>
  <si>
    <t>Borrador Miga de Pan, caja X 12.  Puesto en el sitio de entreda.</t>
  </si>
  <si>
    <t>Tajalápiz</t>
  </si>
  <si>
    <t>Tajalápiz con deposito.  Puesto en el sitio de entreda.</t>
  </si>
  <si>
    <t xml:space="preserve">Cuaderno </t>
  </si>
  <si>
    <t>Cuaderno de notas cuadriculado de 100 hojas, X caja de 12 und.  Puesto en el sitio de entreda.</t>
  </si>
  <si>
    <t>Resmas</t>
  </si>
  <si>
    <t>Resmas de papel media carta 72GR natural X 500 Hojas</t>
  </si>
  <si>
    <t>Bases blancas</t>
  </si>
  <si>
    <t>Base cremosa blanca para maquillaje artístico.  Puesto en el sitio de entreda.</t>
  </si>
  <si>
    <t xml:space="preserve"> paletas combinadas</t>
  </si>
  <si>
    <t>Paletas de maquillaje combinadas 24 colores en crema.  Puesto en el sitio de entreda.</t>
  </si>
  <si>
    <t>Pinceles</t>
  </si>
  <si>
    <t>Set de pinceles de cerda suave set de 6.  Puesto en el sitio de entreda.</t>
  </si>
  <si>
    <t>Sed de pinceles para acuarela X 12 pelo de Martha, • Pinceles redondos (para detalles y aplicaciones generales), • Pinceles planos (para áreas grandes y bordes definidos), • Pinceles de lengua de gato (para técnicas específicas), • Pinceles de punta fina (para detalles preciso.  Puesto en el sitio de entreda.</t>
  </si>
  <si>
    <t>Sombras mate y nacarada personales</t>
  </si>
  <si>
    <t>Paleta de sombras de 24 colores para maquillaje artístico.  Puesto en el sitio de entreda.</t>
  </si>
  <si>
    <t>lápices delineadores</t>
  </si>
  <si>
    <t>Set de lápices delineadores para maquillaje artístico X 6 .  Puesto en el sitio de entreda.</t>
  </si>
  <si>
    <t>Desmaquillantes</t>
  </si>
  <si>
    <t>Agua micelar, aceite de coco, agua de rosas u otros líquidos desmaquillantes.  Puesto en el sitio de entreda.</t>
  </si>
  <si>
    <t>Toallas desmaquilladoras</t>
  </si>
  <si>
    <t>Toallas desmaquilladoras x 50 und.  Puesto en el sitio de entreda.</t>
  </si>
  <si>
    <t>Bolsos personales</t>
  </si>
  <si>
    <t>Bolso de tamaño pequeño o mediano donde quepa elementos de maquillaje .  Puesto en el sitio de entreda.</t>
  </si>
  <si>
    <t>Trusas</t>
  </si>
  <si>
    <t>Trusas Tallas S, M,L,XL colores a definir .  Puesto en el sitio de entreda.</t>
  </si>
  <si>
    <t>Vestidos</t>
  </si>
  <si>
    <t>Vestidos de dama según temática o tipo.  Puesto en el sitio de entreda.</t>
  </si>
  <si>
    <t>Camisas</t>
  </si>
  <si>
    <t>Camisas en algodón perchado de diversos colores y tallas.  Puesto en el sitio de entreda.</t>
  </si>
  <si>
    <t>Baletas</t>
  </si>
  <si>
    <t>Baletas surtidas en tallas para personajes.  Puesto en el sitio de entreda.</t>
  </si>
  <si>
    <t>Sombreros</t>
  </si>
  <si>
    <t>Sombreros en material sintetico de diversos estilos y colores según personajes.  Puesto en el sitio de entreda.</t>
  </si>
  <si>
    <t>Pelucas</t>
  </si>
  <si>
    <t>Pelucas de pelo artificial de diferentes colores y tamaños.  Puesto en el sitio de entreda.</t>
  </si>
  <si>
    <t>Accesorios</t>
  </si>
  <si>
    <t>Accesorios variados personalizados para algunos personajes ( aretes, parches, pañoletas etc.).  Puesto en el sitio de entreda.</t>
  </si>
  <si>
    <t>Cuaderno 50H</t>
  </si>
  <si>
    <t>Cuaderno pentagramado de 50 hojas.  Puesto en el sitio de entreda.</t>
  </si>
  <si>
    <t>Campana salsera</t>
  </si>
  <si>
    <t xml:space="preserve">Fabricado en metal (acero, latón o aluminio) o madera (caoba, arce). Diámetros estándar: Timbal "macho": 13"-14" (33-35.5 cm), Timbal "hembra": 14"-15" (35.5-38 cm), Altura promedio: 12"-14" (30-35 cm) . Puesto en el sitio de entrega. </t>
  </si>
  <si>
    <t>Tambor</t>
  </si>
  <si>
    <t>Tambor didáctico, dimensiones 16 × 20 cm. Material cuero y madera .  Puesto en el sitio de entreda.</t>
  </si>
  <si>
    <t>Xilófono</t>
  </si>
  <si>
    <t>Xilófono didáctico en madera 8 Tonos con baquetas en madera.  Puesto en el sitio de entreda.</t>
  </si>
  <si>
    <t>Maracas</t>
  </si>
  <si>
    <t>Maracas en Totumo y madera didácticas.  Puesto en el sitio de entreda.</t>
  </si>
  <si>
    <t>Guitarra acústica</t>
  </si>
  <si>
    <t>Guitarras acústicas de madera Caoba y Abeto de gamma media, de construcción nacional o extranjera con encordado de marca La Bella o similares.  Puesto en el sitio de entreda.</t>
  </si>
  <si>
    <t>Guitarra eléctrica</t>
  </si>
  <si>
    <t>Guitarra eléctrica de 22 trastes de cuerpo de tilo, cuello de Arce
3 pastillas de bobina única y sintonizadores cromados incluidos.
Un solo rollo del puente, cuerdas de acero con un protector de púa.
Selector de captación de 5 vías, 1 botón de control de volumen y 2 botones de control de tono.
*Guitarra de 39"
*Cable
*Picks
*Correa
*Forro semiduro
*Barra de tremulo
*Llave bristol
 Puesto en el sitio de entreda.</t>
  </si>
  <si>
    <t>Percusión</t>
  </si>
  <si>
    <t>Tamboras, llamadores, cajones peruanos, claves, maracas y congas de madera maciza y resonante. (Ceiba, cedro, caoba, etc.) gamma media y construcción ideal de marcas nacionales o importadas con parches de cuero de chivo y tensores en el caso de las tamboras y los llamadores, pieles de vaca en las congas.</t>
  </si>
  <si>
    <t>Bajos eléctricos</t>
  </si>
  <si>
    <t>Bajos eléctricos de referencia 4 cuerdas, en madera arce y caoba encordado la Bella o similares, además de componentes electrónicos óptimos, 24 trastes, construccion ergonomica, pastillas  pasivas de alta calidad diestro,  4.2 de profundidad, ancho del cuerpo  33 cm, largo del cuerpo 116 cm, largo de la escala 863,6 mm.
 Puesto en el sitio de entreda.</t>
  </si>
  <si>
    <t>Teclados</t>
  </si>
  <si>
    <t>Teclado organeta con coltaje de 110 v, cantidad de llaves 61, polifonia maxina de 800, cantidad de ritmos 300, alimentacion electrica, pantalla LCD, con grabador metronomo, incluye microfono.  Puesto en el sitio de entreda.</t>
  </si>
  <si>
    <t>Batería</t>
  </si>
  <si>
    <t>Batería acustica de  5 piezas, mas platillos, mas base y silla. Descripcion: 2 tones de aire medida 12", 13"
Ton de piso de 16"
Bombo de 22" con pedal
Redoblante en acero inoxidable de 14" con base
1 atril de charles con platillos
1 atril de platillo y platillo crash 16"
Silla y baquetas.
 Puesto en el sitio de entreda.</t>
  </si>
  <si>
    <t>Amplificadores de bajo guitarra</t>
  </si>
  <si>
    <t>Amplificador combo, tiene un canal, potencia de salida de 20 w, tipo de conector  de entrada jack 1/4¨, conector de salida 1/4¨, 25 cm de alto,  x 33 cm de ancho  x 39 cm de profundidad.  Puesto en el sitio de entreda.</t>
  </si>
  <si>
    <t>Medias</t>
  </si>
  <si>
    <t>Medias calentadoras para baile en diferentes tallas, material algodón</t>
  </si>
  <si>
    <t>Falda</t>
  </si>
  <si>
    <t>(Pollera) Falda de danzas para ensayo larga, amplia, tela gruesa y pesada, tallas para niñas y adultas, ajuste graduable de amarrar en la cintura - tipo Cumbia, Currulao, Pacifico – unicolor.  Puesto en el sitio de entreda.</t>
  </si>
  <si>
    <t>Pañuelo o pañoleta</t>
  </si>
  <si>
    <t>Pañuelo o pañoleta para baile – satén blanco, negro o rojo, para ensayo  .  Puesto en el sitio de entreda.  Puesto en el sitio de entreda.</t>
  </si>
  <si>
    <t>Alpargatas</t>
  </si>
  <si>
    <t>Alpargatas tradicionales artesanal – fique.  Puesto en el sitio de entreda.</t>
  </si>
  <si>
    <t>Sombrero</t>
  </si>
  <si>
    <t>Sombrero tradicional para hombre fibra natural de ala ancha-media.  Puesto en el sitio de entreda.</t>
  </si>
  <si>
    <t>Ligas para el cabello</t>
  </si>
  <si>
    <t>Liga negra elástica para recoger el cabello.  Puesto en el sitio de entreda.</t>
  </si>
  <si>
    <t>Rodilleras</t>
  </si>
  <si>
    <t>Variadas en colores Para protección en trabajo de piso o superficies duras. Puesto en el sitio de entreda.</t>
  </si>
  <si>
    <t>Calcetines de danza antideslizantes</t>
  </si>
  <si>
    <t>Para proteger el pie y permitir movilidad sobre el piso sin riesgo de resbalar color negro.  Puesto en el sitio de entreda.</t>
  </si>
  <si>
    <t>Vestuario escénico base</t>
  </si>
  <si>
    <t>Trusas o mallas color neutro (negro o piel) para niños.  Puesto en el sitio de entreda.</t>
  </si>
  <si>
    <t>Mat o colchoneta</t>
  </si>
  <si>
    <t>Para calentamientos o trabajo en el suelo, ideal para evitar lesiones.  Puesto en el sitio de entreda.</t>
  </si>
  <si>
    <t>Bandas elásticas de resistencia</t>
  </si>
  <si>
    <t>Tipo gruesa Para ejercicios de estiramiento y fortalecimiento variedad en colores.  Puesto en el sitio de entreda.</t>
  </si>
  <si>
    <t>Foam roller o pelota de masaje</t>
  </si>
  <si>
    <t>Tamaño xl silicona variada en colores.  Puesto en el sitio de entreda.</t>
  </si>
  <si>
    <t>Tela o pañuelo grande</t>
  </si>
  <si>
    <t>Variedad en colores de 50cm cuadrados .  Puesto en el sitio de entreda.</t>
  </si>
  <si>
    <t>Toalla pequeña</t>
  </si>
  <si>
    <t>Toalla de 30cm colores oscuros en algodón.  Puesto en el sitio de entreda.</t>
  </si>
  <si>
    <t>Camiseta  de danza contemporánea</t>
  </si>
  <si>
    <t xml:space="preserve">Camiseta suelta de danza contemporanea en diferentes tallas y colores.  Puesto en el sitio de entreda. </t>
  </si>
  <si>
    <t>Kit de primeros auxilios</t>
  </si>
  <si>
    <t>Incluye curitas, vendas, cinta deportiva, analgésicos y desinfectante.  Puesto en el sitio de entreda.</t>
  </si>
  <si>
    <t>Kit de maquillaje escénico</t>
  </si>
  <si>
    <t>Sombras profesionales (colores primarios mates y satinados), labial rojo y color piel, iluminador, base SP Pro.  Puesto en el sitio de entreda.</t>
  </si>
  <si>
    <t>Kit de peinado</t>
  </si>
  <si>
    <t>Incluye gomina, moñas, cauchos para trenzas o recogidos.  Puesto en el sitio de entreda.</t>
  </si>
  <si>
    <t>Funda para vestuario (Garment bag)</t>
  </si>
  <si>
    <t>Para transportar el vestuario escénico de forma ordenada.  Puesto en el sitio de entreda.</t>
  </si>
  <si>
    <t>Ropa de calentamiento</t>
  </si>
  <si>
    <t>Sudadera negra con el logo según taller.  Puesto en el sitio de entreda.</t>
  </si>
  <si>
    <t>Colbon</t>
  </si>
  <si>
    <t>Colbón es un adhesivo líquido a base de acetato de polivinilo (PVA), comúnmente conocido como pegamento blanco o cola fría, utilizado para pegar papel, cartón y otros materiales. Es un producto versátil, utilizado tanto en el hogar como en oficinas, colegios y talleres de arte.  Puesto en el sitio de entreda.</t>
  </si>
  <si>
    <t>Kilo</t>
  </si>
  <si>
    <t>Acuarela</t>
  </si>
  <si>
    <t>Sed de acuarelas X 18 - colores surtidos - tuvo c/u por 12 ml. de (calidad artística).  Puesto en el sitio de entreda.</t>
  </si>
  <si>
    <t xml:space="preserve">SE TOMA EL PROMEDIO  COMO MEDIDA DE TENDENCIA CENTRAL </t>
  </si>
  <si>
    <t>Papel Acuarela</t>
  </si>
  <si>
    <t>Block o paquete X 100 hojas de 1/8 Papel Acuarela.  Puesto en el sitio de entreda.</t>
  </si>
  <si>
    <t>Paleta</t>
  </si>
  <si>
    <t>Paleta mescladora de colores - plástica.  Puesto en el sitio de entreda.</t>
  </si>
  <si>
    <t>Esponjas</t>
  </si>
  <si>
    <t>Kit de Esponjas para acuarela - técnicas de absorción.  Puesto en el sitio de entreda.</t>
  </si>
  <si>
    <t>arcilla</t>
  </si>
  <si>
    <t>1kl de arcilla color variados .  Puesto en el sitio de entreda.</t>
  </si>
  <si>
    <t>cerámicas</t>
  </si>
  <si>
    <t>En diferentes tamaños pequeña mediana y grande al natural para pintar.  Puesto en el sitio de entreda.</t>
  </si>
  <si>
    <t>Lápiz B2 y 4B</t>
  </si>
  <si>
    <t>Lápiz B2 y 4B Caja X 12.  Puesto en el sitio de entreda.</t>
  </si>
  <si>
    <t>Block</t>
  </si>
  <si>
    <t>Bloc papel bond tamaño carta X 100 hojas.  Puesto en el sitio de entreda.</t>
  </si>
  <si>
    <t>Esferos</t>
  </si>
  <si>
    <t>Esfero tinta negra X caja de 12 und.  Puesto en el sitio de entreda.</t>
  </si>
  <si>
    <t>Resaltadores</t>
  </si>
  <si>
    <t>Resaltadores - variedad de colores X caja de 12 und.  Puesto en el sitio de entreda.</t>
  </si>
  <si>
    <t>Papel kraft</t>
  </si>
  <si>
    <t>Rollo papel kraft X 61 cm  Puesto en el sitio de entreda.  Puesto en el sitio de entreda.</t>
  </si>
  <si>
    <t>Libro de trabajo</t>
  </si>
  <si>
    <t>Libro de editorial y autor según la temática de la clase.  Puesto en el sitio de entreda.</t>
  </si>
  <si>
    <t>Cuento Ilustrado</t>
  </si>
  <si>
    <t>Cuentos de editorial y autor según la temática de la clase.  Puesto en el sitio de entreda.</t>
  </si>
  <si>
    <t>Libro Álbum</t>
  </si>
  <si>
    <t>Libro Albúm de editorial y autor según la temática de la clase.  Puesto en el sitio de entreda.</t>
  </si>
  <si>
    <t>Caja de colores</t>
  </si>
  <si>
    <t>Caja de colores por 12 unidades hechos de 100% madera reforestada, y de fácil tajado.  Puesto en el sitio de entreda.</t>
  </si>
  <si>
    <t xml:space="preserve">Cartulina </t>
  </si>
  <si>
    <t>CARTULINA BRISTOL OCTAVO COLORES, PAQUETE X 100 UND
Cartulina Bristol ideal para todo uso en la escuela, la oficina y la industrial
Puedes escoger paquete de 100 octavos en colores surtidos o los 100 en un solo color
Características
- Tamaño Octavo 25 CM X 35 CM
- Gramaje 150 gramos
- Colores Blanco - Amarillo - Azul - Verde - Rosado o Surtido
- Con tu compra enviamos 100 Unidades tamaño octavo).  Puesto en el sitio de entreda.</t>
  </si>
  <si>
    <t>Papel iris</t>
  </si>
  <si>
    <t>Block tamaño carta colores surtidos.  Puesto en el sitio de entreda.</t>
  </si>
  <si>
    <t>Papel origami</t>
  </si>
  <si>
    <t>Pegante en barra</t>
  </si>
  <si>
    <t xml:space="preserve"> (Pegante en barra sin componentes tóxicos Forma redonda, cierre hermético Mínimo 40 g).  Puesto en el sitio de entreda.</t>
  </si>
  <si>
    <t>Juego de peines</t>
  </si>
  <si>
    <t xml:space="preserve">Juego de herramientas de peinado del cabello: peines, cepillo de triple burla, cepillo de borde, peines de cola de rata, lazo trenzado con clips.  Puesto en el sitio de entreda. </t>
  </si>
  <si>
    <t>Gel</t>
  </si>
  <si>
    <t>Gel para cabello X 250 gramos.  Puesto en el sitio de entreda.</t>
  </si>
  <si>
    <t>Cera</t>
  </si>
  <si>
    <t>Barra de cera para cabello 50 ml.  Puesto en el sitio de entreda.</t>
  </si>
  <si>
    <t>Bandas elásticas</t>
  </si>
  <si>
    <t xml:space="preserve">Bolsa o caja de Bandas Elásticas Para El Cabello - Trenzas Banda X 600 - colores surtidos. Puesto en el sitio de entrega. </t>
  </si>
  <si>
    <t>Cintas</t>
  </si>
  <si>
    <t xml:space="preserve">Cinta en satín de 1/2 cm – rolo X 25 mts – colores surtidos. Puesto en el sitio de entrega. </t>
  </si>
  <si>
    <t>Maniquí de cabeza cabello para trenzas</t>
  </si>
  <si>
    <t xml:space="preserve">Cabello similar a humano crespo largo. Puesto en el sitio de entrega. </t>
  </si>
  <si>
    <t>olive olv wrat set mousse (espuma fijadora)</t>
  </si>
  <si>
    <t xml:space="preserve">african pride (251 ml). Puesto en el sitio de entrega. </t>
  </si>
  <si>
    <t>Cabello sintético (kanekalon)</t>
  </si>
  <si>
    <t xml:space="preserve">colores surtidos (tonos naturales). Puesto en el sitio de entrega. </t>
  </si>
  <si>
    <t>Gel de cera para trenzas</t>
  </si>
  <si>
    <t xml:space="preserve">extreme Hold 500 ml.  Puesto en el sitio de entreda. Puesto en el sitio de entrega. </t>
  </si>
  <si>
    <t>Ganchos para chochet braids</t>
  </si>
  <si>
    <t>Herramienta de alfombra de gancho de seguridad, ganchillo manual, herramienta de dreadlock de gancho de pelo Ideal para cabello micro, sintético o real. Alta calidad para uso prolongado en Material mango de plástico Tamaño: aproximadamente 16 x 1 cm/6,29 x 0,39 pulgadas.  Puesto en el sitio de entreda.</t>
  </si>
  <si>
    <t xml:space="preserve">Toalla microfibra  </t>
  </si>
  <si>
    <t>Variedad de colores 80x50 cm.  Puesto en el sitio de entreda.</t>
  </si>
  <si>
    <t>Accesorios para peinado</t>
  </si>
  <si>
    <t>Cola de ratón de varios materiales .  Puesto en el sitio de entreda.</t>
  </si>
  <si>
    <t>Pinzas</t>
  </si>
  <si>
    <t>Kit de 5 Pinzas Para Joyas, Bisutería, Corte, Alambre.  Puesto en el sitio de entreda.</t>
  </si>
  <si>
    <t>Mostacilla Checa</t>
  </si>
  <si>
    <t>Mostacilla checa por 250 gramos en colores surtidos.  Puesto en el sitio de entreda.</t>
  </si>
  <si>
    <t>Caja de almacenamiento mostacillas</t>
  </si>
  <si>
    <t>Caja de almacenamiento transparente para mostacilla, dimensiones largo 20cm, ancho 10c, alto 3cm, de 12 compartimientos individuales, cada compartimento tiene su propia tapa numerada, tapas (12) extraíbles o desmontables, material plástico.  Puesto en el sitio de entreda.</t>
  </si>
  <si>
    <t>Paños de aguja</t>
  </si>
  <si>
    <t>Aguja pelo (Aguja larga para mostacilla) con 25 unidades cada paño.  Puesto en el sitio de entreda.</t>
  </si>
  <si>
    <t>Hilo búfalo</t>
  </si>
  <si>
    <t>Hilo búfalo calibre B-46 / Rollos X 40 gramos. Variedad de colores.  Puesto en el sitio de entreda.</t>
  </si>
  <si>
    <t>Herrajes</t>
  </si>
  <si>
    <t>Herrajes para aretes tipo pescador, cierres para manillas, separadores, uniones, argollas, infinitos, alfileres de argolla, alfileres de balín, arandelas.  Puesto en el sitio de entreda.</t>
  </si>
  <si>
    <t>Hilo Nylon Para Joyería Bisutería Pulseras 0.6mm Rollo X100m.  Puesto en el sitio de entreda.</t>
  </si>
  <si>
    <t>Hilo Chino</t>
  </si>
  <si>
    <t>Hilo Chino 0.8mm x 90metros Para Bisutería Manillas X 6 Rollos.  Puesto en el sitio de entreda.</t>
  </si>
  <si>
    <t>Telar</t>
  </si>
  <si>
    <t>Telar de mostacilla bisutería con bandeja, en madera de 9mm de espesor, graduable, longitud máxima 46cm, ancho 16cm. Con bandeja de 10 puestos dimensiones 25cm x 9,5cm material en madera de 9mm de espesor.  Puesto en el sitio de entreda.</t>
  </si>
  <si>
    <t>Aguja de crochet</t>
  </si>
  <si>
    <t>Kit de agujas para croché x 6, en diferente grosor.  Puesto en el sitio de entreda.</t>
  </si>
  <si>
    <t>Hilo</t>
  </si>
  <si>
    <t>Hilo de crochet clásico colores surtidos ovillo de 100 gramos.  Puesto en el sitio de entreda.</t>
  </si>
  <si>
    <t>Tijeras</t>
  </si>
  <si>
    <t>Tijeras A01. para cortar hilos, alambres y materiales delicados con precisión Puesto en el sitio de entreda.</t>
  </si>
  <si>
    <t>Cartillas</t>
  </si>
  <si>
    <t>Revista con patrones paso a paso de crochet y bisuteria..  Puesto en el sitio de entreda.</t>
  </si>
  <si>
    <t>Marcadores</t>
  </si>
  <si>
    <t>Gancho Marcador De Puntada Crochet X 25unid.  Puesto en el sitio de entreda.</t>
  </si>
  <si>
    <t>Pintura en vinilo</t>
  </si>
  <si>
    <t xml:space="preserve">1 Galon de pintura domestica en diversos colores,  Puesto en el sitio de entrega. </t>
  </si>
  <si>
    <t>Aerosoles</t>
  </si>
  <si>
    <t xml:space="preserve">Aerosol en lata en diversos colores . Puesto en el sitio de entrega. </t>
  </si>
  <si>
    <t>Brochas</t>
  </si>
  <si>
    <t xml:space="preserve">Brocha mona de 2 pulgadas . Puesto en el sitio de entrega. </t>
  </si>
  <si>
    <t>Rodillos</t>
  </si>
  <si>
    <t xml:space="preserve">Rodillo de 9 pulgadas para todo tipo de pinturas . Puesto en el sitio de entrega. </t>
  </si>
  <si>
    <t>Guantes</t>
  </si>
  <si>
    <t xml:space="preserve">Par de guantes, en nitrilo en color ngro, gris o azul, en diferentes tallas . Puesto en el sitio de entrega. </t>
  </si>
  <si>
    <t>Tapabocas</t>
  </si>
  <si>
    <t xml:space="preserve">Tapabocas industrial,negro con antifluido enbalao individualmente.. Puesto en el sitio de entrega. </t>
  </si>
  <si>
    <t>Tiza</t>
  </si>
  <si>
    <t xml:space="preserve">Tiza para demarcancion para pisos, paredes o pizarras. Puesto en el sitio de entrega. </t>
  </si>
  <si>
    <t>Overol</t>
  </si>
  <si>
    <t xml:space="preserve">Overol enterizo en drill color azul, negro o gris. Diferentes tallas. Puesto en el sitio de entrega. </t>
  </si>
  <si>
    <t>Cintas de pintor</t>
  </si>
  <si>
    <t xml:space="preserve">Rollo de cinta de 1 pulgada con adhesivo de facil aplicación y democion, que no dañe la superficie. Puesto en el sitio de entrega. </t>
  </si>
  <si>
    <t>Escalera Extensible 16 Pasos Capacidad 150 Kg Tr Color Plateado</t>
  </si>
  <si>
    <t xml:space="preserve">Versátil y resistente. Es extendible-Soporta un peso máximo de 150 kg-Cuenta con 16 peldaños. Puesto en el sitio de entrega. </t>
  </si>
  <si>
    <t>Espacio apto para la estadía de 192 personas deberá contener juegos tradicionales y piscina</t>
  </si>
  <si>
    <t>Espacio Campestre en un municipio aledaño (Clima cálido) que se encuentre a una distancia mínimo de (80 KM) Y máximo de noventa (90 KM) kilómetros de distancia de la ciudad de Bogotá, el cual deberá contar con recreación dirigida, Restaurante, Zonas verdes, Canchas deportivas, con mínimo dos piscinas y que cuente con enfermería o puesto de salud con auxiliar de enfermería.  El contratista deberá constituir pólizas de seguros de responsabilidad civil contractual y extracontractual que lo ampara contra los riesgos inherentes a la actividad dentro del centro vacacional. Igualmente deberá suministrar desayuno y almuerzo para 192 personas en cada salida (diez salidas, cada una con 192 personas, el día de llegada de los asistentes y recreación dirigida a los beneficiarios permanente durante la estadía en el lugar)</t>
  </si>
  <si>
    <t>Servicio/día</t>
  </si>
  <si>
    <t>Póliza contra accidentes</t>
  </si>
  <si>
    <r>
      <t>Los amparos para cada una de los participantes: por muerte $10.000.000, invalidez y desmembración $10.000.000, gastos funerarios $2.000.000 y gasto</t>
    </r>
    <r>
      <rPr>
        <sz val="12"/>
        <rFont val="Garamond"/>
        <family val="1"/>
      </rPr>
      <t>s médicos (incluirá cualquier tipo de accidente, golpes, fracturas, entre otras.) $2.000.000. Incluye participantes + guias + personal del ejecutor y apoyo a la supervisión.</t>
    </r>
  </si>
  <si>
    <t>SILLAS PLÁSTICAS</t>
  </si>
  <si>
    <t>•	Material: Polipropileno (Plástico)
•	Resistencia: 130 kg
•	Protección UV para proteger de luz y agua 
•	Aptas para interiores y exteriores</t>
  </si>
  <si>
    <t>UND</t>
  </si>
  <si>
    <t>MESAS PLÁSTICAS</t>
  </si>
  <si>
    <t>•	Tipo portafolio
•	Parte superior de polietileno de alta densidad (HDPE) con protección UV
•	Listo para usar, fácil de mantener y fácil de almacenar
•	Se pliega por la mitad para facilitar su transporte y almacenamiento.
•	Diseño ligero
•	Medidas: 180 cm largo x 75 cm ancho x 75 cm alto</t>
  </si>
  <si>
    <t>Caja organizadora para juguetes y materiales</t>
  </si>
  <si>
    <t>Modo de fijación: Tornillos
- Cantidad de repisas: 9
- Material: Madera/plástico
- Alto: 60 cm</t>
  </si>
  <si>
    <t>Sillas infantiles:</t>
  </si>
  <si>
    <t>Material: Polipropileno (Plástico)- Resistencia: entre 10 y 40 kg
- Protección UV para proteger de luz y agua - Aptas para interiores y exteriores</t>
  </si>
  <si>
    <t>Juegos de mesa (ajedrez, damas, rompecabezas, memoria):</t>
  </si>
  <si>
    <t>La mayor cantidad de juegos posible todo en uno.
- Plástico y cartón no tóxicos.
- Didácticos.
- Para niños entre 4 y 10 años</t>
  </si>
  <si>
    <t>Kits de construcción:</t>
  </si>
  <si>
    <t>Bloques tipo LEGO grandes para niños entre 1 y 5 años.
- Cantidad 50 fichas.
- Plástico no toxico.
- Diferentes tamaños y formas.</t>
  </si>
  <si>
    <t>Set de títeres o marionetas</t>
  </si>
  <si>
    <t>Plástico y tela no toxico.
- Diferentes personajes.
- 5 personajes por set.
- Tamaño ideal para encajar en la mano</t>
  </si>
  <si>
    <t>Cocina de juguete pequeña</t>
  </si>
  <si>
    <t>Plástico no toxico
- Set con diferentes elementos que simulen una cocina completa</t>
  </si>
  <si>
    <t>Set de Pelotas de diferentes tamaños</t>
  </si>
  <si>
    <t>Plástico no toxico
- Set diferentes tamaños y formas</t>
  </si>
  <si>
    <t>SET</t>
  </si>
  <si>
    <t>NOTA METODOLÓGICA SOBRE LA DETERMINACIÓN DE LOS PRECIOS UNITARIOS TECHO
Para efectos del presente estudio de mercado, la Entidad ha definido el siguiente criterio para la determinación de los precios unitarios techo, con base en las cotizaciones obtenidas:
Cuando la dispersión de los precios cotizados (calculada mediante el coeficiente de variación) es inferior al 15%, se considera que existe una alta consistencia en las cotizaciones, por lo que se adopta el promedio como valor representativo del precio unitario techo.
Cuando la dispersión se encuentra entre el 15% y hasta el 30%, se identifica una mayor variabilidad en los datos, lo cual puede indicar la presencia de valores atípicos o diferencias significativas en condiciones ofertadas. En este caso, se utiliza la mediana como medida representativa, en razón de que esta estadística es menos sensible a valores extremos y permite normalizar la muestra con base en datos reales, reflejando de forma más objetiva el comportamiento central de los precios del mercado.
Este criterio busca garantizar transparencia, objetividad y razonabilidad en la determinación de los precios de referencia utilizados por la Entidad, alineado con buenas prácticas de análisis de datos de mercado.</t>
  </si>
  <si>
    <r>
      <t xml:space="preserve">Bolsa para los grupos artístico: Para la preparación movilización artística y cultural se contará con una bolsa de elementos, los cuales estan previstos en la hoja denominada "BOLSA CULTURA". VER ANEXO TECNICO El rubro para esta bolsa es de ($21.440.000)
</t>
    </r>
    <r>
      <rPr>
        <b/>
        <sz val="10"/>
        <color theme="1"/>
        <rFont val="Garamond"/>
        <family val="1"/>
      </rPr>
      <t xml:space="preserve">Item no ofertable </t>
    </r>
  </si>
  <si>
    <t xml:space="preserve">ESTE ITEM COMPRENDE EL VALOR DE  BOLSA PARA LOS GRUPOS ARTISTICOS PARA LA PREPARACION Y MOVILIZACION ARTISTICA Y CULTURAL,  ES UN VALOR INMODIFICABLE E INOFERTABLE, ESTE VALOR UNITARIAMENTE CORRESPONDE A $21.440.000 PESOS. ESTE VALOR COMPRENDE TODOS LOS GASTOS DIRECTOS E INDIRECTOS, TALES COMO LA ADMINISTRACION DEL RECURSO, IMPUESTOS, TASAS Y RETRIBUCIONES A QUE HAYA LUGAR Y PUEDAN LLEGAR A GENERARSE DE ACUERDO A LA NORMATIVIDAD FISCAL VIGENTE. LA PRESENTE BOLSA SE DEBE COMPONER DE LOS ITEMS QUE SE ENCUENTRAN EN LA PESTAÑA DENOMINADA "BOLSA CULTURA" DEL PRESETE ESTUDIO DE MERCADO, LOS CUALES SERAN ESTABLECIDOS A MONTO AGOTABLE, TENIENDO EN CUENTA QUE PARA DETERMINAR EL NUMERO DE UNIDADES POR CADA UNO DEBE CONTEMPLAR EL DIAGNOSTICO DURANTE LA EJECUCIÓN. </t>
  </si>
  <si>
    <t>Herramienta de mano machete 18"</t>
  </si>
  <si>
    <t>Decametro x 50 mt</t>
  </si>
  <si>
    <t>ESCOLARES VERSALLES SAS  
NIT 800.088.063-4</t>
  </si>
  <si>
    <t>DISTRIBUIDORA NACIONAL GROUP
NIT 901.708.000-9</t>
  </si>
  <si>
    <t xml:space="preserve">COMPAÑÍA PAPELERIA NACIONAL SAS
Nit: 900.009.495-8 </t>
  </si>
  <si>
    <t>THE ANIMAL SHOP SAS
900.693.209-1</t>
  </si>
  <si>
    <t>COMERCIALIZADORA Y PRODUCTORA POLUX S.A.S.
NIT: 900.595.362-9</t>
  </si>
  <si>
    <t>COMERCIALIZADORA DISFENIX
NIT: 900.348.994-5</t>
  </si>
  <si>
    <t>ARTE Y DISEÑO BEJOHAN - OSCAR ARIAS
NIT: 80.025.504-1</t>
  </si>
  <si>
    <t>PAPELERIA Y CACHARRERIA NCA
NIT: 39.797.006-6</t>
  </si>
  <si>
    <t>DÍGITOS &amp; DISEÑOS INDUSTRIA GRÁFICA S.A.S.
NIT: 900.068.916-9</t>
  </si>
  <si>
    <t>PANAMERICANA
NIT: 830.037.946-3
(Página Web)</t>
  </si>
  <si>
    <t>MICROSCOPIOS Y EQUIPOS ESPECIALES
NIT: 830.023.974-9
(Página Web)</t>
  </si>
  <si>
    <t>ERGONOMUS S.A.S.
NIT: 900.642.173-5
(Página Web)</t>
  </si>
  <si>
    <t>PELIKAN COLOMBIA
NIT: 860.001.789-7
(Página Web)</t>
  </si>
  <si>
    <t>COMERCIAL PAPELERA
NIT: 860.528.396-9
(Página Web)</t>
  </si>
  <si>
    <t>FALABELLA
NIT: 900.499.362-8
(Página Web)</t>
  </si>
  <si>
    <t>SUMI MEGA S.A.S.
NIT: 900.334.852-7
(Página Web)</t>
  </si>
  <si>
    <t>MEGA DISTRIBUCIONES
NIT: 901.114.745-7
(Página Web)</t>
  </si>
  <si>
    <t>PAPELERÍA EL MAYORISTA -  INVERSIONES GOMAR LTDA.
NIT: 805.007.170-6
(Página Web)</t>
  </si>
  <si>
    <t>ECORECICLAJE UNIVERSAL
NIT: 80.205.905-2</t>
  </si>
  <si>
    <t>CAJAS DE CARTON BIOVERDE SAS
NIT: 901.002.846-1</t>
  </si>
  <si>
    <t>SUESCUN COMPANY S.A.S
NIT: 900.948.622-5
(Cotización física y página web)</t>
  </si>
  <si>
    <t>HOMECENTER - SODIMAC COLOMBIA S.A.
NIT: 800.242.106-2
(Página Web)</t>
  </si>
  <si>
    <t>PAPELERÍA LÁPIZ ROJO - LUIS HERNANDO VARGAS GUERRA
NIT: 80.184.438-2</t>
  </si>
  <si>
    <t xml:space="preserve">No. </t>
  </si>
  <si>
    <t>VALOR UNITARIO ANTES DE IVA</t>
  </si>
  <si>
    <t>IVA</t>
  </si>
  <si>
    <t>VALOR UNITARIO NO INCLUYE IVA (R.S.)</t>
  </si>
  <si>
    <t>VALOR CARGA TRIBUTARIA Y ADMINISTRACIÓN (15%)</t>
  </si>
  <si>
    <t>VALOR UNITARIO INCLUIDA CARGA TRIBUTARIA Y ADMINISTRACIÓN</t>
  </si>
  <si>
    <t xml:space="preserve">MEDIANA (Unitario) </t>
  </si>
  <si>
    <t>DISPERSIÓN PRECIOS (Promedio)</t>
  </si>
  <si>
    <t>Acuarelas</t>
  </si>
  <si>
    <t>Estuche plástico resistente con tapa (tipo paleta), con mínimo 12 colores surtidos (puede variar según proveedor), Tonos básicos y secUndarios: rojo, azul, amarillo, verde, naranja, morado, marrón, negro, blanco, rosado, celeste y gris, No tóxicas, seguras para uso infantil y comunitario</t>
  </si>
  <si>
    <t>Unid</t>
  </si>
  <si>
    <t>Se toma la mediana como medida de tendencia central para el cálculo</t>
  </si>
  <si>
    <t>Archivador - Az</t>
  </si>
  <si>
    <t>Carpeta, Archivador A-z Plastificado Tamaño Carta</t>
  </si>
  <si>
    <t>Se toma el promedio como medida de tendencia central para el cálculo</t>
  </si>
  <si>
    <t xml:space="preserve">Bandas Elásticas </t>
  </si>
  <si>
    <t>Bandas de Caucho Bandas elásticas, Caja de 18 Unidades, 90 mm x 2mm</t>
  </si>
  <si>
    <t xml:space="preserve">Bisturí </t>
  </si>
  <si>
    <t>Bisturí 18mm plástico Cuchilla corrediza y cambiable Con bloqueo de cuchilla</t>
  </si>
  <si>
    <t>Block Hojas Iris</t>
  </si>
  <si>
    <t>Block iris tamaño carta (21,5 x 28 cm) y  tamaño oficio (22 x 33 cm), 90 g/m² a 120 g/m², ideal para uso con lápices, colores, marcadores, micropuntas, crayones y témperas de bajo contenido de agua, Mínimo 40 hojas por block.</t>
  </si>
  <si>
    <t xml:space="preserve">Caja Bolígrafos </t>
  </si>
  <si>
    <t>Bolígrafo negro Cuerpo plástico o polietileno translucido o color negro; punta metálica, con tapa, redondo, rectangular o hexagonal, Caja X 12 Unidades</t>
  </si>
  <si>
    <t>Borrador De Tablero</t>
  </si>
  <si>
    <t>Borrador para tablero Elaborado en felpa sintética, fieltro o paño chalet. La base debe ser en madera o plástico</t>
  </si>
  <si>
    <t xml:space="preserve">Borradores </t>
  </si>
  <si>
    <t>Borrador de nata No tóxico Medidas aproximadas 5.5 a 6.3 cm * 0.8 a 1 en el espesor * 1.9 a 2.3 cm. largo 5.5.</t>
  </si>
  <si>
    <t>Cajas Para Archivo</t>
  </si>
  <si>
    <t>Material: Cartón Kraft corrugado de pared sencilla Calibre 920K
Acabado: El cartón corrugado debe tener acabo liso, suave, libre de  partículas abrasivas u otras imperfecciones.
Diseño: Debe presentar abertura frontal de nevera o puerta que facilita su manipulación y consulta en el lugar almacenamiento, no debe presentar  perforaciones</t>
  </si>
  <si>
    <t>Carpeta</t>
  </si>
  <si>
    <t xml:space="preserve">Carpeta legajadora oficio plástica </t>
  </si>
  <si>
    <t>Cartulina Pulpas</t>
  </si>
  <si>
    <t>CARTULINA Pulpas: Mecánica sin blanqueamiento. Valor pH: Debido a la naturaleza de los materiales empleados para la fabricación de estas cartulinas, el pH tiende hacia la acidez, por lo que su uso debe ser específicamente para archivos de gestión y para series de mediano tiempo d</t>
  </si>
  <si>
    <t>Octavo de Cartulinas</t>
  </si>
  <si>
    <t>Cartulina Bristol Octavo Colores, Paquete X 100 Und
Cartulina Bristol ideal para todo uso en la escuela, la oficina y la industrial
Puedes escoger paquete de 100 octavos en colores surtidos o los 100 en un solo color
Características
- Tamaño Octavo 25 CM X 35 CM
- Gramaje 150 gramos
- Colores Blanco - Amarillo - Azul - Verde - Rosado o Surtido
- Con tu compra enviamos 100 Unidades tamaño octavo</t>
  </si>
  <si>
    <t>Pliego de Cartulinas</t>
  </si>
  <si>
    <t>Papel cartulina de distintos colores Bristol, pliego 216 gr/m2 o superior x 30 Unidades</t>
  </si>
  <si>
    <t xml:space="preserve">Cintas </t>
  </si>
  <si>
    <t>Cinta adhesiva para enmascarar multipropósito 12 mm x 40 mts</t>
  </si>
  <si>
    <t>Cinta adhesiva para enmascarar multipropósito 48 mm x 40 mts</t>
  </si>
  <si>
    <t>Cinta adhesiva Transparente 12 mm x 40 mts</t>
  </si>
  <si>
    <t>Cinta Magica Medidas aproximadas 18mm a 20 mm x 31 a 34m</t>
  </si>
  <si>
    <t>Clip Mariposa</t>
  </si>
  <si>
    <t>Clip mariposa gigante, Alambre metálico bajo carbono, con recubrimiento de cinc electrolítico (galvánico) Caja X 50 Und</t>
  </si>
  <si>
    <t>Colores x 24 Un</t>
  </si>
  <si>
    <t>Caja colores 24 Unidades colores surtidos</t>
  </si>
  <si>
    <t>Colores x 12 Un</t>
  </si>
  <si>
    <t>Caja de colores  X 12 Und , 17 cm de largo</t>
  </si>
  <si>
    <t>Corrector</t>
  </si>
  <si>
    <t>Corrector 8 mm 7 a 12 ml Largo del lápiz entre 1268 y 137 mm Diámetro de la punta metálica entre 0,8 y 1 mm, Caja x 12 Unds</t>
  </si>
  <si>
    <t xml:space="preserve">Cosedoras </t>
  </si>
  <si>
    <t>Cosedora metálica de alta resistencia, para gancho estándar 26/6</t>
  </si>
  <si>
    <t>Grapadora Cosedora Metálica De Pinza Estandar + Ganchos Kit</t>
  </si>
  <si>
    <t>Crayolas</t>
  </si>
  <si>
    <t>Caja de crayolas surtidas x 12 Und</t>
  </si>
  <si>
    <t>Cuaderno</t>
  </si>
  <si>
    <t>Cuaderno argollados x100 r1-2</t>
  </si>
  <si>
    <t>Fichas Bibliográficas</t>
  </si>
  <si>
    <t xml:space="preserve">Formato Carnets De Vacunación </t>
  </si>
  <si>
    <t>Formato Papel bond 75g carta con la NTC 4436:1998 y la NTC 5397. Especificaciones de impresión Según ALCB</t>
  </si>
  <si>
    <t xml:space="preserve">Formato Consentimiento Informado </t>
  </si>
  <si>
    <t xml:space="preserve">Formato Dado De Alta De Paciente </t>
  </si>
  <si>
    <t xml:space="preserve">Formato De Adopciones </t>
  </si>
  <si>
    <t xml:space="preserve">Formato Entrega Satisfactoria De Paciente </t>
  </si>
  <si>
    <t xml:space="preserve">Formato Eutanasia </t>
  </si>
  <si>
    <t>Formato Formula  Medica</t>
  </si>
  <si>
    <t>Formato Historia Clinica</t>
  </si>
  <si>
    <t xml:space="preserve">Formato Historia Clinica Brigadas Medico Veterinarias </t>
  </si>
  <si>
    <t xml:space="preserve">Formato Historia Clinica Esterilizaciones </t>
  </si>
  <si>
    <t>Formato Historia Clinica Urgencias</t>
  </si>
  <si>
    <t xml:space="preserve">Formato Hoja De Anestesia </t>
  </si>
  <si>
    <t xml:space="preserve">Formato Recomedaciones Post Quirugicas </t>
  </si>
  <si>
    <t xml:space="preserve">Formato Retiro De Puntos Y Seguimiento </t>
  </si>
  <si>
    <t>Gancho Legajador Plástico</t>
  </si>
  <si>
    <t>Gancho legajador Plástico, paquete x 100 Unds</t>
  </si>
  <si>
    <t xml:space="preserve">Ganchos </t>
  </si>
  <si>
    <t>Clip estándar pequeño, Alambre con un recubrimiento superficial galvanizado que le da buena presentación y evita la oxidación, dimensión: Diámetro 0.80-0.81 mm, longitud 31.5 – 32.5 mm, ancho 7.6-8.0 mm. Caja X 100 Und</t>
  </si>
  <si>
    <t>Clip mariposa gigante x 12 Alambre metálico</t>
  </si>
  <si>
    <t>Grapas</t>
  </si>
  <si>
    <t>Grapa metálica con recubrimiento galvanizado. Dimensiones: Long pata 5.90-6.30 mm, long. Barra 106.0 – 107.0 mm, número de grapas x barra 209 Unds / Caja X 5000  Und</t>
  </si>
  <si>
    <t xml:space="preserve">Grapas </t>
  </si>
  <si>
    <t>Grapa Caja  para grapadora industrial</t>
  </si>
  <si>
    <t xml:space="preserve">Huelleros </t>
  </si>
  <si>
    <t>Huellero dactilar color negro, libre de cloro, no se decolora, no tóxico, tinta de secado rápido y no se corre. Para mínimo 2000 huellas</t>
  </si>
  <si>
    <t>Lápiz Mina Negra</t>
  </si>
  <si>
    <t>Lápices de escritura mina negra, Madera reforestada o resina sintética.  Borrador no tóxico. Color negro dureza HB o No 2- Longitud 17.8 - 19.7 cms y diámetro de mínimo 7,2mm Forma redonda, triangular o hexagonal, Borrador asegurado en casquillo de metal o plástico sin bordes afilados ni cortantes, Caja x 12 Unidades.</t>
  </si>
  <si>
    <t>Lápiz Mina Roja</t>
  </si>
  <si>
    <t>Lápiz mina roja de madera reforestada o resina sintética, Borrador no tóxico. Color rojo mina semi dura, Longitud 17.8 - 19.7 cms y diámetro de mínimo 7,2mm Forma redonda, triangular o hexagonal Borrador asegurado en casquillo de metal o plástico sin bordes afilados ni cortantes, Caja x 12 Unds</t>
  </si>
  <si>
    <t>Libro De Actas</t>
  </si>
  <si>
    <t>Libro de actas 400 folios Papel bond mínimo entre 56 a 60g, tapa en cartón plastificado 32 a 34 cm largo por 20 a 23 de ancho para registro 400 folios rayados</t>
  </si>
  <si>
    <t xml:space="preserve">Lupa </t>
  </si>
  <si>
    <t>Lupa Aumento: 5x a 10x (ideal para uso educativo y observación de detalles) Diámetro de lente: 50 mm o superior (según disponibilidad) Material de lente: Acrílico óptico de alta calidad o vidrio templado (transparente, sin distorsión) Estructura: Mango ergonómico en plástico ABS resistente o metálico con recubrimiento antideslizante. Presentación: Individual, con fUnda protectora o empaque individual (opcional)</t>
  </si>
  <si>
    <t>Marcador Borrable</t>
  </si>
  <si>
    <t>Marcador borrable desechable Borrable a base de alcohol, no mancha, para escribir sobre tableros porcelanizados o cualquier superficie lisa Longitud de cuerpo entre 115 - 155 mm y diámetro entre 12 - 18 mm Punta gruesa biselada con trazo de 1,5 mm a 5,8 mm negro, azul, rojo, o verde Caja x10</t>
  </si>
  <si>
    <t xml:space="preserve">Marcadores </t>
  </si>
  <si>
    <t>Marcador permanente Tinta indeleble a base de alcohol de secado rápido, calor y humedad, para escribir sobre cualquier superficie Longitud de cuerpo entre 120 - 155 mm, diámetro 12 - 18 mm negro</t>
  </si>
  <si>
    <t>Marcador permanente Tinta indeleble a base de alcohol de secado rápido, calor y humedad, para escribir sobre cualquier superficie Longitud de cuerpo entre 120 - 155 mm, diámetro 12 - 18 mm negro, verde, azul o rojo, Caja x 20 Unds</t>
  </si>
  <si>
    <t>Marcador Permanente Cuerpo y tapa en polipropileno Color negro, verde, azul o rojo Tinta indeleble a base de alcohol de secado rápido, para escribir sobre cualquier superficie Longitud de cuerpo entre 127,9 - 143 mm, diámetro 10 - 16,3 mm. Trazo entre 0,6 mm a 1,8 mm Cierre hermético, Caja X 10 Unds.</t>
  </si>
  <si>
    <t xml:space="preserve">Marcador Punta Fina Permanente, Negro X 12 para diferentes superficies papel, plástico, metal secado rápido y resiste a la decoloración </t>
  </si>
  <si>
    <t xml:space="preserve">Marcador Tinta acrílica a base de agua, no tóxica, de secado rápido y resistente al agua una vez seca.Punta fina (0.7 mm) o punta media (1-2 mm), según la actividad. Ideal para detalles y trazos definidos en superficies como piedra, madera, papel, cartón.por Caja </t>
  </si>
  <si>
    <t>Notas Autoadhesivas</t>
  </si>
  <si>
    <t>Banderitas paquete  x100 colores surtidos</t>
  </si>
  <si>
    <t>Notas Autoadhesivas Mínimo de 3 x 5 cms Colores surtidos, paquete X 100 hojas</t>
  </si>
  <si>
    <t>Notas autoadhesivas medianas de 7.5 cms x 7.5 cms Colores surtidos, paquete x 100 Unds</t>
  </si>
  <si>
    <t>Papel</t>
  </si>
  <si>
    <t>Block de papel blanco cuadriculado Carta (8.5" x 11") / 216 mm x 279 mm, 75 – 90 g/m² (resistente para escritura con lápiz, lapicero o micropunta), 50 a 80 hojas por block (según presentación), Unidad</t>
  </si>
  <si>
    <t>Papel bond 75g carta con la NTC 4436:1998 y la NTC 5397. Resmas de 500 hojas, Caja x 10 resmas</t>
  </si>
  <si>
    <t>Papel silueta negros, amarillos, azul, rojo y verde.</t>
  </si>
  <si>
    <t>Papel Kraft, 60 grs, 70 cm x 100 cm,</t>
  </si>
  <si>
    <t>Papel tamaño carta (21.6 cm x 27.9 cm) o A4 (21 cm x 29.7 cm), según disponibilidad, 300 g/m², Mínimo 10 a 20 hojas por block</t>
  </si>
  <si>
    <t>Papel Bond</t>
  </si>
  <si>
    <t>Papel bond para plotter pliegos de 1000 mm x 700mm, de gramaje de 75 grs</t>
  </si>
  <si>
    <t>Papel Contact</t>
  </si>
  <si>
    <t>Rollo Contact 45 cm x 5 metros (medida estándar, transparente brillante</t>
  </si>
  <si>
    <t>Rollo Contact x 20 metros transparente</t>
  </si>
  <si>
    <t>Papel Fotográfico</t>
  </si>
  <si>
    <t>Tamaño del papel A4, Tipo de papel Fotográfico Cantidad de hojas 20 Gramaje 180 g Formato de venta Resma x20 Hojas Unidades por pack 20.</t>
  </si>
  <si>
    <t>Papel Kraft Pliego 60gr X 25 Unidades</t>
  </si>
  <si>
    <t>Rollo Papel Kraft 60cm X 5 Kilos -130 Mts - 60 Gr</t>
  </si>
  <si>
    <t>Papel Para Origami</t>
  </si>
  <si>
    <t xml:space="preserve">Tamaño 15 x 15 cm (6" x 6") – también puede usarse en otros 
Tamaño  10 x 10 cm 
Tamaño 20 x 20 cm según el nivel del grupo y tipo de figura a realizar.
Papel liviano (entre 60 y 80 g/m²), flexible, resistente al plegado, que mantenga los dobleces sin romperse.
Suave al tacto, superficie lisa, sin recubrimientos brillantes. Opcional: una cara de color y otra blanca para mayor orientación en figuras complejas.
Colores	Surtido de colores sólidos (mínimo 10 diferentes), también puede incluir estampados con motivos naturales o ecológicos.
Tipo Block </t>
  </si>
  <si>
    <t>Papel Periódico</t>
  </si>
  <si>
    <t>Papel Seda</t>
  </si>
  <si>
    <t xml:space="preserve">Papel seda Pliegos de 50 x 70 cm o tamaños de 20 x 30 cm, Surtido de colores vivos (mínimo 10 tonos diferentes), también disponible en tonos tierra , Paquetes de 50 o 100 hojas (surtido o por color). </t>
  </si>
  <si>
    <t>Papelógrafo</t>
  </si>
  <si>
    <t>Papelografo para Papel grande y resistente, ideal para exposiciones y trabajos grupales.
Tamaño estándar: 70 cm x 100 cm.</t>
  </si>
  <si>
    <t xml:space="preserve">Pegante </t>
  </si>
  <si>
    <t>Pegante en barra sin componentes tóxicos Forma redonda, cierre hermético Mínimo 40 g</t>
  </si>
  <si>
    <t>Pegante líquido 225g unidad</t>
  </si>
  <si>
    <t>Perforadora</t>
  </si>
  <si>
    <t>Perforadora 2 Huecos, 150 Hojas: Con regla indicadora, discos protectores de plásticos, diámetro de perforación 6-7mm, base en ABS, palanca ergonómica, depósito para papel perforado, pinner y cortadores</t>
  </si>
  <si>
    <t>Perforadora:
• Capacidad máxima: 70 hojas de 80 g
• Guías de papel ajustables
• Diámetro de la perforación: 6 mm</t>
  </si>
  <si>
    <t>Pinceles en madera punta redonda #2 x Caja12 Unidades</t>
  </si>
  <si>
    <t xml:space="preserve">Pinceles </t>
  </si>
  <si>
    <t>Pinceles #2 x Docena Caja (13)</t>
  </si>
  <si>
    <t>Set de Pinceles con variedad de pinceles: redondos, planos, angulares y de detalle. Tamaños pequeños, medianos y grandes (números entre 0 y 12 aprox.).
Cerdas sintéticas suaves (nylon o poliéster), duraderas, con buena retención de pintura. Opcional: mezcla de cerdas naturales para técnicas específicas.
Mango corto o mediano, ergonómico, en madera barnizada o plástico resistente. Ideal para control en lienzos o superficies pequeñas. De aluminio niquelado, anticorrosivo, firmemente sujeta para evitar desprendimiento de las cerdas.
Presentación Set de mínimo 6 a 12 Unidades, en estuche de tela, cartón o tubo plástico reutilizable.</t>
  </si>
  <si>
    <t>Pistola Silicona</t>
  </si>
  <si>
    <t>Pistola Silicona Grande 60W 110V-240V, Calidad Superior. Extensión, material: PVC + Cobre. Con polo a tierra, para uso electrodoméstico de alto consumo como hornos, ventiladores, planchas y dispositivos de mediano y bajo consumo, Número de salidas: 3 salidas con polo a tierra, longitud: 4.5 Metros (incluida clavija), calibre: 14/ 3 AWG y Cubierta: SPT-3.</t>
  </si>
  <si>
    <t>Plastilina En Barra  Surtida 55gr Caja X 12 Unidades plastilina en barra de 55gramos x 12 Unidades
12 barras de plastilina peso 55 gramos por cada barra colores surtidos  incluye blanco, negro y los colores primarios</t>
  </si>
  <si>
    <t>Reglas</t>
  </si>
  <si>
    <t xml:space="preserve">Regla Metalica </t>
  </si>
  <si>
    <t>Regla Plastica de 50 cm</t>
  </si>
  <si>
    <t xml:space="preserve">Resaltadores </t>
  </si>
  <si>
    <t>Resaltador desechable Amarillo, verde, naranja, rosado o celeste Filtrona en felpa acrílica o resina termoplástica Punta biselada, Caja x 10 Unds.</t>
  </si>
  <si>
    <t>Resaltador fluorescente de punta biselada (tipo cincel), ideal para subrayar textos con precisión en líneas delgadas o anchas según el ángulo de uso. Set de 4 a 6 colores surtidos: amarillo, verde, rosado, naranja, azul y morado. Tintas brillantes, resistentes a la decoloración y de secado rápido.inta a base de agua, no tóxica, segura para uso escolar y comunitario. No atraviesa el papel.	Tapa a presión, con clip de sujeción. Diseño ergonómico con cuerpo grueso de fácil agarre, ideal para adultos y niños.</t>
  </si>
  <si>
    <t xml:space="preserve">Saca Ganchos </t>
  </si>
  <si>
    <t>Saca ganchos para grapa Acero cromado combinado con plástico ABS</t>
  </si>
  <si>
    <t>Silicona</t>
  </si>
  <si>
    <t>Silicona Barra Transparente Gruesa Diametro: 11.2Mm Largo: 30Cm Cantidad: 25 Barras (1Kilo)</t>
  </si>
  <si>
    <t>Silicona liquida 250 mililitros Silicona liquida fría.</t>
  </si>
  <si>
    <t>Sobres</t>
  </si>
  <si>
    <t>Sobre de felpa para CD de 12 cm, con doble bolsillo, Caja x 100 Unds</t>
  </si>
  <si>
    <t xml:space="preserve">Sobres </t>
  </si>
  <si>
    <t>Sobre de manila carta de 75 g, medidas aproximadas 22,5 x 29 cms. Tipo solapa universal, paquete x 100 Unds</t>
  </si>
  <si>
    <t>Tablas Planillera</t>
  </si>
  <si>
    <t>Tabla Planillera de plástico Oficio Tamaño: 35 cm alto x 23 cm largo - tamaño oficio Clip: 8 cm alto x 20 cm largo Tabla de plástico con bordes redondos.</t>
  </si>
  <si>
    <t>Tablero Magnético</t>
  </si>
  <si>
    <t>Tablero Magnético 45x60 cm Aluminio- color  Blanco, Plateado - con marco Superficie del tablero de acero laqueado Notas magnéticas pueden ser pegadas a el tablero con imanes Superficie de tablero para escritura y borrado en seco, adecuado para escribir con marcadores borrables Marco de aluminio con tapas extremas plásticas de color gris claro Bandeja para marcadores (30 cm) con tapas de extremos, para guardar una variedad de marcadores para tablero Puede ser montado tanto horizontal como verticalmente Montura de pared esquinera oculta</t>
  </si>
  <si>
    <t>Tableros</t>
  </si>
  <si>
    <t>Tablero Corcho 140X 100CM</t>
  </si>
  <si>
    <t xml:space="preserve">Tableros </t>
  </si>
  <si>
    <t>Tablero Acrílico Blanco Borrable 120 X 80cm + Porta borrador,
• Fórmica blanca.
• Con cuadrícula tenue para facilitar la escritura.
• Incluye borrador y repisa porta marcadores.
• Tamaño 120 cm x 80 cm aprox. Con accesorios para colgar o empotrar en pared.</t>
  </si>
  <si>
    <t>Tablero Cartelera en corcho, tamaño 60 x 80 cm, marco en madera, superficie grano fino productos que protege el medio ambiente, de fácil colgado en la pared.</t>
  </si>
  <si>
    <t>Tajalápiz Metal, con cuchilla de acero inoxidable 1 orificio para minas de 2mm</t>
  </si>
  <si>
    <t>Temperas</t>
  </si>
  <si>
    <t xml:space="preserve">Tempera (vinilo), en frasco de 80 c.c c/u, empaque x 6 Unds, colores primarios Blanco, negros, amarillos, azul, rojo y verde. </t>
  </si>
  <si>
    <t>Tijera de acero inoxidable mango en plástico y fibra de vidrio Entre 17 - 21 cms de largo</t>
  </si>
  <si>
    <t>Tijeras Zigzag</t>
  </si>
  <si>
    <t>Corte decorativo en forma de zig-zag, Acero inoxidable, resistente al óxido y al desgaste. Plástico ergonómico, preferiblemente con revestimiento antideslizante y diseño ambidiestro (para zurdos y diestros). ntre 14 cm y 18 cm de largo (tamaño escolar o estándar). punta rendondeada</t>
  </si>
  <si>
    <t>Tinta Para Sello</t>
  </si>
  <si>
    <t>Tinta para Sellos, 28 cc, color negro, Alta definición, tinta acuosa libre de aceites. Envase plástico de alta resistencia. Frasco dispensador flexible. (28cc). Secado rápido de 25 Segundos</t>
  </si>
  <si>
    <t>Vinilos</t>
  </si>
  <si>
    <t>Vinilo Grande Caja X 10 Unidades Colores Surtidos
- Elemento: Vinilos x 10 Unidades
- Cantidad: 150 gr . C/u
- Colores Disponibles: amarillo, naranja, rosa, verde, verde limón, rojo, blanco, negro, azul oscuro, cafe, morado</t>
  </si>
  <si>
    <t>Carpetas Para Archivo</t>
  </si>
  <si>
    <t>Carpeta yute de 600 gramos, Kraft, Refuerzo en tela coleta, Tapa exterior plastificada, Con aleta vertical, Acabados perfectos, dos tapa</t>
  </si>
  <si>
    <t>Caja Referencia X200, con rotulo externo para su identificación. cartón corrugado de pared sencilla con recubrimiento interno especificaciones técnicas Resistencia a la compresión vertical.
El cartón corrugado debe tener una resistencia a la compresión vertical (RCV) de 790 ó 930 kgf/m, determinada según (NTC973:1997 o NTC 4183:1997 o NTC 5272:2004)</t>
  </si>
  <si>
    <t>Mayor valor a asumir después de ajuste</t>
  </si>
  <si>
    <r>
      <t>Material de Bolsa: Para las Micro-Campañas se contará con una bolsa de elementos los cuales se encuentran contemplados en las hojas denominadas "Bolsa ferreteria" y "Bolsa papeleria". VER ANEXO TECNICO. Esta bolsa tiene un rubro de ($23.450.000)</t>
    </r>
    <r>
      <rPr>
        <b/>
        <sz val="10"/>
        <color theme="1"/>
        <rFont val="Garamond"/>
        <family val="1"/>
      </rPr>
      <t xml:space="preserve">
Item no ofertable </t>
    </r>
  </si>
  <si>
    <t xml:space="preserve">ESTE ITEM COMPRENDE EL VALOR DE  BOLSA PARA LAS MICROCAMPAÑAS,  ES UN VALOR INMODIFICABLE E INOFERTABLE, ESTE VALOR UNITARIAMENTE CORRESPONDE A $23.450.000 PESOS. ESTE VALOR COMPRENDE TODOS LOS GASTOS DIRECTOS E INDIRECTOS, TALES COMO LA ADMINISTRACION DEL RECURSO, IMPUESTOS, TASAS Y RETRIBUCIONES A QUE HAYA LUGAR Y PUEDAN LLEGAR A GENERARSE DE ACUERDO A LA NORMATIVIDAD FISCAL VIGENTE. LA PRESENTE BOLSA SE DEBE COMPONER DE LOS ITEMS QUE SE ENCUENTRAN EN LAS PESTAÑAS DENOMINADAS "BOLSA PAPELERIA" y "BOLSA FERRETERIA" DEL PRESETE ESTUDIO DE MERCADO, LOS CUALES SERAN ESTABLECIDOS A MONTO AGOTABLE, TENIENDO EN CUENTA QUE PARA DETERMINAR EL NUMERO DE UNIDADES POR CADA UNO DEBE CONTEMPLAR EL DIAGNOSTICO DURANTE LA EJECUCIÓN. </t>
  </si>
  <si>
    <r>
      <t>Material de impresiones:  se contará con una bolsa de elementos los cuales se encuentran contemplados en la hoja denominada "Bolsa papeleria". VER ANEXO TECNICO. Esta bolsa tiene un rubro de ($20.100.000)</t>
    </r>
    <r>
      <rPr>
        <b/>
        <sz val="10"/>
        <color theme="1"/>
        <rFont val="Garamond"/>
        <family val="1"/>
      </rPr>
      <t xml:space="preserve">
Item no ofertable </t>
    </r>
  </si>
  <si>
    <t xml:space="preserve">ESTE ITEM COMPRENDE EL VALOR DE  BOLSA DE IMPRESIONES,  ES UN VALOR INMODIFICABLE E INOFERTABLE, ESTE VALOR UNITARIAMENTE CORRESPONDE A $20.100.000 PESOS. ESTE VALOR COMPRENDE TODOS LOS GASTOS DIRECTOS E INDIRECTOS, TALES COMO LA ADMINISTRACION DEL RECURSO, IMPUESTOS, TASAS Y RETRIBUCIONES A QUE HAYA LUGAR Y PUEDAN LLEGAR A GENERARSE DE ACUERDO A LA NORMATIVIDAD FISCAL VIGENTE. LA PRESENTE BOLSA SE DEBE COMPONER DE LOS ITEMS QUE SE ENCUENTRAN EN LA PESTAÑA DENOMINADA "BOLSA PAPELERIA" DEL PRESETE ESTUDIO DE MERCADO, LOS CUALES SERAN ESTABLECIDOS A MONTO AGOTABLE, TENIENDO EN CUENTA QUE PARA DETERMINAR EL NUMERO DE UNIDADES POR CADA UNO DEBE CONTEMPLAR EL DIAGNOSTICO DURANTE LA EJECUCIÓN. </t>
  </si>
  <si>
    <r>
      <t xml:space="preserve">Bolsa de insumos y/o elementos pedagógicos que se requieran para la realización de los encuentros, $600.000 por grupo. El valor total de la bolsa es de $12.060.000. los cuales se encuentran contemplados en las pestañas denominadas "BOLSA CULTURAL" y "BOLSA PAPELERIA". VER ANEXO TECNICO
</t>
    </r>
    <r>
      <rPr>
        <b/>
        <sz val="10"/>
        <color theme="1"/>
        <rFont val="Garamond"/>
        <family val="1"/>
      </rPr>
      <t>Item no ofertable</t>
    </r>
  </si>
  <si>
    <t xml:space="preserve">ESTE ITEM COMPRENDE EL VALOR DE  BOLSA  DE INSUMOS Y/O ELEMENTOS PEDAGOGICOS,  ES UN VALOR INMODIFICABLE E INOFERTABLE, ESTE VALOR UNITARIAMENTE CORRESPONDE A $12.060.000 PESOS. ESTE VALOR COMPRENDE TODOS LOS GASTOS DIRECTOS E INDIRECTOS, TALES COMO LA ADMINISTRACION DEL RECURSO, IMPUESTOS, TASAS Y RETRIBUCIONES A QUE HAYA LUGAR Y PUEDAN LLEGAR A GENERARSE DE ACUERDO A LA NORMATIVIDAD FISCAL VIGENTE. LA PRESENTE BOLSA SE DEBE COMPONER DE LOS ITEMS QUE SE ENCUENTRAN EN LAS PESTAÑAS DENOMINADAS "BOLSA PAPELERIA" y "BOLSA CULTURA" DEL PRESETE ESTUDIO DE MERCADO, LOS CUALES SERAN ESTABLECIDOS A MONTO AGOTABLE, TENIENDO EN CUENTA QUE PARA DETERMINAR EL NUMERO DE UNIDADES POR CADA UNO DEBE CONTEMPLAR EL DIAGNOSTICO DURANTE LA EJECUCIÓN. </t>
  </si>
  <si>
    <r>
      <t xml:space="preserve">Bolsa de insumos y/o elementos didacticos que se requieran para la realización de los encuentros. El valor total de la bolsa es de $14.070.000. los cuales se encuentran contemplados en las pestañas denominadas "BOLSA CULTURAL" y "BOLSA PAPELERIA". VER ANEXO TECNICO
</t>
    </r>
    <r>
      <rPr>
        <b/>
        <sz val="10"/>
        <color theme="1"/>
        <rFont val="Garamond"/>
        <family val="1"/>
      </rPr>
      <t>Item no ofertable</t>
    </r>
  </si>
  <si>
    <t xml:space="preserve">ESTE ITEM COMPRENDE EL VALOR DE  BOLSA  DE INSUMOS Y/O ELEMENTOS DIDACTICOS,  ES UN VALOR INMODIFICABLE E INOFERTABLE, ESTE VALOR UNITARIAMENTE CORRESPONDE A $14.070.000 PESOS. ESTE VALOR COMPRENDE TODOS LOS GASTOS DIRECTOS E INDIRECTOS, TALES COMO LA ADMINISTRACION DEL RECURSO, IMPUESTOS, TASAS Y RETRIBUCIONES A QUE HAYA LUGAR Y PUEDAN LLEGAR A GENERARSE DE ACUERDO A LA NORMATIVIDAD FISCAL VIGENTE. LA PRESENTE BOLSA SE DEBE COMPONER DE LOS ITEMS QUE SE ENCUENTRAN EN LAS PESTAÑAS DENOMINADAS "BOLSA PAPELERIA" y "BOLSA CULTURA" DEL PRESETE ESTUDIO DE MERCADO, LOS CUALES SERAN ESTABLECIDOS A MONTO AGOTABLE, TENIENDO EN CUENTA QUE PARA DETERMINAR EL NUMERO DE UNIDADES POR CADA UNO DEBE CONTEMPLAR EL DIAGNOSTICO DURANTE LA EJECUCIÓN. </t>
  </si>
  <si>
    <t xml:space="preserve">ESTE ITEM COMPRENDE EL VALOR DE  BOLSA  DE INSUMOS Y/O ELEMENTOS DIDACTICOS,  ES UN VALOR INMODIFICABLE E INOFERTABLE, ESTE VALOR UNITARIAMENTE CORRESPONDE A $13.400.000 PESOS. ESTE VALOR COMPRENDE TODOS LOS GASTOS DIRECTOS E INDIRECTOS, TALES COMO LA ADMINISTRACION DEL RECURSO, IMPUESTOS, TASAS Y RETRIBUCIONES A QUE HAYA LUGAR Y PUEDAN LLEGAR A GENERARSE DE ACUERDO A LA NORMATIVIDAD FISCAL VIGENTE. LA PRESENTE BOLSA SE DEBE COMPONER DE LOS ITEMS QUE SE ENCUENTRAN EN LAS PESTAÑAS DENOMINADAS "BOLSA PAPELERIA" y "BOLSA CULTURA" DEL PRESETE ESTUDIO DE MERCADO, LOS CUALES SERAN ESTABLECIDOS A MONTO AGOTABLE, TENIENDO EN CUENTA QUE PARA DETERMINAR EL NUMERO DE UNIDADES POR CADA UNO DEBE CONTEMPLAR EL DIAGNOSTICO DURANTE LA EJECUCIÓN. </t>
  </si>
  <si>
    <t xml:space="preserve">Canchas de mini  tejo </t>
  </si>
  <si>
    <t>Compra juego de minitejo Pareja de canchas tipo maleta para mini tejo con plastilina, con base metálica de 50 cm de frente x 55 cm de fondo y 70 cm de alto incluyendo 6 tejos metálicos en acero y paquete de mechas.</t>
  </si>
  <si>
    <t>UNIDAD</t>
  </si>
  <si>
    <t>SE TOMA EL PROMEDIO COMO MEDIDA DE TENDENCIA CENTRAL. VALORES TOMADOS DE LA CANASTA DE COSTOS 2025.</t>
  </si>
  <si>
    <t xml:space="preserve">Bolirrana </t>
  </si>
  <si>
    <t xml:space="preserve">Juego tradicional que incluye una mesa de madera con figuras de ranas de metal y fichas para lanzar. Dimensiones estándar  </t>
  </si>
  <si>
    <t>PARA DETERMINAR EL VALOR SE TOMAN COTIZACIONES OBTENIDAS MEDIANTE GRANDES SUPERFICIES, MAS EL % PROMEDIO DE CARGA TRIBUTARIA Y ADM. - SE TOMA LA MEDIANA TENIENDO EN CUENTA LA DISPERCIOS DE PRECIOS.</t>
  </si>
  <si>
    <t>CUCUNUBA</t>
  </si>
  <si>
    <t>Cucunuba, con 4 balines o canicas de cristal de máximo 1” de diámetro. Con tablero marcador de puntuación.</t>
  </si>
  <si>
    <t>TROMPO</t>
  </si>
  <si>
    <t>Trompo en madera con medidas de ancho 10 cm y alto 8 cm punta de acero</t>
  </si>
  <si>
    <t>Cancha de Banquitas
Por 2 Unidades</t>
  </si>
  <si>
    <t>Juego de arcos de banquitas metálicas x 2 und Elaboradas en tubo redondo de 7/8 calibre 18 Terminación en pintura electrostática Malla en polipropileno Medidas: arco 85 cms, ancho 42 cms y alto 77 cms</t>
  </si>
  <si>
    <t>Par</t>
  </si>
  <si>
    <t>JUEGO DE MESA AJEDREZ</t>
  </si>
  <si>
    <t>Material del tablero: Madera, plástico o material compuesto- Dimensiones del tablero: 40 x 40 cm, casillas de 5 x 5 cm- Material de las piezas: Madera, plástico o resina- Altura de las piezas: Rey ~9 cm, Reina ~8 cm, Torre, alfil y caballo ~7 cm, Peones ~6 cm- Características: Tablero con colores contrastantes, piezas estables</t>
  </si>
  <si>
    <t>SE TOMA LA MEDIANA COMO MEDIDA DE TENDENCIA CENTRAL PARA EL CALCULO. VALORES TOMADOS DE LA CANASTA DE COSTOS 2025</t>
  </si>
  <si>
    <t>Juegos de mesa Parques</t>
  </si>
  <si>
    <t>Material: Madera, plástico- Dimensiones: 30 x 30 cm o 40 x 40 cm. Diseño: Casillas en forma de cruz con colores diferenciados (rojo, verde, azul, amarillo). Características: Casillas especiales (seguras, de salida, de meta.) Fichas Dimensiones: Aproximadamente 2.5 cm de diámetro.  Cantidad: 4 fichas por jugador (16 en total). Colores: Rojo, verde, azul, amarillo, dados Dimensiones: 1.5 x 1.5 x 1.5 cm (tamaño estándar)- Características: Dados con números del 1 al 6</t>
  </si>
  <si>
    <t>GRUPO EMPRESARIAL DE CONSULTORES E INTERVENTORES 
NIT: 901.548.063</t>
  </si>
  <si>
    <t>ONNIX PRODUCCIONES SAS 
NIT  901071739-6</t>
  </si>
  <si>
    <t>YMCA BOGOTA
NIT: 860.018.861-1</t>
  </si>
  <si>
    <t>CEDEINCO 
NIT: 830.123.987</t>
  </si>
  <si>
    <t>FUNDACION DE GESTION Y PROCESOS CULTURAL 
NIT: 900.456.669</t>
  </si>
  <si>
    <t xml:space="preserve">
GLIO SAS
NIT: 901.412.163-9</t>
  </si>
  <si>
    <t xml:space="preserve">
ANPIMA
NIT: 901.479.644</t>
  </si>
  <si>
    <t xml:space="preserve">GM COMUNICACIONES Y ELECTRONICA SAS
 NIT 830067394-6 </t>
  </si>
  <si>
    <t>BILLARES EXCALIBUR
NIT:  900612569-1</t>
  </si>
  <si>
    <t>PROYECTAR LOGISTICA
NIT 1022960845-6</t>
  </si>
  <si>
    <t>FUNDACION SEMILLEROS DE VIDA
NIT 901719290-6</t>
  </si>
  <si>
    <t>OBSERVACIÓN</t>
  </si>
  <si>
    <t>VALOR UNITARIO IVA INCULIDO - 15% DE CARGA TRIBUTARIA Y ADM.</t>
  </si>
  <si>
    <t>VALOR UNITARIO TECHO (IVA INCLUIDO)</t>
  </si>
  <si>
    <r>
      <t xml:space="preserve">Elementos para implementación de las estaciones de juegos para juegos tradicionales, los cuales se encuentran contemplados en la hoja "BOLSA JUEGOS TRADICIONALES". VER ANEXO TECNICO
El valor de la bolsa es de $4.020.000
</t>
    </r>
    <r>
      <rPr>
        <b/>
        <sz val="10"/>
        <color theme="1"/>
        <rFont val="Garamond"/>
        <family val="1"/>
      </rPr>
      <t xml:space="preserve">Item no ofertable. </t>
    </r>
  </si>
  <si>
    <t>GOBAL</t>
  </si>
  <si>
    <t>Incentivo Presentaciones artísticos</t>
  </si>
  <si>
    <t xml:space="preserve">Incentivo Presentaciones artísticas </t>
  </si>
  <si>
    <t xml:space="preserve">ESTE ITEM COMPRENDE EL VALOR DE  BOLSA  DE INSUMOS Y O ELEMENTOS DIDACTICOS TRADICIONALES,  ES UN VALOR INMODIFICABLE E INOFERTABLE, ESTE VALOR UNITARIAMENTE CORRESPONDE A $5.360.000 PESOS. ESTE VALOR COMPRENDE TODOS LOS GASTOS DIRECTOS E INDIRECTOS, TALES COMO LA ADMINISTRACION DEL RECURSO, IMPUESTOS, TASAS Y RETRIBUCIONES A QUE HAYA LUGAR Y PUEDAN LLEGAR A GENERARSE DE ACUERDO A LA NORMATIVIDAD FISCAL VIGENTE. LA PRESENTE BOLSA SE DEBE COMPONER DE LOS ITEMS QUE SE ENCUENTRAN EN LAS PESTAÑAS DENOMINADAS "BOLSA PAPELERIA" y "BOLSA CULTURA" DEL PRESETE ESTUDIO DE MERCADO, LOS CUALES SERAN ESTABLECIDOS A MONTO AGOTABLE, TENIENDO EN CUENTA QUE PARA DETERMINAR EL NUMERO DE UNIDADES POR CADA UNO DEBE CONTEMPLAR EL DIAGNOSTICO DURANTE LA EJECUCIÓN. </t>
  </si>
  <si>
    <t xml:space="preserve">ESTE ITEM COMPRENDE EL VALOR DE  BOLSA  DE JUEGOS TRADICIONALES,  ES UN VALOR INMODIFICABLE E INOFERTABLE, ESTE VALOR UNITARIAMENTE CORRESPONDE A $4.020.000 PESOS. ESTE VALOR COMPRENDE TODOS LOS GASTOS DIRECTOS E INDIRECTOS, TALES COMO LA ADMINISTRACION DEL RECURSO, IMPUESTOS, TASAS Y RETRIBUCIONES A QUE HAYA LUGAR Y PUEDAN LLEGAR A GENERARSE DE ACUERDO A LA NORMATIVIDAD FISCAL VIGENTE. LA PRESENTE BOLSA SE DEBE COMPONER DE LOS ITEMS QUE SE ENCUENTRAN EN LA PESTAÑA DENOMINADA "BOLSA JUEGOS TRADICIONALES" DEL PRESETE ESTUDIO DE MERCADO, LOS CUALES SERAN ESTABLECIDOS A MONTO AGOTABLE, TENIENDO EN CUENTA QUE PARA DETERMINAR EL NUMERO DE UNIDADES POR CADA UNO DEBE CONTEMPLAR EL DIAGNOSTICO DURANTE LA EJECUCIÓN. </t>
  </si>
  <si>
    <t>GLOBAL</t>
  </si>
  <si>
    <r>
      <t xml:space="preserve">Tarjeta y/o recarga de tarjeta tu llave o transmipass, para de mitigar la deserción.  
Se realizará tres recargas de $100.000. Para un total de $300.000 netos. La primera recarga se realizará a las/los participantes que completen el 30% del proceso de formación, la segunda recarga se realizará a las/los participantes que completen el 60% proceso de formación y la tercera y última recarga a cada participante que culmine el proceso de formación y cumpla con los requisitos académicos requeridos.
</t>
    </r>
    <r>
      <rPr>
        <b/>
        <sz val="10"/>
        <color theme="1"/>
        <rFont val="Garamond"/>
        <family val="1"/>
      </rPr>
      <t>Ítem no ofertable.
El valor del bono que se entregará debe corresponder al valor establecido, toda vez que en el valor techo establecido en el estudio de mercado se reconoce impuestos tasas y contribuciones legales vigentes.</t>
    </r>
  </si>
  <si>
    <t>Valor base unitario</t>
  </si>
  <si>
    <t>valor base total</t>
  </si>
  <si>
    <t>carga tributaria 26%</t>
  </si>
  <si>
    <t>ESTE ITEM COMPRENDE BONO DE TRANSPORTE, ES UN VALOR INMODIFICABLE E INOFERTABLE, ESTE VALOR UNITARIAMENTE CORRESPONDE A $378.000 PESOS, DE LOS CUALES EL  26% CORRESPONDE A LA CARGA TRIBUTARIA QUE SE GENERA PRODUCTO DE LA PRESTACION DEL SERVICIO Y $300.000 DEBEN SER ETREGADOS A LAS BENEFICIARIAS EN SU TOTALIDAD DE ACUERDO A LO ESTABLECIDO EN EL ANEXO TECNICO. EL VALOR TECHO ESTIMADO, COMPRENDE TODOS LOS GASTOS DIRECTOS E INDIRECTOS, TALES COMO, IMPUESTOS, TASAS Y RETRIBUCIONES A QUE HAYA LUGAR Y PUEDAN LLEGAR A GENERARSE DE ACUERDO A LA NORMATIVIDAD FISCAL VIGENTE.
VALOR BASE PARA IMPUESTOS ADM. $300.000</t>
  </si>
  <si>
    <t>ESTE ITEM COMPRENDE BONO DE TARJETA SODEXO, ES UN VALOR INMODIFICABLE E INOFERTABLE, ESTE VALOR UNITARIAMENTE CORRESPONDE A $756.000 PESOS, DE LOS CUALES EL  26% CORRESPONDE A LA CARGA TRIBUTARIA QUE SE GENERA PRODUCTO DE LA PRESTACION DEL SERVICIO Y $600.000 DEBEN SER ETREGADOS A LAS BENEFICIARIAS EN SU TOTALIDAD DE ACUERDO A LO ESTABLECIDO EN EL ANEXO TECNICO. EL VALOR TECHO ESTIMADO, COMPRENDE TODOS LOS GASTOS DIRECTOS E INDIRECTOS, TALES COMO, IMPUESTOS, TASAS Y RETRIBUCIONES A QUE HAYA LUGAR Y PUEDAN LLEGAR A GENERARSE DE ACUERDO A LA NORMATIVIDAD FISCAL VIGENTE.
VALOR BASE PARA IMPUESTOS ADM. $600.000</t>
  </si>
  <si>
    <t>ESTE ITEM COMPRENDE BONO DE MOVILIZACION, ES UN VALOR INMODIFICABLE E INOFERTABLE, ESTE VALOR UNITARIAMENTE CORRESPONDE A $3.780.000 PESOS, DE LOS CUALES EL  26% CORRESPONDE A LA CARGA TRIBUTARIA QUE SE GENERA PRODUCTO DE LA PRESTACION DEL SERVICIO Y $3.000.000 DEBEN SER ETREGADOS A LAS BENEFICIARIAS EN SU TOTALIDAD DE ACUERDO A LO ESTABLECIDO EN EL ANEXO TECNICO. EL VALOR TECHO ESTIMADO, COMPRENDE TODOS LOS GASTOS DIRECTOS E INDIRECTOS, TALES COMO, IMPUESTOS, TASAS Y RETRIBUCIONES A QUE HAYA LUGAR Y PUEDAN LLEGAR A GENERARSE DE ACUERDO A LA NORMATIVIDAD FISCAL VIGENTE.
VALOR BASE PARA IMPUESTOS ADM. $3.000.000</t>
  </si>
  <si>
    <t>ESTE ITEM COMPRENDE BONO DE MOVILIZACION, ES UN VALOR INMODIFICABLE E INOFERTABLE, ESTE VALOR UNITARIAMENTE CORRESPONDE A $2.520.000 PESOS, DE LOS CUALES EL  26% CORRESPONDE A LA CARGA TRIBUTARIA QUE SE GENERA PRODUCTO DE LA PRESTACION DEL SERVICIO Y $2.000.000 DEBEN SER ETREGADOS A LAS BENEFICIARIAS EN SU TOTALIDAD DE ACUERDO A LO ESTABLECIDO EN EL ANEXO TECNICO. EL VALOR TECHO ESTIMADO, COMPRENDE TODOS LOS GASTOS DIRECTOS E INDIRECTOS, TALES COMO, IMPUESTOS, TASAS Y RETRIBUCIONES A QUE HAYA LUGAR Y PUEDAN LLEGAR A GENERARSE DE ACUERDO A LA NORMATIVIDAD FISCAL VIGENTE.
VALOR BASE PARA IMPUESTOS ADM. $2.000.000</t>
  </si>
  <si>
    <t>ESTE ITEM COMPRENDE BONO DE MOVILIZACION, ES UN VALOR INMODIFICABLE E INOFERTABLE, ESTE VALOR UNITARIAMENTE CORRESPONDE A $1.890.000 PESOS, DE LOS CUALES EL  26% CORRESPONDE A LA CARGA TRIBUTARIA QUE SE GENERA PRODUCTO DE LA PRESTACION DEL SERVICIO Y $1.500.000 DEBEN SER ETREGADOS A LAS BENEFICIARIAS EN SU TOTALIDAD DE ACUERDO A LO ESTABLECIDO EN EL ANEXO TECNICO. EL VALOR TECHO ESTIMADO, COMPRENDE TODOS LOS GASTOS DIRECTOS E INDIRECTOS, TALES COMO, IMPUESTOS, TASAS Y RETRIBUCIONES A QUE HAYA LUGAR Y PUEDAN LLEGAR A GENERARSE DE ACUERDO A LA NORMATIVIDAD FISCAL VIGENTE.
VALOR BASE PARA IMPUESTOS ADM. $1.500.000</t>
  </si>
  <si>
    <t>ESTE ITEM COMPRENDE BONO DE MOVILIZACION, ES UN VALOR INMODIFICABLE E INOFERTABLE, ESTE VALOR UNITARIAMENTE CORRESPONDE A $1.260.000 PESOS, DE LOS CUALES EL  26% CORRESPONDE A LA CARGA TRIBUTARIA QUE SE GENERA PRODUCTO DE LA PRESTACION DEL SERVICIO Y $1.000.000 DEBEN SER ETREGADOS A LAS BENEFICIARIAS EN SU TOTALIDAD DE ACUERDO A LO ESTABLECIDO EN EL ANEXO TECNICO. EL VALOR TECHO ESTIMADO, COMPRENDE TODOS LOS GASTOS DIRECTOS E INDIRECTOS, TALES COMO, IMPUESTOS, TASAS Y RETRIBUCIONES A QUE HAYA LUGAR Y PUEDAN LLEGAR A GENERARSE DE ACUERDO A LA NORMATIVIDAD FISCAL VIGENTE.
VALOR BASE PARA IMPUESTOS ADM. $1.000.000</t>
  </si>
  <si>
    <t>ESTE ITEM COMPRENDE BONO DE MOVILIZACION, ES UN VALOR INMODIFICABLE E INOFERTABLE, ESTE VALOR UNITARIAMENTE CORRESPONDE A $1.008.000 PESOS, DE LOS CUALES EL  26% CORRESPONDE A LA CARGA TRIBUTARIA QUE SE GENERA PRODUCTO DE LA PRESTACION DEL SERVICIO Y $800.000 DEBEN SER ETREGADOS A LAS BENEFICIARIAS EN SU TOTALIDAD DE ACUERDO A LO ESTABLECIDO EN EL ANEXO TECNICO. EL VALOR TECHO ESTIMADO, COMPRENDE TODOS LOS GASTOS DIRECTOS E INDIRECTOS, TALES COMO, IMPUESTOS, TASAS Y RETRIBUCIONES A QUE HAYA LUGAR Y PUEDAN LLEGAR A GENERARSE DE ACUERDO A LA NORMATIVIDAD FISCAL VIGENTE.
VALOR BASE PARA IMPUESTOS ADM. $800.000</t>
  </si>
  <si>
    <t>Bono redimible entrada a cine (Incluye boleta ingreso película 2d o 3d, combo palomitas medianas + gaseosa + perro).  Bono por valor de $74627 por persona</t>
  </si>
  <si>
    <t>ESTE ITEM COMPRENDE BONO DE CINE, ES UN VALOR INMODIFICABLE E INOFERTABLE, ESTE VALOR UNITARIAMENTE CORRESPONDE A $94.030 PESOS, DE LOS CUALES EL  26% CORRESPONDE A LA CARGA TRIBUTARIA QUE SE GENERA PRODUCTO DE LA PRESTACION DEL SERVICIO Y $74.627 DEBEN SER ETREGADOS A LAS BENEFICIARIAS EN SU TOTALIDAD DE ACUERDO A LO ESTABLECIDO EN EL ANEXO TECNICO. EL VALOR TECHO ESTIMADO, COMPRENDE TODOS LOS GASTOS DIRECTOS E INDIRECTOS, TALES COMO, IMPUESTOS, TASAS Y RETRIBUCIONES A QUE HAYA LUGAR Y PUEDAN LLEGAR A GENERARSE DE ACUERDO A LA NORMATIVIDAD FISCAL VIGENTE.
VALOR BASE PARA IMPUESTOS ADM. $74.627</t>
  </si>
  <si>
    <t>% Administracion de recurso</t>
  </si>
  <si>
    <t xml:space="preserve">ESTE ITEM COMPRENDE LOS GASTOS DE ADMINISTRACION DEL RECURSO SOBRE LOS ITEMS NO OFERTABLES E INMODIFICABLES QUE GENEREN ADMINISTRACION DEL RECURSO, ES DECIR ITEMS NO CONSUMIBLES ANTES DE IMPUESTOS. </t>
  </si>
  <si>
    <t>ESTE ITEM COMPRENDE BONO PARQUE DE DIVERSION, ES UN VALOR INMODIFICABLE E INOFERTABLE, ESTE VALOR UNITARIAMENTE CORRESPONDE A $226.800 PESOS, DE LOS CUALES EL  26% CORRESPONDE A LA CARGA TRIBUTARIA QUE SE GENERA PRODUCTO DE LA PRESTACION DEL SERVICIO Y $180.000 DEBEN SER ETREGADOS A LAS BENEFICIARIAS EN SU TOTALIDAD DE ACUERDO A LO ESTABLECIDO EN EL ANEXO TECNICO. EL VALOR TECHO ESTIMADO, COMPRENDE TODOS LOS GASTOS DIRECTOS E INDIRECTOS, TALES COMO, IMPUESTOS, TASAS Y RETRIBUCIONES A QUE HAYA LUGAR Y PUEDAN LLEGAR A GENERARSE DE ACUERDO A LA NORMATIVIDAD FISCAL VIGENTE.
VALOR BASE PARA IMPUESTOS ADM. $180.000</t>
  </si>
  <si>
    <t>ESTE ITEM COMPRENDE BONO CANASTA FAMILIAR, ES UN VALOR INMODIFICABLE E INOFERTABLE, ESTE VALOR UNITARIAMENTE CORRESPONDE A $630.000 PESOS, DE LOS CUALES EL  26% CORRESPONDE A LA CARGA TRIBUTARIA QUE SE GENERA PRODUCTO DE LA PRESTACION DEL SERVICIO Y $500.000 DEBEN SER ETREGADOS A LAS BENEFICIARIAS EN SU TOTALIDAD DE ACUERDO A LO ESTABLECIDO EN EL ANEXO TECNICO. EL VALOR TECHO ESTIMADO, COMPRENDE TODOS LOS GASTOS DIRECTOS E INDIRECTOS, TALES COMO, IMPUESTOS, TASAS Y RETRIBUCIONES A QUE HAYA LUGAR Y PUEDAN LLEGAR A GENERARSE DE ACUERDO A LA NORMATIVIDAD FISCAL VIGENTE.
VALOR BASE PARA IMPUESTOS ADM. $500.000</t>
  </si>
  <si>
    <t>ESTE ITEM COMPRENDE BONO CANASTA FAMILIAR, ES UN VALOR INMODIFICABLE E INOFERTABLE, ESTE VALOR UNITARIAMENTE CORRESPONDE A $378.000 PESOS, DE LOS CUALES EL  26% CORRESPONDE A LA CARGA TRIBUTARIA QUE SE GENERA PRODUCTO DE LA PRESTACION DEL SERVICIO Y $300.000 DEBEN SER ETREGADOS A LAS BENEFICIARIAS EN SU TOTALIDAD DE ACUERDO A LO ESTABLECIDO EN EL ANEXO TECNICO. EL VALOR TECHO ESTIMADO, COMPRENDE TODOS LOS GASTOS DIRECTOS E INDIRECTOS, TALES COMO, IMPUESTOS, TASAS Y RETRIBUCIONES A QUE HAYA LUGAR Y PUEDAN LLEGAR A GENERARSE DE ACUERDO A LA NORMATIVIDAD FISCAL VIGENTE.
VALOR BASE PARA IMPUESTOS ADM. $300.000</t>
  </si>
  <si>
    <t>ESTE ITEM COMPRENDE BONO CANASTA FAMILIAR, ES UN VALOR INMODIFICABLE E INOFERTABLE, ESTE VALOR UNITARIAMENTE CORRESPONDE A $252.000 PESOS, DE LOS CUALES EL  26% CORRESPONDE A LA CARGA TRIBUTARIA QUE SE GENERA PRODUCTO DE LA PRESTACION DEL SERVICIO Y $200.000 DEBEN SER ETREGADOS A LAS BENEFICIARIAS EN SU TOTALIDAD DE ACUERDO A LO ESTABLECIDO EN EL ANEXO TECNICO. EL VALOR TECHO ESTIMADO, COMPRENDE TODOS LOS GASTOS DIRECTOS E INDIRECTOS, TALES COMO, IMPUESTOS, TASAS Y RETRIBUCIONES A QUE HAYA LUGAR Y PUEDAN LLEGAR A GENERARSE DE ACUERDO A LA NORMATIVIDAD FISCAL VIGENTE.
VALOR BASE PARA IMPUESTOS ADM. $200.000</t>
  </si>
  <si>
    <t>ESTE ITEM COMPRENDE BONO CANASTA FAMILIAR, ES UN VALOR INMODIFICABLE E INOFERTABLE, ESTE VALOR UNITARIAMENTE CORRESPONDE A $126.000 PESOS, DE LOS CUALES EL  26% CORRESPONDE A LA CARGA TRIBUTARIA QUE SE GENERA PRODUCTO DE LA PRESTACION DEL SERVICIO Y $100.000 DEBEN SER ETREGADOS A LAS BENEFICIARIAS EN SU TOTALIDAD DE ACUERDO A LO ESTABLECIDO EN EL ANEXO TECNICO. EL VALOR TECHO ESTIMADO, COMPRENDE TODOS LOS GASTOS DIRECTOS E INDIRECTOS, TALES COMO, IMPUESTOS, TASAS Y RETRIBUCIONES A QUE HAYA LUGAR Y PUEDAN LLEGAR A GENERARSE DE ACUERDO A LA NORMATIVIDAD FISCAL VIGENTE.
VALOR BASE PARA IMPUESTOS ADM. $100.000</t>
  </si>
  <si>
    <t>ESTE ITEM COMPRENDE INCENTIVO ARTISTAS, ES UN VALOR INMODIFICABLE E INOFERTABLE, ESTE VALOR UNITARIAMENTE CORRESPONDE A $4.788.000 PESOS, DE LOS CUALES EL  26% CORRESPONDE A LA CARGA TRIBUTARIA QUE SE GENERA PRODUCTO DE LA PRESTACION DEL SERVICIO Y $3.800.000 DEBEN SER ETREGADOS A LAS BENEFICIARIAS EN SU TOTALIDAD DE ACUERDO A LO ESTABLECIDO EN EL ANEXO TECNICO. EL VALOR TECHO ESTIMADO, COMPRENDE TODOS LOS GASTOS DIRECTOS E INDIRECTOS, TALES COMO, IMPUESTOS, TASAS Y RETRIBUCIONES A QUE HAYA LUGAR Y PUEDAN LLEGAR A GENERARSE DE ACUERDO A LA NORMATIVIDAD FISCAL VIGENTE.
VALOR BASE PARA IMPUESTOS ADM. $3.800.000</t>
  </si>
  <si>
    <t>ESTE ITEM COMPRENDE INCENTIVO ARTISTAS, ES UN VALOR INMODIFICABLE E INOFERTABLE, ESTE VALOR UNITARIAMENTE CORRESPONDE A $3.150.000 PESOS, DE LOS CUALES EL  26% CORRESPONDE A LA CARGA TRIBUTARIA QUE SE GENERA PRODUCTO DE LA PRESTACION DEL SERVICIO Y $2.500.000 DEBEN SER ETREGADOS A LAS BENEFICIARIAS EN SU TOTALIDAD DE ACUERDO A LO ESTABLECIDO EN EL ANEXO TECNICO. EL VALOR TECHO ESTIMADO, COMPRENDE TODOS LOS GASTOS DIRECTOS E INDIRECTOS, TALES COMO, IMPUESTOS, TASAS Y RETRIBUCIONES A QUE HAYA LUGAR Y PUEDAN LLEGAR A GENERARSE DE ACUERDO A LA NORMATIVIDAD FISCAL VIGENTE.
VALOR BASE PARA IMPUESTOS ADM. $2.500.000</t>
  </si>
  <si>
    <r>
      <t xml:space="preserve">Bono semana de la juventud canjeable o redimible por valor neto de $140.000. </t>
    </r>
    <r>
      <rPr>
        <b/>
        <sz val="10"/>
        <color theme="1"/>
        <rFont val="Garamond"/>
        <family val="1"/>
      </rPr>
      <t>Item no ofertable.</t>
    </r>
  </si>
  <si>
    <t>ESTE ITEM COMPRENDE BONO SEMANA DE LA JUVENTUD , ES UN VALOR INMODIFICABLE E INOFERTABLE, ESTE VALOR UNITARIAMENTE CORRESPONDE A $176.400 PESOS, DE LOS CUALES EL  26% CORRESPONDE A LA CARGA TRIBUTARIA QUE SE GENERA PRODUCTO DE LA PRESTACION DEL SERVICIO Y $140.000 DEBEN SER ETREGADOS A LAS BENEFICIARIAS EN SU TOTALIDAD DE ACUERDO A LO ESTABLECIDO EN EL ANEXO TECNICO. EL VALOR TECHO ESTIMADO, COMPRENDE TODOS LOS GASTOS DIRECTOS E INDIRECTOS, TALES COMO, IMPUESTOS, TASAS Y RETRIBUCIONES A QUE HAYA LUGAR Y PUEDAN LLEGAR A GENERARSE DE ACUERDO A LA NORMATIVIDAD FISCAL VIGENTE.
VALOR BASE PARA IMPUESTOS ADM. $140.000</t>
  </si>
  <si>
    <t xml:space="preserve">Bolsa de insumos y/o elementos didácticos que se requieran para la realización de las lúdicas, recreativas y vivenciales, para el desarrollo de la convivencia con jóvenes, de acuerdo con el plan metodológico.  El valor total de la bolsa es de $13.400.000. los cuales se encuentran contemplados en las pestañas denominadas "BOLSA CULTURAL" y "BOLSA PAPELERIA". VER ANEXO TECNICO
Item no ofertable
Item no ofertable. </t>
  </si>
  <si>
    <r>
      <t xml:space="preserve">Bolsa de insumos y/o elementos didácticos que se requieran para la realización de las lúdicas, recreativas y vivenciales, para el desarrollo de la Escuela formación de madres y padres de familia. El valor total de la bolsa es de $13.400.000. los cuales se encuentran contemplados en las pestañas denominadas "BOLSA CULTURAL" y "BOLSA PAPELERIA". VER ANEXO TECNICO
Item no ofertable
</t>
    </r>
    <r>
      <rPr>
        <b/>
        <sz val="10"/>
        <color theme="1"/>
        <rFont val="Garamond"/>
        <family val="1"/>
      </rPr>
      <t xml:space="preserve">Item no ofertable. </t>
    </r>
  </si>
  <si>
    <r>
      <t xml:space="preserve">Bolsa de insumos y/o elementos didácticos que se requieran para la realización de las lúdicas, recreativas y vivenciales, para el desarrollo la actividad, de acuerdo con el plan metodológico.
 El valor total de la bolsa es de $5.360.000. los cuales se encuentran contemplados en las pestañas denominadas "BOLSA CULTURAL" y "BOLSA PAPELERIA". VER ANEXO TECNICO
</t>
    </r>
    <r>
      <rPr>
        <b/>
        <sz val="10"/>
        <color theme="1"/>
        <rFont val="Garamond"/>
        <family val="1"/>
      </rPr>
      <t>Item no ofertable</t>
    </r>
  </si>
  <si>
    <r>
      <t xml:space="preserve">Se seleccionará 3 grupos artísticos constituidos por 3 personas cada uno para realizar 6 presentaciones artísticas. Para el proceso el contratista realizará una convocatoria para recibir propuestas musicales de artistas locales enfocadas en la prevención de violencias intrafamiliar, sexual y/o el buen trato. La acreditación de las propuestas se realizará mediante un brochure con información de la propuesta y un link donde se pueda ver la puesta en escena de la propuesta musical. Se recibirá un máximo de 18 propuestas para ser evaluadas en el comité técnico de seguimiento y se dará prioridad a los artistas emergentes. Los grupos seleccionados recibiran un reconocimiento economico por valor de $3.800.000 netos.
</t>
    </r>
    <r>
      <rPr>
        <b/>
        <sz val="10"/>
        <color theme="1"/>
        <rFont val="Garamond"/>
        <family val="1"/>
      </rPr>
      <t>Item no ofertable</t>
    </r>
  </si>
  <si>
    <t>Se seleccionará 3 grupos artísticos constituidos por 3 personas cada uno para realizar 6 presentaciones artísticas. Para el proceso el contratista realizará una convocatoria para recibir propuestas musicales de artistas locales enfocadas en la prevención de violencias intrafamiliar, sexual y/o el buen trato. La acreditación de las propuestas se realizará mediante un brochure con información de la propuesta y un link donde se pueda ver la puesta en escena de la propuesta musical. Se recibirá un máximo de 18 propuestas para ser evaluadas en el comité técnico de seguimiento y se dará prioridad a los artistas emergentes. Los grupos Seleccionados recibiran un reconocimiento economico por valor de $3.800.000</t>
  </si>
  <si>
    <t>Se seleccionará 3 grupos artísticos constituidos por 3 personas cada uno para realizar 6 presentaciones artísticas. Para el proceso el contratista realizará una convocatoria para recibir propuestas musicales de artistas locales enfocadas en la prevención de violencias intrafamiliar, sexual y/o el buen trato. La acreditación de las propuestas se realizará mediante un brochure con información de la propuesta y un link donde se pueda ver la puesta en escena de la propuesta musical. Se recibirá un máximo de 18 propuestas para ser evaluadas en el comité técnico de seguimiento y se dará prioridad a los artistas emergentes. Los grupos seleccionados recibiran un reconocimiento economico por valor de $3.800.000</t>
  </si>
  <si>
    <t>Dirigirse al anexo ténico</t>
  </si>
  <si>
    <t>Dirigirse al anexo técnico</t>
  </si>
  <si>
    <t>El porcentaje de administración (8%) se pagará sobre los bienes o servicios no ofertables e inmodificables que incurran en la administración del recurso, es decir ítems no consumibles que estén contemplados dentro del cuadro de ítems proyectados del FORMATO OFERTA ECONOMICA antes de impuestos, gravámenes y/o tasas de estos bienes o servicios, este porcentaje será calculado sobre los ítems 14, 16, 23, 78, 79, 80, 81, 82, 122 antes de impuestos, es decir el valor base para la determinación del porcentaje corresponde a $9.574.626,87 unitariamente y $201.538.805,97 total.</t>
  </si>
  <si>
    <t>% Administración de recurso</t>
  </si>
  <si>
    <t>ÍTEM</t>
  </si>
  <si>
    <t xml:space="preserve">ELEMENTO Y/O PRODUCTO </t>
  </si>
  <si>
    <t>FERRETERIA LUIS PENAGOS S.A.S. 
NIT: 830.037.039-8</t>
  </si>
  <si>
    <t>FICO FERRETERIA S.A.S.
NIT 900.922.409-1</t>
  </si>
  <si>
    <t>VAREPLAST - HERMELINDA VARELA CRISTANCHO
NIT: 20.368.675-4</t>
  </si>
  <si>
    <t>VALOR UNITARIO TECHO
IVA INCLUIDO)</t>
  </si>
  <si>
    <t>Observación</t>
  </si>
  <si>
    <t>AEROSOL PROFESIONAL</t>
  </si>
  <si>
    <t>Elementos Aerosoles profesionales: Colores Sólidos (Según diseño de mural). Pintura mate. baja presión. alta cubrición y secado rápido.
400 ml. Baja presión. Válvula hembra polivalente; Propelente: Butano / Propano / Mezcla; Tipo Ligante Alquídico modificado; Brillo 60º: 15-25% mate; Espesor de capa seca 15 micras/capa; Resistencia del pintado al calor: 100ºC</t>
  </si>
  <si>
    <t>BROCHA</t>
  </si>
  <si>
    <t>RODILLO</t>
  </si>
  <si>
    <t>Rodillos antigoteo para fachadas 9 ´´ o 12" mango plástico</t>
  </si>
  <si>
    <t>CANECA DE VINILO</t>
  </si>
  <si>
    <t>PLASTICO TRANSPARENTE CAL. 6 POLIETILENO</t>
  </si>
  <si>
    <t>Plastico Transparente Cal. 6 polietileno. X 4MT Xmetro</t>
  </si>
  <si>
    <t> </t>
  </si>
  <si>
    <t>DESTORNILLADOR</t>
  </si>
  <si>
    <t>Destornillador Estrella 200 mm #2</t>
  </si>
  <si>
    <t>MACHETE</t>
  </si>
  <si>
    <t>DECAMETRO</t>
  </si>
  <si>
    <t>SERRUCHO</t>
  </si>
  <si>
    <t>Serrucho Luctador 20 Pulgadas</t>
  </si>
  <si>
    <t>ALICATE</t>
  </si>
  <si>
    <t>Alicate universal para trabajos pesados cromado Dieléctrico. longitud 200 mm</t>
  </si>
  <si>
    <t>MANGUERA</t>
  </si>
  <si>
    <t>Manguera 1/2"X 100 m Jardín - Riego con todos sus acoples</t>
  </si>
  <si>
    <t>POSTES DE MADERA</t>
  </si>
  <si>
    <t xml:space="preserve">Postes 8X8 x 200 cm en madera plastica </t>
  </si>
  <si>
    <t>ALAMBRE DE PUAS</t>
  </si>
  <si>
    <t>Alambre de Puas calibre 16.5x 500 metros</t>
  </si>
  <si>
    <t>POLISOMBRA</t>
  </si>
  <si>
    <t>Tela Cerramiento - Polisombra Verde - Rollo 2 Mt X 100mt</t>
  </si>
  <si>
    <t>RASTRILLOS METALICOS</t>
  </si>
  <si>
    <t>Herramientas de mango largo. Herramienta manual. con mango largo en madera. Rastrillo curvo 16 dientes 1.20 metros con mango de madera</t>
  </si>
  <si>
    <t>AZADON</t>
  </si>
  <si>
    <t>Azadon ancho 192mm alto 288mm Longitud de cabo 950mm</t>
  </si>
  <si>
    <t>PALA DE JARDINERIA</t>
  </si>
  <si>
    <t>Pala de jardineria 6x15 ncho de la cabeza: 6" (15.2cm) Calibre de la cabeza: 16 Empaque: Atado Longitud de la cabeza: 15" (38.1cm)
Longitud del mango: 20" (50.8cm) Longitud total: 27" (68.5cm) Peso: 922 g Características: Acabado en pintura híbrida en polvo transparente</t>
  </si>
  <si>
    <t>BARRA</t>
  </si>
  <si>
    <t>Herramientas de mango largo 18 pulgadas Barra acerada. termina con un ángulo afilado</t>
  </si>
  <si>
    <t>GUADAÑA</t>
  </si>
  <si>
    <t>Guadaña cilindrada de 39 cc potencia. motor de 2 T refrigerado por aire. Potencia: 1.9-2.45 Kw. Peso: 7.9 kg</t>
  </si>
  <si>
    <t>PALADRAGA CON CABO</t>
  </si>
  <si>
    <t>Paladraga sencilla alto 130cm ancho 11cm con cabo</t>
  </si>
  <si>
    <t>CINTA DE SEÑALIZACIÓN PELIGRO</t>
  </si>
  <si>
    <t>Rollo de 500 metros. Plástico. 9.5cmx9.5cm.</t>
  </si>
  <si>
    <t>BANDEJA PARA PINTURA</t>
  </si>
  <si>
    <t>Bandeja para pintura 9"</t>
  </si>
  <si>
    <t>PUNTO ECOLOGICO</t>
  </si>
  <si>
    <t>Soporte para 3 recipientes – Largo 35 cmts. – Ancho 124 cmts.
– Alto 100 cmts Medidas de las canecas:
– Largo: 27 cms
– Ancho: 40 cms
– Alto: 54 cms
Capacidad: 35 Litros</t>
  </si>
  <si>
    <t>TABLA</t>
  </si>
  <si>
    <t>Triplex 6.5mm 1.22x2.44 Metros</t>
  </si>
  <si>
    <t>TALADRO</t>
  </si>
  <si>
    <t>Taladro inhalambrico . Volatje 24w. Con percutor.</t>
  </si>
  <si>
    <t>JUEGO DE BROCAS PARA MADERA</t>
  </si>
  <si>
    <t>Juego o Set Brocas para madera</t>
  </si>
  <si>
    <t>JUEGO DE BROCAS PARA CONCRETO</t>
  </si>
  <si>
    <t>Juego o Set Brocas para usarse en concreto. ladrillo y piedra.</t>
  </si>
  <si>
    <t>ESMERIL</t>
  </si>
  <si>
    <t>Esmeril inhalambrico de alta potencia.
- Potencia: 710 W
- Velocidad de giro en vacío: 12.000 rpm
- Diámetro de disco: 115 mm
- Rosca del husillo portamuela: M14
- Peso: 1.7 kg
- Interruptor: Interruptor bloqueable</t>
  </si>
  <si>
    <t>CINCEL</t>
  </si>
  <si>
    <t>Cincel Largo 12 Pulgadas Cuña 1/2 Pulgadas</t>
  </si>
  <si>
    <t>ALAMBRE ACERO</t>
  </si>
  <si>
    <t>Alambre Acero Electro Galvanizado Calibre 12 Por 25 Kilos</t>
  </si>
  <si>
    <t>ANTICORROSIVO BLANCO</t>
  </si>
  <si>
    <t>Anticorrosivo Blanco 1/4 gal</t>
  </si>
  <si>
    <t>Brocha 2"</t>
  </si>
  <si>
    <t>Brocha 3""</t>
  </si>
  <si>
    <t>Brocha 4"</t>
  </si>
  <si>
    <t>CEMENTO</t>
  </si>
  <si>
    <t>Cemento Gris 50Kl - (De Uso General Para Construcción)</t>
  </si>
  <si>
    <t>CINTA DE ENMASCARAR</t>
  </si>
  <si>
    <t>Cinta De Enmascarar 2Pulg X 40Mt. Presentación: Rollo De 2" X 40Mt</t>
  </si>
  <si>
    <t>Cinta De Enmascarar 4Pulg X 40Mt. Presentación: Rollo De 4" X 40Mt.</t>
  </si>
  <si>
    <t>CLAVO</t>
  </si>
  <si>
    <t>Clavo Acero 3" x 500 gr</t>
  </si>
  <si>
    <t>Clavos Y Puntillas De Hierro O Acero; Puntilla En Acero Lisa De 2" Con Cabeza Caja X Libra</t>
  </si>
  <si>
    <t>ESPATULA</t>
  </si>
  <si>
    <t>Espátula 2"</t>
  </si>
  <si>
    <t>Espátula 4"</t>
  </si>
  <si>
    <t>GRAPA</t>
  </si>
  <si>
    <t>Grapa Para Cerca 1"/4 . Fabricada En Acero Bajo Carbono Y Galvanizada</t>
  </si>
  <si>
    <t>IMPERMEABILIZANTE</t>
  </si>
  <si>
    <t>Impermeabilizante Acrilico Color Gris X Galon SIKAFILL POWER GRIS 2KG</t>
  </si>
  <si>
    <t>MARTILLO</t>
  </si>
  <si>
    <t>Martillo 16 Oz Mango Madera</t>
  </si>
  <si>
    <t>PUNTILLA</t>
  </si>
  <si>
    <t>Puntilla 3 Pulgada Construida En Acero. Con Cabeza Grafilada 3 Pulgada. Caja Libra</t>
  </si>
  <si>
    <t>PALA REDONDA</t>
  </si>
  <si>
    <t>Pala Redonda N°2 Con Cabo: Herramientas De Mango Largo. Punta Redonda.</t>
  </si>
  <si>
    <t>CARRETILLA</t>
  </si>
  <si>
    <t>Carretilla Grande P/Plastico R/Neumatica</t>
  </si>
  <si>
    <t>PICA</t>
  </si>
  <si>
    <t>Pica Para Construccion</t>
  </si>
  <si>
    <t>MALLA</t>
  </si>
  <si>
    <t>Mallas Finas De Alambre De Hierro O Acero; Cinta De Malla X 45 Metros</t>
  </si>
  <si>
    <t>THINNER</t>
  </si>
  <si>
    <t>Thinner En Presentación Plástico Por Galón</t>
  </si>
  <si>
    <t>CLAVOS</t>
  </si>
  <si>
    <t>Clavos Y Puntillas De Hierro O Acero; Puntilla De 1" ½ X 500 Gms</t>
  </si>
  <si>
    <t>ALAMBRE</t>
  </si>
  <si>
    <t>Alambre Calibre 18 Galvanizado En Acero X 1 Kilo</t>
  </si>
  <si>
    <t>PINTURA BASE</t>
  </si>
  <si>
    <t>Pintura Base Aceite ( Metal) Esmalte Para Exteriores Colores Varios -</t>
  </si>
  <si>
    <t>Galòn</t>
  </si>
  <si>
    <t>PINTURA EPÓXICA</t>
  </si>
  <si>
    <t>Pintura Epóxica Dos Componentes.- Galon</t>
  </si>
  <si>
    <t>BALDE NEGRO</t>
  </si>
  <si>
    <t>Balde Negro De Construcción</t>
  </si>
  <si>
    <t>Rodillo De Esponja Poliester De 230 Mm X 60 Mm De Alto. Todo Tipo De Pintura Resistente A Solventes</t>
  </si>
  <si>
    <t>TAPON</t>
  </si>
  <si>
    <t>Tapon 3" - Union Platino Pvc Clase 200 Presion</t>
  </si>
  <si>
    <t>CINTA DE SEÑALIZACION</t>
  </si>
  <si>
    <t>Cinta De Señalizacion Peligro No Pase X 100M</t>
  </si>
  <si>
    <t>Azadón</t>
  </si>
  <si>
    <t>BALDE</t>
  </si>
  <si>
    <t>Balde plástico de 8 litros</t>
  </si>
  <si>
    <t>BISAGRA</t>
  </si>
  <si>
    <t>Bisagra 95 Grados Recta 35mm 2und</t>
  </si>
  <si>
    <t>BOLSA</t>
  </si>
  <si>
    <t>Bolsas biodegradables para heces de mascotas paquete por 200 unidades</t>
  </si>
  <si>
    <t>BOQUILLA</t>
  </si>
  <si>
    <t>Boquilla Level One</t>
  </si>
  <si>
    <t>CANASTILLA</t>
  </si>
  <si>
    <t>Canastilla plástica</t>
  </si>
  <si>
    <t>CANDADO</t>
  </si>
  <si>
    <t>Candado encauchetado + cadena fixer 1metro</t>
  </si>
  <si>
    <t>CASAS PARA PERRO</t>
  </si>
  <si>
    <t>Casas para perros grandes: ancho 80 cm. fondo 70cm. alto 100 cm. material: madera y teja plastica</t>
  </si>
  <si>
    <t>CONOS PVC</t>
  </si>
  <si>
    <t>Conos de seguridad pequeño</t>
  </si>
  <si>
    <t>ESCOBAS</t>
  </si>
  <si>
    <t>Escobas para aseo</t>
  </si>
  <si>
    <t>Espátula de plástico profesional inoxidable de 4”</t>
  </si>
  <si>
    <t>EXTENSION ELECTRICA</t>
  </si>
  <si>
    <t>Extensión encauchetada 20 m</t>
  </si>
  <si>
    <t>GUANTES CARNAZA</t>
  </si>
  <si>
    <t>Par Guantes de seguridad en carnaza refuerzo Vaqueta. Protección Manos</t>
  </si>
  <si>
    <t>Machete de 1 kg. y dimensiones de 29 cm x 28 cm x 38 cm</t>
  </si>
  <si>
    <t>manguera para riego 15 metros 2 aclopes</t>
  </si>
  <si>
    <t>Martillo cabeza cónica cabo de madera 20" a 27"</t>
  </si>
  <si>
    <t>PALA</t>
  </si>
  <si>
    <t>Pala redonda con cabo</t>
  </si>
  <si>
    <t>PAPELERA</t>
  </si>
  <si>
    <t>Papelera plastica de 55 litros</t>
  </si>
  <si>
    <t>PEGANTE</t>
  </si>
  <si>
    <t>Pegante de madera 300 gr.</t>
  </si>
  <si>
    <t>SEGUETA</t>
  </si>
  <si>
    <t>segueta con marco</t>
  </si>
  <si>
    <t>NYLON</t>
  </si>
  <si>
    <t>Rollo Nylon Transparente 0.3 Mm X 100 Mts</t>
  </si>
  <si>
    <t>TIERRA</t>
  </si>
  <si>
    <t>Tierra orgánica x 4 kilos</t>
  </si>
  <si>
    <t>BOLSA PEPELERIA</t>
  </si>
  <si>
    <t>BOLSA CULTURA</t>
  </si>
  <si>
    <t>BOLSA JUEGOS TRADICIONALES</t>
  </si>
  <si>
    <t>El porcentaje de administración (8%) se pagará sobre los bienes o servicios no ofertables e inmodificables que incurran en la administración del recurso, es decir ítems no consumibles que estén contemplados dentro del cuadro de ítems proyectados del FORMATO OFERTA ECONOMICA antes de impuestos, gravámenes y/o tasas de estos bienes o servicios, este porcentaje será calculado sobre los ítems 13, 25, 26, 76, 77, 82, 83, 84, 85, 106,121,132,149 y 154 antes de impuestos, es decir el valor base para la determinación del porcentaje corresponde a $15.949.253,73 unitariamente y $150.110.447,76 total.</t>
  </si>
  <si>
    <r>
      <t xml:space="preserve">Tarjeta Sodexo o Bigpass Edenred o Pluxee por valor neto de $600.000 seiscientos mil pesos, para ser redimidos en establecimientos de comercio. 
</t>
    </r>
    <r>
      <rPr>
        <b/>
        <sz val="10"/>
        <color theme="1"/>
        <rFont val="Garamond"/>
        <family val="1"/>
      </rPr>
      <t xml:space="preserve">Ítem no ofertable.
</t>
    </r>
  </si>
  <si>
    <t>Compra de cabina de Sonido de  300 W A 500 W. 
Cabina activa tipo parlante de 300-500 W, alimentada por AC 115V/60Hz. Compatible con Bluetooth, tarjeta SD, USB, radio FM y salida auxiliar. Incluye micrófono alámbrico y opción para micrófono inalámbrico. Se puede instalar en base o trípode. Ideal para eventos pequeños y conferencias.</t>
  </si>
  <si>
    <t xml:space="preserve">Cachuchas deportivas: En material nylon,unicolor, que permiten la transpiración, con parte posterior ajustable al contorno de la cabeza, con ojales en la parte superior y logos institucionales bordados. </t>
  </si>
  <si>
    <t xml:space="preserve"> Alquiler de Un (1) Circuito cerrado de televisión y transmisión. 
• Cuatro (4) cámaras para streaming, fullHD/4k, grabación de video en formato .mov y/o AVCHD, codificador interno para transmisión vía streaming a cualquier destino por RTMP, interfaz USB para conexión de datos, mínimo 3 baterías de larga duración y su respectiva fuente ac
• Cuatro (4) trípodes profesionales con cabeza fluida, resistente al peso de las cámaras solicitadas, con contra peso y base rodable. 
• Computador con los programas correspondientes de producción de televisión y streaming, tarjeta gráfica y memoria mínima de una tera.   
• Monitor de video con visualización de 8 fuentes independientes mas PVW y PGM cada uno. 
• Servidor de video con software para codificación hasta 3 destinos vía RTMP, 2 canales de entrada y salida SDI, posibilidad de enviar y recibir señales de video vía NDI, 2 monitores de 21" vía HDMI y/o display port. 
• Mezclador con 8 entradas HDMI para Streaming 1080p. Tiene panel integrado y funciones de streaming avanzadas. Además de RTMP, se puede utilizar como cámara web por USB. Permite grabar individualmente cada entrada en MP4, junto con la salida de programa, a través de un USB-C. Genera un archivo de proyecto de DaVinci Resolve para su edición.
• Servidor de video con software para codificación hasta 3 destinos vía RTMP, 2 canales de entrada y salida SDI, posibilidad de enviar y recibir señales de video vía NDI, 2 monitores de 21" vía HDMI y/o display port
• Estructura portátil con pantalla verde para chroma key
• Todo el cableado y conectores inalámbricos que permita hacer la conexión de los equipos.
•  Dos (2) pantallas de monitoreo  de 42", con sus respectivos cables  desde master a tarima y bases.
• Incluye transporte, instalación y operarios necesarios. 
• Servicio: pruebas de transmisión y conectividad el día anterior al evento por dos (2) horas. Pruebas dos (2) horas antes el día del evento. Jornada del evento entre cuatro (4) y seis (6) horas. Servicio de ocho (8) horas</t>
  </si>
  <si>
    <t>Alquiler de un Circuito Streaming</t>
  </si>
  <si>
    <t>Compra de Cabina de sonido de 300 a 500 W</t>
  </si>
  <si>
    <t>Compra de cabina de sonido de 300 a 500 W</t>
  </si>
  <si>
    <t>Compra de: Mesas, marcos de serigrafía (bastidores) – con malla tensada (de nylon o poliéster), emulsión fotosensible , raseros o regletas –, luz uv o insoladora –, tinta para serigrafía – especializada para el tipo de superficie (tela, papel, etc.), secadora o pistola de calor –, pulverizador o manguera de agua a presión.</t>
  </si>
  <si>
    <t>Alquiler de Sonido profesional de 6000 a 8000 watts (desde 251 hasta 500 personas) incluye 2 satelites de sistemas line array tipo columna,  3 cabinas 1000 watts clase-D (650 W + 350 W, biamplificación) Bocina de 12" con bobina de voz de 2,5" Driver de 1" pulgadas con bobina de voz 1,75" 135 dB SPL máximo de pico, 2 cabinas Configuracion de 2 vias, Amplificador de integrado LF de 3 Canales potencia peak 1200 W + 300 W ,  1 consola digital mínimo de 16 canales, snake de 16 canales x 12 envíos de 15 metros, con set básico de micrófonos conforme a los requerimientos del espacio y condiciones particulares del evento, así como, las cajas directas, cableado necesario, ingeniero de sonido y todos los elementos requeridos para su operación.</t>
  </si>
  <si>
    <t xml:space="preserve">Macetas pequeñas y blanca de 5cms, cada una con una planta suculenta decorativa Las macetas tienen una reseña de las mujeres que han trabajado en Marco de Derecho Humano Internacional de la Mujer, encima de cada planta hay una pequeña tarjeta con el nombre del seminario fecha, lugar y hora. </t>
  </si>
  <si>
    <t xml:space="preserve">Material didáctico y/o pedagógico: compuesto por: 3 ruedas de las emociones plastificadas, 20 tarjetas con roles plastificadas, 1 baraja de naipes con frases para desarmar al macho plastificadas, 20 tarjetas de semaforo de la violencia plastificadas y 80 memofichas en carton de responsabilidad y cambio. </t>
  </si>
  <si>
    <t>Esfero en plástico reciclado, 14.5 cm, Tinta negra, Diseño a full color.
Marcador permanentes con tinta resistente al agua, de rápido secado y no se decolora.
Resaltador con tinta resistente al agua, de rápido secado
lápices hechos en madera y grafito HB No. 2, con borrador en parte superior
Vinilo Grande Caja X 10 Unidades de  150 gr . C/u. Colores Surtidos  amarillo, naranja, rosa, verde, verde limón, rojo, blanco, negro, azul oscuro, cafe, morado
Block de Hojas Papel bond 75g carta con la NTC 4436:1998 y la NTC 5397.</t>
  </si>
  <si>
    <t>Kits: Tula, guantes en material sintetico gym gimnasio, vendas, botilito plastico, manual de defensa personal, camiseta cuello redondo, manga corta. Tela 100% tela montesimone, tecnología: sintética ligera, transpirable absorbente a la humedad, ventilación óptima, alarma, protector bucal, linterna táctica.</t>
  </si>
  <si>
    <t xml:space="preserve">Mandala impreso medio pliego full color en cartulina dure x180gr, 2 unidades de cada ilustración. </t>
  </si>
  <si>
    <t>Lámina de tamaños carta y plastificadas en Cartulina dure x180gr,  “CONEXIÓN significa toda mi ATENCIÓN”, las cuales deben contener frases de preguntas e infografía.</t>
  </si>
  <si>
    <t>Diez (10) tarjetas ilustrativas entregadas en Fichas bibliografíacas, plastificadas de tamaño estandar 8.89 cm x 12.7 cm, con los diseños y el paso a paso del uso del condón femenino.</t>
  </si>
  <si>
    <t>Figura o imagen ilustrativa de un termómetro, tamaño medio pliego en Cartulina dure x180gr,</t>
  </si>
  <si>
    <t xml:space="preserve">Fichas bibliografíacas, plastificadas de tamaño estandar 8.89 cm x 12.7 surtidas de productos como: desodorante, perfume, camisa, zapatos entre otros, que se puedan utilizar para desarrollar comerciales con enfoque de género. </t>
  </si>
  <si>
    <t>Alquiler de Pantalla inflable de proyección de teatro para exteriores con medidas aproximadas de 6 metros de ancho por 5 metros de alto y área de proyección visible de 4 metros por 3 metros. Debe incluir sonido profesional con potencia mínima de 400 W RMS, dos parlantes activos y micrófono inalambrico o alambrico. Incluye montaje, desmontaje y transporte</t>
  </si>
  <si>
    <t>Juego tipo lotería con tablero, 54 tarjetas y un par de dados, elaboradas en madera con bordes redondeados, impresion digital a full color con tinta uv curable  (ecologicas y durables), tableros de  12 cms x 24 cms.  empacado en caja plastica de 13 cm x 25 cm x alto 4 cm; con  tapa corrediza para el desarrollo de la sesión 8. cal-mé-mo-nos (ver anexo 6.12 estrategia metodológica cuidándome – cuidándonos).</t>
  </si>
  <si>
    <t>Material didáctico y/o pedagógico: compuesto de: rompecabezas de un tamaño de 14 cm por 14 cm, juego de mesa de cartón: 4 tableros de cartón (19,5x19,5), 1 paquete de fichas de parques, 32 fichas de ajedrez, 24 fichas de damas, tamaño de la caja: 19 cm x 18,5 cm juegos, mapas de rutas de atención con láminas de pegar: tamaño carta en papel adhesivo, violentrometo tamaño carta plastificado estas herramientas tendrán el enfoque de prevención de violencias.</t>
  </si>
  <si>
    <t xml:space="preserve">Modelos anatómicos educativos:
Modelo anatomico basico que representa el aparato genital masculino Elaborado en plástico flexible o resina plástica pintada, materiales livianos, resistentes al uso y de fácil limpieza.
Su diseño a escala aproximada 1:1 (25 × 15 × 10 cm) permite una comprensión visual clara de la anatomía, ideal para talleres, capacitaciones y actividades pedagógicas de salud sexual y reproductiva.
Modelo demostrativo del aparato genital femenino, que incluye vulva, labios mayores y menores, clítoris y canal vaginal. Fabricado en plástico anatómico rígido o resina plástica coloreada, con acabado liso y lavable, resistente al manejo frecuente.
Cuenta con dimensiones aproximadas de 20 × 15 × 10 cm, proporcionando un recurso didáctico accesible y funcional para procesos educativos en temas de salud sexual, higiene y prevención </t>
  </si>
  <si>
    <t>Batucada elementos que son: 
3 surdos: 20"x45cm de aluminio, 6 Maza Surdo Madera: 33cm. Bola 4,7cm(ancho) x 5cm(alto). Peso: 0,12Kg, 1 Repenique: 12"x30cm. Aluminio, 4 Baqueta Repenique: Largo total: 33cm, 4 Bandolera Bombo: Descripción Bandoleras/Correas bombo arnés fabricadas en Nylon. Ancho 50 mm. Largo mínimo 109cm. Largo máximo 130cm, 3 Tamborim: 6 divisiones fijas niqueladas. 0,33kg. Izzo Percussion, 3 Baqueta Tamborim: largo total: 38cm. Peso: 0,05Kg. Diámetro stick: 5mm.Baquetas con tres sticks para tamborim.3 sticks de plástico simulación a la silicona, 2 Ganza: este instrumento se compone de una solaganza, que mide 250mm x 60mm.</t>
  </si>
  <si>
    <t xml:space="preserve">Once (11) tarjetas ilustrativas entregadas en Fichas bibliografícas, plastificadas de tamaño estandar 8.89 cm x 12.7 cm, con los diseños y el paso a paso del uso del condón masculino. </t>
  </si>
  <si>
    <t>Ficha de medidor de violencias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</si>
</sst>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5" formatCode="&quot;$&quot;\ #,##0;\-&quot;$&quot;\ #,##0"/>
    <numFmt numFmtId="6" formatCode="&quot;$&quot;\ #,##0;[Red]\-&quot;$&quot;\ #,##0"/>
    <numFmt numFmtId="44" formatCode="_-&quot;$&quot;\ * #,##0.00_-;\-&quot;$&quot;\ * #,##0.00_-;_-&quot;$&quot;\ * &quot;-&quot;??_-;_-@_-"/>
    <numFmt numFmtId="43" formatCode="_-* #,##0.00_-;\-* #,##0.00_-;_-* &quot;-&quot;??_-;_-@_-"/>
    <numFmt numFmtId="164" formatCode="&quot;$&quot;\ #,##0"/>
    <numFmt numFmtId="165" formatCode="_(&quot;$ &quot;* #,##0_);_(&quot;$ &quot;* \(#,##0\);_(&quot;$ &quot;* \-_);_(@_)"/>
    <numFmt numFmtId="166" formatCode="&quot;$&quot;\ #,##0.00"/>
    <numFmt numFmtId="167" formatCode="_-&quot;$&quot;\ * #,##0_-;\-&quot;$&quot;\ * #,##0_-;_-&quot;$&quot;\ * &quot;-&quot;??_-;_-@_-"/>
    <numFmt numFmtId="168" formatCode="_-&quot;$&quot;* #,##0_-;\-&quot;$&quot;* #,##0_-;_-&quot;$&quot;* &quot;-&quot;_-;_-@_-"/>
    <numFmt numFmtId="169" formatCode="&quot;$&quot;\ #,##0.00000"/>
    <numFmt numFmtId="170" formatCode="#,##0.000000000"/>
    <numFmt numFmtId="171" formatCode="0.000000000000"/>
    <numFmt numFmtId="172" formatCode="_-* #,##0_-;\-* #,##0_-;_-* &quot;-&quot;??_-;_-@_-"/>
  </numFmts>
  <fonts count="51"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Garamond"/>
      <family val="1"/>
    </font>
    <font>
      <sz val="11"/>
      <color theme="1"/>
      <name val="Calibri"/>
      <family val="2"/>
      <scheme val="minor"/>
    </font>
    <font>
      <sz val="11"/>
      <color theme="1"/>
      <name val="Calibri"/>
      <family val="2"/>
      <scheme val="minor"/>
    </font>
    <font>
      <u/>
      <sz val="11"/>
      <color theme="10"/>
      <name val="Calibri"/>
      <family val="2"/>
      <scheme val="minor"/>
    </font>
    <font>
      <sz val="12"/>
      <color theme="1"/>
      <name val="Calibri"/>
      <family val="2"/>
      <scheme val="minor"/>
    </font>
    <font>
      <sz val="8"/>
      <name val="Calibri"/>
      <family val="2"/>
      <scheme val="minor"/>
    </font>
    <font>
      <sz val="10"/>
      <color theme="1"/>
      <name val="Garamond"/>
      <family val="1"/>
    </font>
    <font>
      <b/>
      <sz val="10"/>
      <color theme="1"/>
      <name val="Garamond"/>
      <family val="1"/>
    </font>
    <font>
      <b/>
      <sz val="10"/>
      <color theme="0"/>
      <name val="Garamond"/>
      <family val="1"/>
    </font>
    <font>
      <b/>
      <sz val="10"/>
      <name val="Garamond"/>
      <family val="1"/>
    </font>
    <font>
      <b/>
      <sz val="10"/>
      <color rgb="FF000000"/>
      <name val="Garamond"/>
      <family val="1"/>
    </font>
    <font>
      <sz val="10"/>
      <name val="Garamond"/>
      <family val="1"/>
    </font>
    <font>
      <sz val="10"/>
      <color rgb="FF000000"/>
      <name val="Garamond"/>
      <family val="1"/>
    </font>
    <font>
      <sz val="11"/>
      <color theme="1"/>
      <name val="Garamond"/>
      <family val="1"/>
    </font>
    <font>
      <b/>
      <sz val="11"/>
      <color theme="1"/>
      <name val="Garamond"/>
      <family val="1"/>
    </font>
    <font>
      <sz val="12"/>
      <color rgb="FF000000"/>
      <name val="Garamond"/>
      <family val="1"/>
    </font>
    <font>
      <sz val="11"/>
      <color theme="1"/>
      <name val="Times New Roman"/>
      <family val="1"/>
    </font>
    <font>
      <sz val="12"/>
      <name val="Garamond"/>
      <family val="1"/>
    </font>
    <font>
      <b/>
      <sz val="10"/>
      <name val="Century Gothic"/>
      <family val="2"/>
    </font>
    <font>
      <b/>
      <sz val="10"/>
      <color theme="0"/>
      <name val="Century Gothic"/>
      <family val="2"/>
    </font>
    <font>
      <sz val="9"/>
      <color rgb="FF000000"/>
      <name val="Century Gothic"/>
      <family val="2"/>
    </font>
    <font>
      <b/>
      <sz val="12"/>
      <color rgb="FF000000"/>
      <name val="Garamond"/>
      <family val="1"/>
    </font>
    <font>
      <b/>
      <sz val="11"/>
      <name val="Garamond"/>
      <family val="1"/>
    </font>
    <font>
      <b/>
      <sz val="11"/>
      <color rgb="FF000000"/>
      <name val="Garamond"/>
      <family val="1"/>
    </font>
    <font>
      <b/>
      <sz val="12"/>
      <name val="Garamond"/>
      <family val="1"/>
    </font>
    <font>
      <b/>
      <sz val="12"/>
      <color theme="0"/>
      <name val="Garamond"/>
      <family val="1"/>
    </font>
    <font>
      <b/>
      <sz val="12"/>
      <color theme="1"/>
      <name val="Garamond"/>
      <family val="1"/>
    </font>
    <font>
      <b/>
      <sz val="11"/>
      <color theme="1"/>
      <name val="Century Gothic"/>
      <family val="2"/>
    </font>
    <font>
      <b/>
      <sz val="11"/>
      <name val="Century Gothic"/>
      <family val="2"/>
    </font>
    <font>
      <sz val="11"/>
      <color rgb="FF000000"/>
      <name val="Garamond"/>
      <family val="1"/>
    </font>
    <font>
      <sz val="11"/>
      <name val="Garamond"/>
      <family val="1"/>
    </font>
    <font>
      <sz val="11"/>
      <color rgb="FF001D35"/>
      <name val="Garamond"/>
      <family val="1"/>
    </font>
    <font>
      <sz val="12"/>
      <name val="Century Gothic"/>
      <family val="2"/>
    </font>
    <font>
      <sz val="11"/>
      <color theme="1"/>
      <name val="Century Gothic"/>
      <family val="2"/>
    </font>
    <font>
      <sz val="11"/>
      <name val="Century Gothic"/>
      <family val="2"/>
    </font>
    <font>
      <sz val="12"/>
      <color theme="1"/>
      <name val="Century Gothic"/>
      <family val="2"/>
    </font>
    <font>
      <b/>
      <sz val="9"/>
      <color indexed="81"/>
      <name val="Tahoma"/>
      <family val="2"/>
    </font>
    <font>
      <b/>
      <sz val="11"/>
      <color theme="0"/>
      <name val="Garamond"/>
      <family val="1"/>
    </font>
    <font>
      <sz val="11"/>
      <color rgb="FFFF0000"/>
      <name val="Garamond"/>
      <family val="1"/>
    </font>
    <font>
      <sz val="11"/>
      <color theme="0"/>
      <name val="Garamond"/>
      <family val="1"/>
    </font>
    <font>
      <sz val="12"/>
      <color theme="0"/>
      <name val="Garamond"/>
      <family val="1"/>
    </font>
    <font>
      <b/>
      <sz val="12"/>
      <name val="Century Gothic"/>
      <family val="2"/>
    </font>
    <font>
      <sz val="10"/>
      <color theme="0"/>
      <name val="Garamond"/>
      <family val="1"/>
    </font>
    <font>
      <sz val="12"/>
      <color rgb="FF595959"/>
      <name val="Garamond"/>
      <family val="1"/>
    </font>
  </fonts>
  <fills count="41">
    <fill>
      <patternFill patternType="none"/>
    </fill>
    <fill>
      <patternFill patternType="gray125"/>
    </fill>
    <fill>
      <patternFill patternType="solid">
        <fgColor rgb="FFD8D8D8"/>
        <bgColor rgb="FFD8D8D8"/>
      </patternFill>
    </fill>
    <fill>
      <patternFill patternType="solid">
        <fgColor theme="9" tint="0.59999389629810485"/>
        <bgColor indexed="64"/>
      </patternFill>
    </fill>
    <fill>
      <patternFill patternType="solid">
        <fgColor theme="2" tint="-0.14999847407452621"/>
        <bgColor indexed="64"/>
      </patternFill>
    </fill>
    <fill>
      <patternFill patternType="solid">
        <fgColor theme="0" tint="-0.14999847407452621"/>
        <bgColor indexed="64"/>
      </patternFill>
    </fill>
    <fill>
      <patternFill patternType="solid">
        <fgColor theme="0"/>
        <bgColor indexed="64"/>
      </patternFill>
    </fill>
    <fill>
      <patternFill patternType="solid">
        <fgColor rgb="FFFFFF66"/>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2" tint="-0.14999847407452621"/>
        <bgColor rgb="FFFFFFFF"/>
      </patternFill>
    </fill>
    <fill>
      <patternFill patternType="solid">
        <fgColor rgb="FFFFFF00"/>
        <bgColor rgb="FFD8D8D8"/>
      </patternFill>
    </fill>
    <fill>
      <patternFill patternType="solid">
        <fgColor theme="9" tint="0.79998168889431442"/>
        <bgColor indexed="64"/>
      </patternFill>
    </fill>
    <fill>
      <patternFill patternType="solid">
        <fgColor rgb="FFFFC000"/>
        <bgColor indexed="64"/>
      </patternFill>
    </fill>
    <fill>
      <patternFill patternType="solid">
        <fgColor theme="2"/>
        <bgColor indexed="64"/>
      </patternFill>
    </fill>
    <fill>
      <patternFill patternType="solid">
        <fgColor theme="6" tint="0.59999389629810485"/>
        <bgColor rgb="FFFCE5CD"/>
      </patternFill>
    </fill>
    <fill>
      <patternFill patternType="solid">
        <fgColor theme="6" tint="0.59999389629810485"/>
        <bgColor indexed="64"/>
      </patternFill>
    </fill>
    <fill>
      <patternFill patternType="solid">
        <fgColor theme="6" tint="0.59999389629810485"/>
        <bgColor rgb="FFFFFFFF"/>
      </patternFill>
    </fill>
    <fill>
      <patternFill patternType="solid">
        <fgColor rgb="FFCAE9F6"/>
        <bgColor indexed="64"/>
      </patternFill>
    </fill>
    <fill>
      <patternFill patternType="solid">
        <fgColor rgb="FFC0E6F5"/>
        <bgColor indexed="64"/>
      </patternFill>
    </fill>
    <fill>
      <patternFill patternType="solid">
        <fgColor rgb="FFFFFF00"/>
        <bgColor indexed="64"/>
      </patternFill>
    </fill>
    <fill>
      <patternFill patternType="solid">
        <fgColor rgb="FFFFCCFF"/>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9" tint="-0.249977111117893"/>
        <bgColor rgb="FF000000"/>
      </patternFill>
    </fill>
    <fill>
      <patternFill patternType="solid">
        <fgColor rgb="FF99CCFF"/>
        <bgColor indexed="64"/>
      </patternFill>
    </fill>
    <fill>
      <patternFill patternType="solid">
        <fgColor rgb="FF000099"/>
        <bgColor indexed="64"/>
      </patternFill>
    </fill>
    <fill>
      <patternFill patternType="solid">
        <fgColor theme="7" tint="0.79998168889431442"/>
        <bgColor indexed="64"/>
      </patternFill>
    </fill>
    <fill>
      <patternFill patternType="solid">
        <fgColor theme="2" tint="-9.9978637043366805E-2"/>
        <bgColor rgb="FF00FFFF"/>
      </patternFill>
    </fill>
    <fill>
      <patternFill patternType="solid">
        <fgColor theme="3" tint="0.79998168889431442"/>
        <bgColor indexed="64"/>
      </patternFill>
    </fill>
    <fill>
      <patternFill patternType="solid">
        <fgColor theme="0" tint="-0.14999847407452621"/>
        <bgColor rgb="FF00FFFF"/>
      </patternFill>
    </fill>
    <fill>
      <patternFill patternType="solid">
        <fgColor rgb="FFFFCCCC"/>
        <bgColor indexed="64"/>
      </patternFill>
    </fill>
    <fill>
      <patternFill patternType="solid">
        <fgColor theme="2" tint="-9.9978637043366805E-2"/>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8" tint="0.39997558519241921"/>
        <bgColor indexed="64"/>
      </patternFill>
    </fill>
    <fill>
      <patternFill patternType="solid">
        <fgColor theme="5" tint="0.79998168889431442"/>
        <bgColor indexed="64"/>
      </patternFill>
    </fill>
    <fill>
      <patternFill patternType="solid">
        <fgColor theme="4" tint="0.59999389629810485"/>
        <bgColor indexed="64"/>
      </patternFill>
    </fill>
    <fill>
      <patternFill patternType="solid">
        <fgColor theme="2" tint="-9.9978637043366805E-2"/>
        <bgColor rgb="FF000000"/>
      </patternFill>
    </fill>
    <fill>
      <patternFill patternType="solid">
        <fgColor rgb="FF002060"/>
        <bgColor indexed="64"/>
      </patternFill>
    </fill>
  </fills>
  <borders count="26">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rgb="FF000000"/>
      </left>
      <right style="thin">
        <color rgb="FF000000"/>
      </right>
      <top style="thin">
        <color rgb="FF000000"/>
      </top>
      <bottom/>
      <diagonal/>
    </border>
    <border>
      <left style="thin">
        <color indexed="64"/>
      </left>
      <right style="medium">
        <color indexed="64"/>
      </right>
      <top style="thin">
        <color indexed="64"/>
      </top>
      <bottom style="thin">
        <color indexed="64"/>
      </bottom>
      <diagonal/>
    </border>
    <border>
      <left style="thin">
        <color rgb="FF000000"/>
      </left>
      <right style="thin">
        <color rgb="FF000000"/>
      </right>
      <top/>
      <bottom style="thin">
        <color rgb="FF000000"/>
      </bottom>
      <diagonal/>
    </border>
    <border>
      <left style="thin">
        <color indexed="64"/>
      </left>
      <right/>
      <top/>
      <bottom/>
      <diagonal/>
    </border>
    <border>
      <left style="thin">
        <color rgb="FF000000"/>
      </left>
      <right style="thin">
        <color rgb="FF000000"/>
      </right>
      <top/>
      <bottom/>
      <diagonal/>
    </border>
    <border>
      <left/>
      <right style="thin">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rgb="FFCCCCCC"/>
      </left>
      <right style="thin">
        <color rgb="FF000000"/>
      </right>
      <top style="thin">
        <color rgb="FFCCCCCC"/>
      </top>
      <bottom style="thin">
        <color rgb="FF000000"/>
      </bottom>
      <diagonal/>
    </border>
    <border>
      <left style="thin">
        <color rgb="FFCCCCCC"/>
      </left>
      <right/>
      <top style="thin">
        <color rgb="FFCCCCCC"/>
      </top>
      <bottom style="thin">
        <color rgb="FF000000"/>
      </bottom>
      <diagonal/>
    </border>
  </borders>
  <cellStyleXfs count="292">
    <xf numFmtId="0" fontId="0" fillId="0" borderId="0"/>
    <xf numFmtId="44" fontId="8" fillId="0" borderId="0" applyFont="0" applyFill="0" applyBorder="0" applyAlignment="0" applyProtection="0"/>
    <xf numFmtId="0" fontId="6" fillId="0" borderId="0"/>
    <xf numFmtId="43" fontId="9" fillId="0" borderId="0" applyFont="0" applyFill="0" applyBorder="0" applyAlignment="0" applyProtection="0"/>
    <xf numFmtId="9" fontId="9"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4" fillId="0" borderId="0"/>
    <xf numFmtId="44" fontId="4" fillId="0" borderId="0" applyFont="0" applyFill="0" applyBorder="0" applyAlignment="0" applyProtection="0"/>
    <xf numFmtId="0" fontId="4" fillId="0" borderId="0"/>
    <xf numFmtId="0" fontId="4" fillId="0" borderId="0"/>
    <xf numFmtId="44" fontId="4"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0" fontId="10" fillId="0" borderId="0" applyNumberFormat="0" applyFill="0" applyBorder="0" applyAlignment="0" applyProtection="0"/>
    <xf numFmtId="168" fontId="11"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4"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0" fontId="4" fillId="0" borderId="0"/>
    <xf numFmtId="0" fontId="11" fillId="0" borderId="0"/>
    <xf numFmtId="9" fontId="11"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4"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0" fontId="4" fillId="0" borderId="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0" fontId="3" fillId="0" borderId="0"/>
    <xf numFmtId="44" fontId="3" fillId="0" borderId="0" applyFont="0" applyFill="0" applyBorder="0" applyAlignment="0" applyProtection="0"/>
    <xf numFmtId="0" fontId="3"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3"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3"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2" fillId="0" borderId="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2"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2" fillId="0" borderId="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2"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2" fillId="0" borderId="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2" fillId="0" borderId="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2"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2" fillId="0" borderId="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2"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2" fillId="0" borderId="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cellStyleXfs>
  <cellXfs count="871">
    <xf numFmtId="0" fontId="0" fillId="0" borderId="0" xfId="0"/>
    <xf numFmtId="167" fontId="7" fillId="0" borderId="3" xfId="1" applyNumberFormat="1" applyFont="1" applyBorder="1" applyAlignment="1">
      <alignment vertical="center"/>
    </xf>
    <xf numFmtId="0" fontId="13" fillId="0" borderId="0" xfId="0" applyFont="1" applyAlignment="1">
      <alignment horizontal="center" vertical="center"/>
    </xf>
    <xf numFmtId="0" fontId="13" fillId="0" borderId="0" xfId="0" applyFont="1" applyAlignment="1">
      <alignment vertical="center"/>
    </xf>
    <xf numFmtId="0" fontId="14" fillId="0" borderId="0" xfId="0" applyFont="1" applyAlignment="1">
      <alignment horizontal="center" vertical="center"/>
    </xf>
    <xf numFmtId="0" fontId="13" fillId="0" borderId="0" xfId="0" applyFont="1"/>
    <xf numFmtId="0" fontId="14" fillId="0" borderId="3" xfId="0" applyFont="1" applyBorder="1" applyAlignment="1">
      <alignment horizontal="center" vertical="center"/>
    </xf>
    <xf numFmtId="0" fontId="17" fillId="2" borderId="3" xfId="0" applyFont="1" applyFill="1" applyBorder="1" applyAlignment="1">
      <alignment horizontal="center" vertical="center" wrapText="1"/>
    </xf>
    <xf numFmtId="44" fontId="16" fillId="4" borderId="3" xfId="6" applyFont="1" applyFill="1" applyBorder="1" applyAlignment="1">
      <alignment horizontal="center" vertical="center" wrapText="1"/>
    </xf>
    <xf numFmtId="0" fontId="14" fillId="0" borderId="3" xfId="0" applyFont="1" applyBorder="1" applyAlignment="1">
      <alignment horizontal="center" vertical="center" wrapText="1"/>
    </xf>
    <xf numFmtId="0" fontId="13" fillId="0" borderId="3" xfId="0" applyFont="1" applyBorder="1" applyAlignment="1">
      <alignment horizontal="left" vertical="center" wrapText="1"/>
    </xf>
    <xf numFmtId="0" fontId="13" fillId="0" borderId="3" xfId="0" applyFont="1" applyBorder="1" applyAlignment="1">
      <alignment horizontal="center" vertical="center" wrapText="1"/>
    </xf>
    <xf numFmtId="0" fontId="13" fillId="0" borderId="3" xfId="0" applyFont="1" applyBorder="1"/>
    <xf numFmtId="167" fontId="18" fillId="0" borderId="3" xfId="1" applyNumberFormat="1" applyFont="1" applyFill="1" applyBorder="1" applyAlignment="1">
      <alignment vertical="center" wrapText="1"/>
    </xf>
    <xf numFmtId="0" fontId="14" fillId="0" borderId="14"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4" xfId="0" applyFont="1" applyBorder="1"/>
    <xf numFmtId="9" fontId="18" fillId="0" borderId="3" xfId="4" applyFont="1" applyFill="1" applyBorder="1" applyAlignment="1">
      <alignment horizontal="center" vertical="center" wrapText="1"/>
    </xf>
    <xf numFmtId="0" fontId="13" fillId="0" borderId="3" xfId="0" applyFont="1" applyBorder="1" applyAlignment="1">
      <alignment vertical="center" wrapText="1"/>
    </xf>
    <xf numFmtId="0" fontId="17" fillId="0" borderId="3" xfId="0" applyFont="1" applyBorder="1" applyAlignment="1">
      <alignment horizontal="center" vertical="center"/>
    </xf>
    <xf numFmtId="0" fontId="17" fillId="0" borderId="3" xfId="0" applyFont="1" applyBorder="1" applyAlignment="1">
      <alignment horizontal="center" vertical="center" wrapText="1"/>
    </xf>
    <xf numFmtId="3" fontId="13" fillId="0" borderId="3" xfId="0" applyNumberFormat="1" applyFont="1" applyBorder="1" applyAlignment="1">
      <alignment horizontal="center" vertical="center" wrapText="1"/>
    </xf>
    <xf numFmtId="0" fontId="14" fillId="10" borderId="3" xfId="0" applyFont="1" applyFill="1" applyBorder="1" applyAlignment="1">
      <alignment horizontal="center" vertical="center" wrapText="1"/>
    </xf>
    <xf numFmtId="0" fontId="14" fillId="4" borderId="3" xfId="0" applyFont="1" applyFill="1" applyBorder="1"/>
    <xf numFmtId="167" fontId="16" fillId="4" borderId="3" xfId="1" applyNumberFormat="1" applyFont="1" applyFill="1" applyBorder="1" applyAlignment="1">
      <alignment vertical="center" wrapText="1"/>
    </xf>
    <xf numFmtId="167" fontId="13" fillId="0" borderId="3" xfId="1" applyNumberFormat="1" applyFont="1" applyFill="1" applyBorder="1" applyAlignment="1">
      <alignment vertical="center"/>
    </xf>
    <xf numFmtId="0" fontId="16" fillId="0" borderId="3" xfId="0" applyFont="1" applyBorder="1" applyAlignment="1">
      <alignment horizontal="center" vertical="center" wrapText="1"/>
    </xf>
    <xf numFmtId="165" fontId="16" fillId="0" borderId="3" xfId="0" applyNumberFormat="1" applyFont="1" applyBorder="1" applyAlignment="1">
      <alignment horizontal="center" vertical="center"/>
    </xf>
    <xf numFmtId="167" fontId="19" fillId="0" borderId="3" xfId="1" applyNumberFormat="1" applyFont="1" applyFill="1" applyBorder="1" applyAlignment="1">
      <alignment horizontal="center" vertical="center"/>
    </xf>
    <xf numFmtId="0" fontId="18" fillId="0" borderId="3" xfId="0" applyFont="1" applyBorder="1" applyAlignment="1">
      <alignment horizontal="left" vertical="center" wrapText="1"/>
    </xf>
    <xf numFmtId="5" fontId="13" fillId="0" borderId="3" xfId="0" applyNumberFormat="1" applyFont="1" applyBorder="1" applyAlignment="1">
      <alignment vertical="center" wrapText="1"/>
    </xf>
    <xf numFmtId="5" fontId="13" fillId="0" borderId="3" xfId="0" applyNumberFormat="1" applyFont="1" applyBorder="1" applyAlignment="1">
      <alignment horizontal="center" vertical="center" wrapText="1"/>
    </xf>
    <xf numFmtId="167" fontId="13" fillId="0" borderId="3" xfId="1" applyNumberFormat="1" applyFont="1" applyBorder="1" applyAlignment="1">
      <alignment vertical="center"/>
    </xf>
    <xf numFmtId="167" fontId="19" fillId="0" borderId="10" xfId="1" applyNumberFormat="1" applyFont="1" applyFill="1" applyBorder="1" applyAlignment="1">
      <alignment horizontal="center" vertical="center"/>
    </xf>
    <xf numFmtId="5" fontId="14" fillId="0" borderId="3" xfId="0" applyNumberFormat="1" applyFont="1" applyBorder="1" applyAlignment="1">
      <alignment horizontal="center" vertical="center" wrapText="1"/>
    </xf>
    <xf numFmtId="165" fontId="14" fillId="0" borderId="3" xfId="0" applyNumberFormat="1" applyFont="1" applyBorder="1" applyAlignment="1">
      <alignment horizontal="center" vertical="center"/>
    </xf>
    <xf numFmtId="0" fontId="14" fillId="0" borderId="3" xfId="0" applyFont="1" applyBorder="1" applyAlignment="1">
      <alignment horizontal="center" vertical="center" wrapText="1" readingOrder="1"/>
    </xf>
    <xf numFmtId="0" fontId="17" fillId="0" borderId="14" xfId="0" applyFont="1" applyBorder="1" applyAlignment="1">
      <alignment horizontal="center" vertical="center"/>
    </xf>
    <xf numFmtId="0" fontId="16" fillId="0" borderId="14" xfId="0" applyFont="1" applyBorder="1" applyAlignment="1">
      <alignment horizontal="center" vertical="center" wrapText="1"/>
    </xf>
    <xf numFmtId="0" fontId="13" fillId="0" borderId="14" xfId="0" applyFont="1" applyBorder="1" applyAlignment="1">
      <alignment horizontal="left" vertical="center" wrapText="1"/>
    </xf>
    <xf numFmtId="0" fontId="14" fillId="0" borderId="10" xfId="0" applyFont="1" applyBorder="1" applyAlignment="1">
      <alignment horizontal="center" vertical="center" wrapText="1"/>
    </xf>
    <xf numFmtId="0" fontId="16" fillId="0" borderId="10" xfId="0" applyFont="1" applyBorder="1" applyAlignment="1">
      <alignment horizontal="center" vertical="center" wrapText="1"/>
    </xf>
    <xf numFmtId="0" fontId="13" fillId="0" borderId="10" xfId="0" applyFont="1" applyBorder="1" applyAlignment="1">
      <alignment horizontal="left" vertical="center" wrapText="1"/>
    </xf>
    <xf numFmtId="0" fontId="13" fillId="0" borderId="10" xfId="0" applyFont="1" applyBorder="1" applyAlignment="1">
      <alignment horizontal="center" vertical="center" wrapText="1"/>
    </xf>
    <xf numFmtId="0" fontId="18" fillId="0" borderId="3" xfId="0" applyFont="1" applyBorder="1" applyAlignment="1">
      <alignment vertical="center" wrapText="1"/>
    </xf>
    <xf numFmtId="0" fontId="17" fillId="0" borderId="14" xfId="0" applyFont="1" applyBorder="1" applyAlignment="1">
      <alignment horizontal="center" vertical="center" wrapText="1"/>
    </xf>
    <xf numFmtId="167" fontId="13" fillId="0" borderId="10" xfId="1" applyNumberFormat="1" applyFont="1" applyFill="1" applyBorder="1" applyAlignment="1">
      <alignment vertical="center"/>
    </xf>
    <xf numFmtId="0" fontId="17" fillId="0" borderId="3" xfId="0" applyFont="1" applyBorder="1" applyAlignment="1">
      <alignment vertical="center" wrapText="1"/>
    </xf>
    <xf numFmtId="9" fontId="13" fillId="0" borderId="3" xfId="4" applyFont="1" applyFill="1" applyBorder="1" applyAlignment="1">
      <alignment horizontal="center" vertical="center"/>
    </xf>
    <xf numFmtId="0" fontId="16" fillId="0" borderId="3" xfId="0" applyFont="1" applyBorder="1" applyAlignment="1">
      <alignment horizontal="center" vertical="center"/>
    </xf>
    <xf numFmtId="0" fontId="13" fillId="3" borderId="3" xfId="0" applyFont="1" applyFill="1" applyBorder="1"/>
    <xf numFmtId="164" fontId="13" fillId="0" borderId="3" xfId="2" applyNumberFormat="1" applyFont="1" applyBorder="1" applyAlignment="1">
      <alignment horizontal="left" vertical="center" wrapText="1"/>
    </xf>
    <xf numFmtId="167" fontId="19" fillId="0" borderId="3" xfId="1" applyNumberFormat="1" applyFont="1" applyFill="1" applyBorder="1" applyAlignment="1">
      <alignment horizontal="center" vertical="center" wrapText="1"/>
    </xf>
    <xf numFmtId="0" fontId="19" fillId="0" borderId="10" xfId="0" applyFont="1" applyBorder="1" applyAlignment="1">
      <alignment wrapText="1"/>
    </xf>
    <xf numFmtId="0" fontId="17" fillId="0" borderId="0" xfId="0" applyFont="1" applyAlignment="1">
      <alignment horizontal="center" vertical="center" wrapText="1"/>
    </xf>
    <xf numFmtId="167" fontId="19" fillId="0" borderId="0" xfId="1" applyNumberFormat="1" applyFont="1" applyFill="1" applyBorder="1" applyAlignment="1">
      <alignment horizontal="center" vertical="center" wrapText="1"/>
    </xf>
    <xf numFmtId="0" fontId="13" fillId="0" borderId="0" xfId="0" applyFont="1" applyAlignment="1">
      <alignment horizontal="center"/>
    </xf>
    <xf numFmtId="3" fontId="13" fillId="0" borderId="14" xfId="0" applyNumberFormat="1" applyFont="1" applyBorder="1" applyAlignment="1">
      <alignment horizontal="center" vertical="center" wrapText="1"/>
    </xf>
    <xf numFmtId="167" fontId="13" fillId="0" borderId="14" xfId="1" applyNumberFormat="1" applyFont="1" applyFill="1" applyBorder="1" applyAlignment="1">
      <alignment vertical="center"/>
    </xf>
    <xf numFmtId="165" fontId="16" fillId="0" borderId="3" xfId="0" applyNumberFormat="1" applyFont="1" applyBorder="1" applyAlignment="1">
      <alignment horizontal="center" vertical="center" wrapText="1"/>
    </xf>
    <xf numFmtId="0" fontId="22" fillId="0" borderId="3" xfId="0" applyFont="1" applyBorder="1" applyAlignment="1">
      <alignment horizontal="left" vertical="center" wrapText="1"/>
    </xf>
    <xf numFmtId="164" fontId="17" fillId="0" borderId="3" xfId="1" applyNumberFormat="1" applyFont="1" applyFill="1" applyBorder="1" applyAlignment="1">
      <alignment horizontal="center" vertical="center" wrapText="1"/>
    </xf>
    <xf numFmtId="164" fontId="19" fillId="0" borderId="3" xfId="1" applyNumberFormat="1" applyFont="1" applyFill="1" applyBorder="1" applyAlignment="1">
      <alignment vertical="center" wrapText="1"/>
    </xf>
    <xf numFmtId="0" fontId="14" fillId="0" borderId="0" xfId="0" applyFont="1"/>
    <xf numFmtId="9" fontId="18" fillId="0" borderId="10" xfId="4" applyFont="1" applyFill="1" applyBorder="1" applyAlignment="1">
      <alignment horizontal="center" vertical="center" wrapText="1"/>
    </xf>
    <xf numFmtId="167" fontId="18" fillId="0" borderId="10" xfId="1" applyNumberFormat="1" applyFont="1" applyFill="1" applyBorder="1" applyAlignment="1">
      <alignment vertical="center" wrapText="1"/>
    </xf>
    <xf numFmtId="0" fontId="14" fillId="5" borderId="3" xfId="0" applyFont="1" applyFill="1" applyBorder="1" applyAlignment="1">
      <alignment vertical="center"/>
    </xf>
    <xf numFmtId="0" fontId="14" fillId="5" borderId="3" xfId="0" applyFont="1" applyFill="1" applyBorder="1" applyAlignment="1">
      <alignment horizontal="center" vertical="center" wrapText="1"/>
    </xf>
    <xf numFmtId="0" fontId="14" fillId="5" borderId="3" xfId="0" applyFont="1" applyFill="1" applyBorder="1"/>
    <xf numFmtId="167" fontId="16" fillId="5" borderId="3" xfId="1" applyNumberFormat="1" applyFont="1" applyFill="1" applyBorder="1" applyAlignment="1">
      <alignment vertical="center" wrapText="1"/>
    </xf>
    <xf numFmtId="0" fontId="17" fillId="0" borderId="10" xfId="0" applyFont="1" applyBorder="1" applyAlignment="1">
      <alignment horizontal="center" vertical="center"/>
    </xf>
    <xf numFmtId="0" fontId="24" fillId="0" borderId="3" xfId="0" applyFont="1" applyBorder="1" applyAlignment="1">
      <alignment horizontal="left" vertical="center" wrapText="1"/>
    </xf>
    <xf numFmtId="9" fontId="18" fillId="0" borderId="14" xfId="4" applyFont="1" applyFill="1" applyBorder="1" applyAlignment="1">
      <alignment horizontal="center" vertical="center" wrapText="1"/>
    </xf>
    <xf numFmtId="167" fontId="18" fillId="0" borderId="14" xfId="1" applyNumberFormat="1" applyFont="1" applyFill="1" applyBorder="1" applyAlignment="1">
      <alignment vertical="center" wrapText="1"/>
    </xf>
    <xf numFmtId="0" fontId="14" fillId="0" borderId="0" xfId="0" applyFont="1" applyAlignment="1">
      <alignment vertical="center"/>
    </xf>
    <xf numFmtId="0" fontId="18" fillId="0" borderId="10" xfId="0" applyFont="1" applyBorder="1" applyAlignment="1">
      <alignment horizontal="left" vertical="center" wrapText="1"/>
    </xf>
    <xf numFmtId="0" fontId="17" fillId="0" borderId="14" xfId="0" applyFont="1" applyBorder="1" applyAlignment="1">
      <alignment horizontal="justify" vertical="center"/>
    </xf>
    <xf numFmtId="0" fontId="18" fillId="0" borderId="14" xfId="0" applyFont="1" applyBorder="1" applyAlignment="1">
      <alignment horizontal="left" vertical="center" wrapText="1"/>
    </xf>
    <xf numFmtId="0" fontId="17" fillId="0" borderId="14" xfId="0" applyFont="1" applyBorder="1" applyAlignment="1">
      <alignment vertical="center" wrapText="1"/>
    </xf>
    <xf numFmtId="9" fontId="13" fillId="0" borderId="14" xfId="4" applyFont="1" applyFill="1" applyBorder="1" applyAlignment="1">
      <alignment horizontal="center" vertical="center"/>
    </xf>
    <xf numFmtId="0" fontId="14" fillId="5" borderId="10" xfId="0" applyFont="1" applyFill="1" applyBorder="1" applyAlignment="1">
      <alignment vertical="center"/>
    </xf>
    <xf numFmtId="0" fontId="14" fillId="5" borderId="10" xfId="0" applyFont="1" applyFill="1" applyBorder="1" applyAlignment="1">
      <alignment horizontal="center" vertical="center" wrapText="1"/>
    </xf>
    <xf numFmtId="0" fontId="14" fillId="5" borderId="10" xfId="0" applyFont="1" applyFill="1" applyBorder="1"/>
    <xf numFmtId="167" fontId="16" fillId="5" borderId="10" xfId="1" applyNumberFormat="1" applyFont="1" applyFill="1" applyBorder="1" applyAlignment="1">
      <alignment vertical="center" wrapText="1"/>
    </xf>
    <xf numFmtId="0" fontId="17" fillId="0" borderId="0" xfId="0" applyFont="1" applyAlignment="1">
      <alignment vertical="center"/>
    </xf>
    <xf numFmtId="0" fontId="17" fillId="3" borderId="3" xfId="0" applyFont="1" applyFill="1" applyBorder="1" applyAlignment="1">
      <alignment vertical="center" wrapText="1"/>
    </xf>
    <xf numFmtId="0" fontId="17" fillId="3" borderId="3" xfId="0" applyFont="1" applyFill="1" applyBorder="1" applyAlignment="1">
      <alignment horizontal="center" vertical="center" wrapText="1"/>
    </xf>
    <xf numFmtId="0" fontId="17" fillId="12" borderId="3" xfId="0" applyFont="1" applyFill="1" applyBorder="1" applyAlignment="1">
      <alignment horizontal="center" vertical="center"/>
    </xf>
    <xf numFmtId="0" fontId="17" fillId="12" borderId="3" xfId="0" applyFont="1" applyFill="1" applyBorder="1" applyAlignment="1">
      <alignment vertical="center"/>
    </xf>
    <xf numFmtId="0" fontId="14" fillId="12" borderId="3" xfId="0" applyFont="1" applyFill="1" applyBorder="1" applyAlignment="1">
      <alignment vertical="center"/>
    </xf>
    <xf numFmtId="164" fontId="18" fillId="0" borderId="14" xfId="1" applyNumberFormat="1" applyFont="1" applyFill="1" applyBorder="1" applyAlignment="1">
      <alignment vertical="center" wrapText="1"/>
    </xf>
    <xf numFmtId="0" fontId="17" fillId="6" borderId="3" xfId="0" applyFont="1" applyFill="1" applyBorder="1" applyAlignment="1">
      <alignment horizontal="center" vertical="center" wrapText="1"/>
    </xf>
    <xf numFmtId="0" fontId="13" fillId="6" borderId="3" xfId="0" applyFont="1" applyFill="1" applyBorder="1" applyAlignment="1">
      <alignment horizontal="center" vertical="center" wrapText="1"/>
    </xf>
    <xf numFmtId="0" fontId="14" fillId="6" borderId="3" xfId="0" applyFont="1" applyFill="1" applyBorder="1" applyAlignment="1">
      <alignment horizontal="center" vertical="center" wrapText="1"/>
    </xf>
    <xf numFmtId="0" fontId="13" fillId="6" borderId="3" xfId="0" applyFont="1" applyFill="1" applyBorder="1" applyAlignment="1">
      <alignment horizontal="left" vertical="center" wrapText="1"/>
    </xf>
    <xf numFmtId="9" fontId="18" fillId="6" borderId="3" xfId="4" applyFont="1" applyFill="1" applyBorder="1" applyAlignment="1">
      <alignment horizontal="center" vertical="center" wrapText="1"/>
    </xf>
    <xf numFmtId="0" fontId="13" fillId="6" borderId="0" xfId="0" applyFont="1" applyFill="1"/>
    <xf numFmtId="167" fontId="13" fillId="6" borderId="3" xfId="1" applyNumberFormat="1" applyFont="1" applyFill="1" applyBorder="1" applyAlignment="1">
      <alignment vertical="center"/>
    </xf>
    <xf numFmtId="0" fontId="16" fillId="6" borderId="3" xfId="0" applyFont="1" applyFill="1" applyBorder="1" applyAlignment="1">
      <alignment horizontal="center" vertical="center" wrapText="1"/>
    </xf>
    <xf numFmtId="3" fontId="13" fillId="6" borderId="3" xfId="0" applyNumberFormat="1" applyFont="1" applyFill="1" applyBorder="1" applyAlignment="1">
      <alignment horizontal="center" vertical="center" wrapText="1"/>
    </xf>
    <xf numFmtId="165" fontId="16" fillId="0" borderId="14" xfId="0" applyNumberFormat="1" applyFont="1" applyBorder="1" applyAlignment="1">
      <alignment horizontal="center" vertical="center"/>
    </xf>
    <xf numFmtId="0" fontId="17" fillId="0" borderId="10" xfId="0" applyFont="1" applyBorder="1" applyAlignment="1">
      <alignment vertical="center" wrapText="1"/>
    </xf>
    <xf numFmtId="3" fontId="13" fillId="0" borderId="10" xfId="0" applyNumberFormat="1" applyFont="1" applyBorder="1" applyAlignment="1">
      <alignment horizontal="center" vertical="center" wrapText="1"/>
    </xf>
    <xf numFmtId="0" fontId="17" fillId="0" borderId="10" xfId="0" applyFont="1" applyBorder="1" applyAlignment="1">
      <alignment horizontal="center" vertical="center" wrapText="1"/>
    </xf>
    <xf numFmtId="5" fontId="13" fillId="0" borderId="14" xfId="0" applyNumberFormat="1" applyFont="1" applyBorder="1" applyAlignment="1">
      <alignment vertical="center" wrapText="1"/>
    </xf>
    <xf numFmtId="0" fontId="17" fillId="14" borderId="3" xfId="0" applyFont="1" applyFill="1" applyBorder="1" applyAlignment="1">
      <alignment horizontal="center" vertical="center"/>
    </xf>
    <xf numFmtId="0" fontId="14" fillId="14" borderId="3" xfId="0" applyFont="1" applyFill="1" applyBorder="1" applyAlignment="1">
      <alignment horizontal="center" vertical="center" wrapText="1"/>
    </xf>
    <xf numFmtId="0" fontId="13" fillId="14" borderId="3" xfId="0" applyFont="1" applyFill="1" applyBorder="1" applyAlignment="1">
      <alignment horizontal="left" vertical="center" wrapText="1"/>
    </xf>
    <xf numFmtId="0" fontId="13" fillId="14" borderId="3" xfId="0" applyFont="1" applyFill="1" applyBorder="1" applyAlignment="1">
      <alignment horizontal="center" vertical="center" wrapText="1"/>
    </xf>
    <xf numFmtId="167" fontId="13" fillId="14" borderId="3" xfId="1" applyNumberFormat="1" applyFont="1" applyFill="1" applyBorder="1" applyAlignment="1">
      <alignment vertical="center"/>
    </xf>
    <xf numFmtId="9" fontId="18" fillId="14" borderId="3" xfId="4" applyFont="1" applyFill="1" applyBorder="1" applyAlignment="1">
      <alignment horizontal="center" vertical="center" wrapText="1"/>
    </xf>
    <xf numFmtId="0" fontId="13" fillId="14" borderId="0" xfId="0" applyFont="1" applyFill="1"/>
    <xf numFmtId="0" fontId="16" fillId="14" borderId="3" xfId="0" applyFont="1" applyFill="1" applyBorder="1" applyAlignment="1">
      <alignment horizontal="center" vertical="center"/>
    </xf>
    <xf numFmtId="0" fontId="17" fillId="14" borderId="14" xfId="0" applyFont="1" applyFill="1" applyBorder="1" applyAlignment="1">
      <alignment horizontal="center" vertical="center"/>
    </xf>
    <xf numFmtId="0" fontId="13" fillId="14" borderId="14" xfId="0" applyFont="1" applyFill="1" applyBorder="1" applyAlignment="1">
      <alignment horizontal="center" vertical="center" wrapText="1"/>
    </xf>
    <xf numFmtId="167" fontId="18" fillId="14" borderId="3" xfId="1" applyNumberFormat="1" applyFont="1" applyFill="1" applyBorder="1" applyAlignment="1">
      <alignment vertical="center" wrapText="1"/>
    </xf>
    <xf numFmtId="5" fontId="14" fillId="14" borderId="3" xfId="0" applyNumberFormat="1" applyFont="1" applyFill="1" applyBorder="1" applyAlignment="1">
      <alignment horizontal="center" vertical="center" wrapText="1"/>
    </xf>
    <xf numFmtId="0" fontId="14" fillId="13" borderId="10" xfId="0" applyFont="1" applyFill="1" applyBorder="1" applyAlignment="1">
      <alignment vertical="center"/>
    </xf>
    <xf numFmtId="0" fontId="18" fillId="13" borderId="10" xfId="0" applyFont="1" applyFill="1" applyBorder="1"/>
    <xf numFmtId="0" fontId="18" fillId="13" borderId="10" xfId="0" applyFont="1" applyFill="1" applyBorder="1" applyAlignment="1">
      <alignment horizontal="center"/>
    </xf>
    <xf numFmtId="0" fontId="18" fillId="13" borderId="10" xfId="0" applyFont="1" applyFill="1" applyBorder="1" applyAlignment="1">
      <alignment vertical="center"/>
    </xf>
    <xf numFmtId="0" fontId="18" fillId="13" borderId="10" xfId="0" applyFont="1" applyFill="1" applyBorder="1" applyAlignment="1">
      <alignment horizontal="center" vertical="center"/>
    </xf>
    <xf numFmtId="0" fontId="13" fillId="13" borderId="10" xfId="0" applyFont="1" applyFill="1" applyBorder="1"/>
    <xf numFmtId="0" fontId="14" fillId="15" borderId="5" xfId="0" applyFont="1" applyFill="1" applyBorder="1" applyAlignment="1">
      <alignment vertical="center" wrapText="1"/>
    </xf>
    <xf numFmtId="0" fontId="14" fillId="15" borderId="5" xfId="0" applyFont="1" applyFill="1" applyBorder="1" applyAlignment="1">
      <alignment horizontal="center" vertical="center" wrapText="1"/>
    </xf>
    <xf numFmtId="9" fontId="18" fillId="16" borderId="3" xfId="4" applyFont="1" applyFill="1" applyBorder="1" applyAlignment="1">
      <alignment horizontal="center" vertical="center" wrapText="1"/>
    </xf>
    <xf numFmtId="0" fontId="14" fillId="16" borderId="3" xfId="0" applyFont="1" applyFill="1" applyBorder="1" applyAlignment="1">
      <alignment horizontal="center" vertical="center" wrapText="1"/>
    </xf>
    <xf numFmtId="0" fontId="14" fillId="16" borderId="3" xfId="0" applyFont="1" applyFill="1" applyBorder="1"/>
    <xf numFmtId="0" fontId="14" fillId="16" borderId="3" xfId="0" applyFont="1" applyFill="1" applyBorder="1" applyAlignment="1">
      <alignment vertical="center"/>
    </xf>
    <xf numFmtId="167" fontId="16" fillId="16" borderId="3" xfId="1" applyNumberFormat="1" applyFont="1" applyFill="1" applyBorder="1" applyAlignment="1">
      <alignment vertical="center" wrapText="1"/>
    </xf>
    <xf numFmtId="0" fontId="14" fillId="15" borderId="4" xfId="0" applyFont="1" applyFill="1" applyBorder="1" applyAlignment="1">
      <alignment vertical="center"/>
    </xf>
    <xf numFmtId="0" fontId="14" fillId="15" borderId="5" xfId="0" applyFont="1" applyFill="1" applyBorder="1" applyAlignment="1">
      <alignment vertical="center"/>
    </xf>
    <xf numFmtId="0" fontId="13" fillId="18" borderId="3" xfId="0" applyFont="1" applyFill="1" applyBorder="1" applyAlignment="1">
      <alignment horizontal="left" vertical="center" wrapText="1"/>
    </xf>
    <xf numFmtId="0" fontId="17" fillId="18" borderId="3" xfId="0" applyFont="1" applyFill="1" applyBorder="1" applyAlignment="1">
      <alignment horizontal="center" vertical="center"/>
    </xf>
    <xf numFmtId="0" fontId="14" fillId="18" borderId="3" xfId="0" applyFont="1" applyFill="1" applyBorder="1" applyAlignment="1">
      <alignment horizontal="center" vertical="center" wrapText="1"/>
    </xf>
    <xf numFmtId="0" fontId="16" fillId="18" borderId="3" xfId="0" applyFont="1" applyFill="1" applyBorder="1" applyAlignment="1">
      <alignment horizontal="center" vertical="center" wrapText="1"/>
    </xf>
    <xf numFmtId="0" fontId="13" fillId="18" borderId="3" xfId="0" applyFont="1" applyFill="1" applyBorder="1" applyAlignment="1">
      <alignment horizontal="center" vertical="center" wrapText="1"/>
    </xf>
    <xf numFmtId="0" fontId="13" fillId="18" borderId="3" xfId="0" applyFont="1" applyFill="1" applyBorder="1"/>
    <xf numFmtId="9" fontId="18" fillId="18" borderId="3" xfId="4" applyFont="1" applyFill="1" applyBorder="1" applyAlignment="1">
      <alignment horizontal="center" vertical="center" wrapText="1"/>
    </xf>
    <xf numFmtId="0" fontId="18" fillId="18" borderId="3" xfId="0" applyFont="1" applyFill="1" applyBorder="1" applyAlignment="1">
      <alignment horizontal="left" vertical="center" wrapText="1"/>
    </xf>
    <xf numFmtId="0" fontId="17" fillId="18" borderId="14" xfId="0" applyFont="1" applyFill="1" applyBorder="1" applyAlignment="1">
      <alignment horizontal="center" vertical="center"/>
    </xf>
    <xf numFmtId="0" fontId="14" fillId="18" borderId="14" xfId="0" applyFont="1" applyFill="1" applyBorder="1" applyAlignment="1">
      <alignment horizontal="center" vertical="center" wrapText="1"/>
    </xf>
    <xf numFmtId="0" fontId="13" fillId="18" borderId="14" xfId="0" applyFont="1" applyFill="1" applyBorder="1" applyAlignment="1">
      <alignment horizontal="left" vertical="center" wrapText="1"/>
    </xf>
    <xf numFmtId="0" fontId="13" fillId="18" borderId="14" xfId="0" applyFont="1" applyFill="1" applyBorder="1" applyAlignment="1">
      <alignment horizontal="center" vertical="center" wrapText="1"/>
    </xf>
    <xf numFmtId="9" fontId="18" fillId="18" borderId="14" xfId="4" applyFont="1" applyFill="1" applyBorder="1" applyAlignment="1">
      <alignment horizontal="center" vertical="center" wrapText="1"/>
    </xf>
    <xf numFmtId="167" fontId="18" fillId="18" borderId="14" xfId="1" applyNumberFormat="1" applyFont="1" applyFill="1" applyBorder="1" applyAlignment="1">
      <alignment vertical="center" wrapText="1"/>
    </xf>
    <xf numFmtId="167" fontId="18" fillId="18" borderId="3" xfId="1" applyNumberFormat="1" applyFont="1" applyFill="1" applyBorder="1" applyAlignment="1">
      <alignment vertical="center" wrapText="1"/>
    </xf>
    <xf numFmtId="0" fontId="17" fillId="18" borderId="3" xfId="0" applyFont="1" applyFill="1" applyBorder="1" applyAlignment="1">
      <alignment horizontal="center" vertical="center" wrapText="1"/>
    </xf>
    <xf numFmtId="0" fontId="17" fillId="18" borderId="3" xfId="0" applyFont="1" applyFill="1" applyBorder="1" applyAlignment="1">
      <alignment vertical="center" wrapText="1"/>
    </xf>
    <xf numFmtId="0" fontId="17" fillId="18" borderId="10" xfId="0" applyFont="1" applyFill="1" applyBorder="1" applyAlignment="1">
      <alignment horizontal="center" vertical="center"/>
    </xf>
    <xf numFmtId="167" fontId="13" fillId="18" borderId="3" xfId="1" applyNumberFormat="1" applyFont="1" applyFill="1" applyBorder="1" applyAlignment="1">
      <alignment vertical="center"/>
    </xf>
    <xf numFmtId="0" fontId="14" fillId="5" borderId="14" xfId="0" applyFont="1" applyFill="1" applyBorder="1" applyAlignment="1">
      <alignment horizontal="center" vertical="center" wrapText="1"/>
    </xf>
    <xf numFmtId="0" fontId="14" fillId="5" borderId="14" xfId="0" applyFont="1" applyFill="1" applyBorder="1"/>
    <xf numFmtId="0" fontId="14" fillId="5" borderId="14" xfId="0" applyFont="1" applyFill="1" applyBorder="1" applyAlignment="1">
      <alignment vertical="center"/>
    </xf>
    <xf numFmtId="167" fontId="16" fillId="5" borderId="14" xfId="1" applyNumberFormat="1" applyFont="1" applyFill="1" applyBorder="1" applyAlignment="1">
      <alignment vertical="center" wrapText="1"/>
    </xf>
    <xf numFmtId="0" fontId="17" fillId="3" borderId="3" xfId="0" applyFont="1" applyFill="1" applyBorder="1" applyAlignment="1">
      <alignment vertical="center"/>
    </xf>
    <xf numFmtId="0" fontId="14" fillId="10" borderId="4" xfId="0" applyFont="1" applyFill="1" applyBorder="1" applyAlignment="1">
      <alignment vertical="center"/>
    </xf>
    <xf numFmtId="0" fontId="14" fillId="10" borderId="5" xfId="0" applyFont="1" applyFill="1" applyBorder="1" applyAlignment="1">
      <alignment vertical="center"/>
    </xf>
    <xf numFmtId="0" fontId="14" fillId="10" borderId="6" xfId="0" applyFont="1" applyFill="1" applyBorder="1" applyAlignment="1">
      <alignment vertical="center"/>
    </xf>
    <xf numFmtId="9" fontId="18" fillId="0" borderId="15" xfId="4" applyFont="1" applyFill="1" applyBorder="1" applyAlignment="1">
      <alignment horizontal="center" vertical="center" wrapText="1"/>
    </xf>
    <xf numFmtId="0" fontId="14" fillId="4" borderId="3" xfId="0" applyFont="1" applyFill="1" applyBorder="1" applyAlignment="1">
      <alignment horizontal="left" vertical="center"/>
    </xf>
    <xf numFmtId="166" fontId="18" fillId="0" borderId="3" xfId="0" applyNumberFormat="1" applyFont="1" applyBorder="1" applyAlignment="1">
      <alignment horizontal="left" vertical="center" wrapText="1"/>
    </xf>
    <xf numFmtId="166" fontId="18" fillId="0" borderId="14" xfId="0" applyNumberFormat="1" applyFont="1" applyBorder="1" applyAlignment="1">
      <alignment horizontal="left" vertical="center" wrapText="1"/>
    </xf>
    <xf numFmtId="166" fontId="16" fillId="16" borderId="3" xfId="0" applyNumberFormat="1" applyFont="1" applyFill="1" applyBorder="1" applyAlignment="1">
      <alignment horizontal="left" vertical="center" wrapText="1"/>
    </xf>
    <xf numFmtId="166" fontId="18" fillId="14" borderId="3" xfId="0" applyNumberFormat="1" applyFont="1" applyFill="1" applyBorder="1" applyAlignment="1">
      <alignment horizontal="left" vertical="center" wrapText="1"/>
    </xf>
    <xf numFmtId="166" fontId="16" fillId="5" borderId="3" xfId="0" applyNumberFormat="1" applyFont="1" applyFill="1" applyBorder="1" applyAlignment="1">
      <alignment horizontal="left" vertical="center" wrapText="1"/>
    </xf>
    <xf numFmtId="0" fontId="18" fillId="0" borderId="17" xfId="0" applyFont="1" applyBorder="1" applyAlignment="1">
      <alignment horizontal="left" vertical="center" wrapText="1"/>
    </xf>
    <xf numFmtId="166" fontId="16" fillId="5" borderId="10" xfId="0" applyNumberFormat="1" applyFont="1" applyFill="1" applyBorder="1" applyAlignment="1">
      <alignment horizontal="left" vertical="center" wrapText="1"/>
    </xf>
    <xf numFmtId="3" fontId="14" fillId="12" borderId="3" xfId="0" applyNumberFormat="1" applyFont="1" applyFill="1" applyBorder="1" applyAlignment="1">
      <alignment horizontal="left" vertical="center"/>
    </xf>
    <xf numFmtId="166" fontId="16" fillId="5" borderId="14" xfId="0" applyNumberFormat="1" applyFont="1" applyFill="1" applyBorder="1" applyAlignment="1">
      <alignment horizontal="left" vertical="center" wrapText="1"/>
    </xf>
    <xf numFmtId="166" fontId="16" fillId="4" borderId="3" xfId="0" applyNumberFormat="1" applyFont="1" applyFill="1" applyBorder="1" applyAlignment="1">
      <alignment horizontal="left" vertical="center" wrapText="1"/>
    </xf>
    <xf numFmtId="164" fontId="17" fillId="13" borderId="10" xfId="0" applyNumberFormat="1" applyFont="1" applyFill="1" applyBorder="1" applyAlignment="1">
      <alignment horizontal="left" vertical="center"/>
    </xf>
    <xf numFmtId="0" fontId="13" fillId="0" borderId="0" xfId="0" applyFont="1" applyAlignment="1">
      <alignment horizontal="left" vertical="center"/>
    </xf>
    <xf numFmtId="0" fontId="13" fillId="16" borderId="3" xfId="0" applyFont="1" applyFill="1" applyBorder="1" applyAlignment="1">
      <alignment horizontal="left" vertical="center"/>
    </xf>
    <xf numFmtId="0" fontId="13" fillId="3" borderId="3" xfId="0" applyFont="1" applyFill="1" applyBorder="1" applyAlignment="1">
      <alignment horizontal="left" vertical="center"/>
    </xf>
    <xf numFmtId="167" fontId="13" fillId="0" borderId="0" xfId="1" applyNumberFormat="1" applyFont="1" applyAlignment="1">
      <alignment horizontal="right" vertical="center"/>
    </xf>
    <xf numFmtId="167" fontId="13" fillId="0" borderId="0" xfId="1" applyNumberFormat="1" applyFont="1" applyAlignment="1">
      <alignment vertical="center"/>
    </xf>
    <xf numFmtId="167" fontId="13" fillId="0" borderId="0" xfId="1" applyNumberFormat="1" applyFont="1"/>
    <xf numFmtId="167" fontId="17" fillId="2" borderId="3" xfId="1" applyNumberFormat="1" applyFont="1" applyFill="1" applyBorder="1" applyAlignment="1">
      <alignment horizontal="center" vertical="center" wrapText="1"/>
    </xf>
    <xf numFmtId="167" fontId="17" fillId="2" borderId="4" xfId="1" applyNumberFormat="1" applyFont="1" applyFill="1" applyBorder="1" applyAlignment="1">
      <alignment horizontal="center" vertical="center" wrapText="1"/>
    </xf>
    <xf numFmtId="167" fontId="14" fillId="7" borderId="3" xfId="1" applyNumberFormat="1" applyFont="1" applyFill="1" applyBorder="1" applyAlignment="1">
      <alignment horizontal="center" vertical="center" wrapText="1" readingOrder="1"/>
    </xf>
    <xf numFmtId="167" fontId="14" fillId="5" borderId="3" xfId="1" applyNumberFormat="1" applyFont="1" applyFill="1" applyBorder="1" applyAlignment="1">
      <alignment horizontal="center" vertical="center" wrapText="1" readingOrder="1"/>
    </xf>
    <xf numFmtId="167" fontId="17" fillId="11" borderId="3" xfId="1" applyNumberFormat="1" applyFont="1" applyFill="1" applyBorder="1" applyAlignment="1">
      <alignment horizontal="center" vertical="center" wrapText="1"/>
    </xf>
    <xf numFmtId="167" fontId="16" fillId="4" borderId="3" xfId="1" applyNumberFormat="1" applyFont="1" applyFill="1" applyBorder="1" applyAlignment="1">
      <alignment horizontal="center" vertical="center" wrapText="1"/>
    </xf>
    <xf numFmtId="167" fontId="14" fillId="15" borderId="5" xfId="1" applyNumberFormat="1" applyFont="1" applyFill="1" applyBorder="1" applyAlignment="1">
      <alignment horizontal="right" vertical="center" wrapText="1"/>
    </xf>
    <xf numFmtId="167" fontId="14" fillId="15" borderId="6" xfId="1" applyNumberFormat="1" applyFont="1" applyFill="1" applyBorder="1" applyAlignment="1">
      <alignment vertical="center" wrapText="1"/>
    </xf>
    <xf numFmtId="167" fontId="18" fillId="16" borderId="4" xfId="1" applyNumberFormat="1" applyFont="1" applyFill="1" applyBorder="1" applyAlignment="1">
      <alignment vertical="center"/>
    </xf>
    <xf numFmtId="167" fontId="13" fillId="17" borderId="3" xfId="1" applyNumberFormat="1" applyFont="1" applyFill="1" applyBorder="1"/>
    <xf numFmtId="167" fontId="13" fillId="16" borderId="3" xfId="1" applyNumberFormat="1" applyFont="1" applyFill="1" applyBorder="1" applyAlignment="1">
      <alignment vertical="center"/>
    </xf>
    <xf numFmtId="167" fontId="13" fillId="16" borderId="3" xfId="1" applyNumberFormat="1" applyFont="1" applyFill="1" applyBorder="1"/>
    <xf numFmtId="167" fontId="18" fillId="16" borderId="3" xfId="1" applyNumberFormat="1" applyFont="1" applyFill="1" applyBorder="1" applyAlignment="1">
      <alignment vertical="center" wrapText="1"/>
    </xf>
    <xf numFmtId="167" fontId="13" fillId="0" borderId="3" xfId="1" applyNumberFormat="1" applyFont="1" applyBorder="1" applyAlignment="1">
      <alignment horizontal="right" vertical="center" wrapText="1"/>
    </xf>
    <xf numFmtId="167" fontId="13" fillId="0" borderId="3" xfId="1" applyNumberFormat="1" applyFont="1" applyBorder="1"/>
    <xf numFmtId="167" fontId="13" fillId="0" borderId="4" xfId="1" applyNumberFormat="1" applyFont="1" applyBorder="1"/>
    <xf numFmtId="167" fontId="13" fillId="0" borderId="14" xfId="1" applyNumberFormat="1" applyFont="1" applyBorder="1" applyAlignment="1">
      <alignment horizontal="right" vertical="center" wrapText="1"/>
    </xf>
    <xf numFmtId="167" fontId="13" fillId="0" borderId="14" xfId="1" applyNumberFormat="1" applyFont="1" applyBorder="1"/>
    <xf numFmtId="167" fontId="13" fillId="0" borderId="11" xfId="1" applyNumberFormat="1" applyFont="1" applyBorder="1"/>
    <xf numFmtId="167" fontId="13" fillId="0" borderId="14" xfId="1" applyNumberFormat="1" applyFont="1" applyBorder="1" applyAlignment="1">
      <alignment vertical="center"/>
    </xf>
    <xf numFmtId="167" fontId="13" fillId="0" borderId="3" xfId="1" applyNumberFormat="1" applyFont="1" applyBorder="1" applyAlignment="1">
      <alignment horizontal="right" vertical="center"/>
    </xf>
    <xf numFmtId="167" fontId="14" fillId="16" borderId="3" xfId="1" applyNumberFormat="1" applyFont="1" applyFill="1" applyBorder="1" applyAlignment="1">
      <alignment horizontal="right" vertical="center" wrapText="1"/>
    </xf>
    <xf numFmtId="167" fontId="14" fillId="16" borderId="3" xfId="1" applyNumberFormat="1" applyFont="1" applyFill="1" applyBorder="1"/>
    <xf numFmtId="167" fontId="14" fillId="16" borderId="3" xfId="1" applyNumberFormat="1" applyFont="1" applyFill="1" applyBorder="1" applyAlignment="1">
      <alignment vertical="center"/>
    </xf>
    <xf numFmtId="167" fontId="17" fillId="3" borderId="3" xfId="1" applyNumberFormat="1" applyFont="1" applyFill="1" applyBorder="1" applyAlignment="1">
      <alignment horizontal="right" vertical="center" wrapText="1"/>
    </xf>
    <xf numFmtId="167" fontId="17" fillId="3" borderId="3" xfId="1" applyNumberFormat="1" applyFont="1" applyFill="1" applyBorder="1" applyAlignment="1">
      <alignment vertical="center" wrapText="1"/>
    </xf>
    <xf numFmtId="167" fontId="18" fillId="3" borderId="3" xfId="1" applyNumberFormat="1" applyFont="1" applyFill="1" applyBorder="1" applyAlignment="1"/>
    <xf numFmtId="167" fontId="13" fillId="3" borderId="3" xfId="1" applyNumberFormat="1" applyFont="1" applyFill="1" applyBorder="1" applyAlignment="1">
      <alignment vertical="center"/>
    </xf>
    <xf numFmtId="167" fontId="13" fillId="3" borderId="3" xfId="1" applyNumberFormat="1" applyFont="1" applyFill="1" applyBorder="1"/>
    <xf numFmtId="167" fontId="13" fillId="0" borderId="10" xfId="1" applyNumberFormat="1" applyFont="1" applyBorder="1" applyAlignment="1">
      <alignment horizontal="right" vertical="center" wrapText="1"/>
    </xf>
    <xf numFmtId="167" fontId="17" fillId="0" borderId="10" xfId="1" applyNumberFormat="1" applyFont="1" applyBorder="1" applyAlignment="1">
      <alignment horizontal="center" vertical="center"/>
    </xf>
    <xf numFmtId="167" fontId="13" fillId="0" borderId="10" xfId="1" applyNumberFormat="1" applyFont="1" applyBorder="1" applyAlignment="1">
      <alignment vertical="center"/>
    </xf>
    <xf numFmtId="167" fontId="13" fillId="0" borderId="10" xfId="1" applyNumberFormat="1" applyFont="1" applyBorder="1"/>
    <xf numFmtId="167" fontId="17" fillId="0" borderId="3" xfId="1" applyNumberFormat="1" applyFont="1" applyBorder="1" applyAlignment="1">
      <alignment horizontal="center" vertical="center"/>
    </xf>
    <xf numFmtId="167" fontId="13" fillId="0" borderId="4" xfId="1" applyNumberFormat="1" applyFont="1" applyBorder="1" applyAlignment="1">
      <alignment horizontal="center" vertical="center" wrapText="1"/>
    </xf>
    <xf numFmtId="167" fontId="17" fillId="0" borderId="14" xfId="1" applyNumberFormat="1" applyFont="1" applyBorder="1" applyAlignment="1">
      <alignment horizontal="center" vertical="center"/>
    </xf>
    <xf numFmtId="167" fontId="14" fillId="5" borderId="3" xfId="1" applyNumberFormat="1" applyFont="1" applyFill="1" applyBorder="1" applyAlignment="1">
      <alignment horizontal="right" vertical="center" wrapText="1"/>
    </xf>
    <xf numFmtId="167" fontId="14" fillId="5" borderId="3" xfId="1" applyNumberFormat="1" applyFont="1" applyFill="1" applyBorder="1"/>
    <xf numFmtId="167" fontId="14" fillId="5" borderId="3" xfId="1" applyNumberFormat="1" applyFont="1" applyFill="1" applyBorder="1" applyAlignment="1">
      <alignment vertical="center"/>
    </xf>
    <xf numFmtId="167" fontId="13" fillId="0" borderId="7" xfId="1" applyNumberFormat="1" applyFont="1" applyBorder="1" applyAlignment="1">
      <alignment horizontal="center" vertical="center" wrapText="1"/>
    </xf>
    <xf numFmtId="167" fontId="13" fillId="0" borderId="10" xfId="1" applyNumberFormat="1" applyFont="1" applyBorder="1" applyAlignment="1">
      <alignment horizontal="center" vertical="center" wrapText="1"/>
    </xf>
    <xf numFmtId="167" fontId="13" fillId="0" borderId="18" xfId="1" applyNumberFormat="1" applyFont="1" applyBorder="1" applyAlignment="1">
      <alignment vertical="center"/>
    </xf>
    <xf numFmtId="167" fontId="13" fillId="0" borderId="6" xfId="1" applyNumberFormat="1" applyFont="1" applyBorder="1" applyAlignment="1">
      <alignment horizontal="right" vertical="center" wrapText="1"/>
    </xf>
    <xf numFmtId="167" fontId="18" fillId="0" borderId="6" xfId="1" applyNumberFormat="1" applyFont="1" applyBorder="1" applyAlignment="1">
      <alignment horizontal="center" vertical="center" wrapText="1"/>
    </xf>
    <xf numFmtId="167" fontId="18" fillId="0" borderId="4" xfId="1" applyNumberFormat="1" applyFont="1" applyBorder="1" applyAlignment="1">
      <alignment horizontal="center" vertical="center"/>
    </xf>
    <xf numFmtId="167" fontId="18" fillId="0" borderId="3" xfId="1" applyNumberFormat="1" applyFont="1" applyBorder="1" applyAlignment="1">
      <alignment horizontal="center" vertical="center"/>
    </xf>
    <xf numFmtId="167" fontId="19" fillId="0" borderId="3" xfId="1" applyNumberFormat="1" applyFont="1" applyBorder="1" applyAlignment="1">
      <alignment horizontal="center" vertical="center"/>
    </xf>
    <xf numFmtId="167" fontId="13" fillId="0" borderId="3" xfId="1" applyNumberFormat="1" applyFont="1" applyBorder="1" applyAlignment="1">
      <alignment horizontal="center" vertical="center" wrapText="1"/>
    </xf>
    <xf numFmtId="167" fontId="13" fillId="0" borderId="1" xfId="1" applyNumberFormat="1" applyFont="1" applyBorder="1" applyAlignment="1">
      <alignment horizontal="center" vertical="center" wrapText="1"/>
    </xf>
    <xf numFmtId="167" fontId="13" fillId="0" borderId="1" xfId="1" applyNumberFormat="1" applyFont="1" applyBorder="1" applyAlignment="1">
      <alignment vertical="center"/>
    </xf>
    <xf numFmtId="167" fontId="19" fillId="0" borderId="15" xfId="1" applyNumberFormat="1" applyFont="1" applyFill="1" applyBorder="1" applyAlignment="1">
      <alignment horizontal="center" vertical="center"/>
    </xf>
    <xf numFmtId="167" fontId="13" fillId="18" borderId="3" xfId="1" applyNumberFormat="1" applyFont="1" applyFill="1" applyBorder="1" applyAlignment="1">
      <alignment horizontal="right" vertical="center" wrapText="1"/>
    </xf>
    <xf numFmtId="167" fontId="17" fillId="18" borderId="3" xfId="1" applyNumberFormat="1" applyFont="1" applyFill="1" applyBorder="1" applyAlignment="1">
      <alignment horizontal="center" vertical="center"/>
    </xf>
    <xf numFmtId="167" fontId="13" fillId="18" borderId="4" xfId="1" applyNumberFormat="1" applyFont="1" applyFill="1" applyBorder="1" applyAlignment="1">
      <alignment horizontal="center" vertical="center" wrapText="1"/>
    </xf>
    <xf numFmtId="167" fontId="13" fillId="18" borderId="3" xfId="1" applyNumberFormat="1" applyFont="1" applyFill="1" applyBorder="1"/>
    <xf numFmtId="167" fontId="13" fillId="0" borderId="3" xfId="1" applyNumberFormat="1" applyFont="1" applyFill="1" applyBorder="1" applyAlignment="1" applyProtection="1">
      <alignment horizontal="center" vertical="center"/>
      <protection locked="0"/>
    </xf>
    <xf numFmtId="167" fontId="13" fillId="18" borderId="14" xfId="1" applyNumberFormat="1" applyFont="1" applyFill="1" applyBorder="1" applyAlignment="1">
      <alignment horizontal="right" vertical="center" wrapText="1"/>
    </xf>
    <xf numFmtId="167" fontId="17" fillId="18" borderId="14" xfId="1" applyNumberFormat="1" applyFont="1" applyFill="1" applyBorder="1" applyAlignment="1">
      <alignment horizontal="center" vertical="center"/>
    </xf>
    <xf numFmtId="167" fontId="13" fillId="18" borderId="11" xfId="1" applyNumberFormat="1" applyFont="1" applyFill="1" applyBorder="1" applyAlignment="1">
      <alignment horizontal="center" vertical="center" wrapText="1"/>
    </xf>
    <xf numFmtId="167" fontId="13" fillId="18" borderId="14" xfId="1" applyNumberFormat="1" applyFont="1" applyFill="1" applyBorder="1" applyAlignment="1">
      <alignment vertical="center"/>
    </xf>
    <xf numFmtId="167" fontId="13" fillId="18" borderId="14" xfId="1" applyNumberFormat="1" applyFont="1" applyFill="1" applyBorder="1"/>
    <xf numFmtId="167" fontId="19" fillId="0" borderId="10" xfId="1" applyNumberFormat="1" applyFont="1" applyBorder="1" applyAlignment="1">
      <alignment horizontal="center" vertical="center"/>
    </xf>
    <xf numFmtId="167" fontId="13" fillId="0" borderId="7" xfId="1" applyNumberFormat="1" applyFont="1" applyBorder="1" applyAlignment="1">
      <alignment vertical="center"/>
    </xf>
    <xf numFmtId="167" fontId="13" fillId="0" borderId="6" xfId="1" applyNumberFormat="1" applyFont="1" applyBorder="1" applyAlignment="1">
      <alignment vertical="center"/>
    </xf>
    <xf numFmtId="167" fontId="13" fillId="0" borderId="11" xfId="1" applyNumberFormat="1" applyFont="1" applyBorder="1" applyAlignment="1">
      <alignment horizontal="center" vertical="center" wrapText="1"/>
    </xf>
    <xf numFmtId="167" fontId="13" fillId="0" borderId="11" xfId="1" applyNumberFormat="1" applyFont="1" applyBorder="1" applyAlignment="1">
      <alignment vertical="center"/>
    </xf>
    <xf numFmtId="167" fontId="13" fillId="14" borderId="3" xfId="1" applyNumberFormat="1" applyFont="1" applyFill="1" applyBorder="1" applyAlignment="1">
      <alignment horizontal="right" vertical="center" wrapText="1"/>
    </xf>
    <xf numFmtId="167" fontId="19" fillId="0" borderId="1" xfId="1" applyNumberFormat="1" applyFont="1" applyBorder="1" applyAlignment="1">
      <alignment horizontal="center" vertical="center"/>
    </xf>
    <xf numFmtId="167" fontId="18" fillId="0" borderId="3" xfId="1" applyNumberFormat="1" applyFont="1" applyBorder="1" applyAlignment="1">
      <alignment vertical="center"/>
    </xf>
    <xf numFmtId="167" fontId="19" fillId="0" borderId="16" xfId="1" applyNumberFormat="1" applyFont="1" applyBorder="1" applyAlignment="1">
      <alignment horizontal="center" vertical="center"/>
    </xf>
    <xf numFmtId="167" fontId="19" fillId="0" borderId="18" xfId="1" applyNumberFormat="1" applyFont="1" applyBorder="1" applyAlignment="1">
      <alignment horizontal="center" vertical="center"/>
    </xf>
    <xf numFmtId="167" fontId="13" fillId="0" borderId="15" xfId="1" applyNumberFormat="1" applyFont="1" applyBorder="1" applyAlignment="1">
      <alignment horizontal="right" vertical="center" wrapText="1"/>
    </xf>
    <xf numFmtId="167" fontId="17" fillId="0" borderId="15" xfId="1" applyNumberFormat="1" applyFont="1" applyBorder="1" applyAlignment="1">
      <alignment horizontal="center" vertical="center"/>
    </xf>
    <xf numFmtId="167" fontId="13" fillId="0" borderId="19" xfId="1" applyNumberFormat="1" applyFont="1" applyBorder="1" applyAlignment="1">
      <alignment horizontal="center" vertical="center" wrapText="1"/>
    </xf>
    <xf numFmtId="167" fontId="13" fillId="0" borderId="15" xfId="1" applyNumberFormat="1" applyFont="1" applyBorder="1" applyAlignment="1">
      <alignment vertical="center"/>
    </xf>
    <xf numFmtId="167" fontId="13" fillId="0" borderId="15" xfId="1" applyNumberFormat="1" applyFont="1" applyBorder="1"/>
    <xf numFmtId="167" fontId="19" fillId="0" borderId="20" xfId="1" applyNumberFormat="1" applyFont="1" applyBorder="1" applyAlignment="1">
      <alignment horizontal="center" vertical="center"/>
    </xf>
    <xf numFmtId="167" fontId="18" fillId="0" borderId="15" xfId="1" applyNumberFormat="1" applyFont="1" applyFill="1" applyBorder="1" applyAlignment="1">
      <alignment vertical="center" wrapText="1"/>
    </xf>
    <xf numFmtId="167" fontId="13" fillId="14" borderId="0" xfId="1" applyNumberFormat="1" applyFont="1" applyFill="1" applyAlignment="1">
      <alignment horizontal="right" vertical="center"/>
    </xf>
    <xf numFmtId="167" fontId="13" fillId="0" borderId="4" xfId="1" applyNumberFormat="1" applyFont="1" applyBorder="1" applyAlignment="1">
      <alignment vertical="center"/>
    </xf>
    <xf numFmtId="167" fontId="19" fillId="0" borderId="3" xfId="1" applyNumberFormat="1" applyFont="1" applyBorder="1" applyAlignment="1">
      <alignment vertical="center" readingOrder="1"/>
    </xf>
    <xf numFmtId="167" fontId="19" fillId="0" borderId="14" xfId="1" applyNumberFormat="1" applyFont="1" applyBorder="1" applyAlignment="1">
      <alignment vertical="center" readingOrder="1"/>
    </xf>
    <xf numFmtId="167" fontId="19" fillId="0" borderId="10" xfId="1" applyNumberFormat="1" applyFont="1" applyBorder="1" applyAlignment="1">
      <alignment vertical="center" readingOrder="1"/>
    </xf>
    <xf numFmtId="167" fontId="19" fillId="0" borderId="14" xfId="1" applyNumberFormat="1" applyFont="1" applyBorder="1" applyAlignment="1">
      <alignment horizontal="center" vertical="center"/>
    </xf>
    <xf numFmtId="167" fontId="13" fillId="0" borderId="14" xfId="1" applyNumberFormat="1" applyFont="1" applyBorder="1" applyAlignment="1">
      <alignment horizontal="center" vertical="center" wrapText="1"/>
    </xf>
    <xf numFmtId="167" fontId="19" fillId="0" borderId="14" xfId="1" applyNumberFormat="1" applyFont="1" applyFill="1" applyBorder="1" applyAlignment="1">
      <alignment horizontal="center" vertical="center"/>
    </xf>
    <xf numFmtId="167" fontId="13" fillId="18" borderId="3" xfId="1" applyNumberFormat="1" applyFont="1" applyFill="1" applyBorder="1" applyAlignment="1">
      <alignment horizontal="center" vertical="center" wrapText="1"/>
    </xf>
    <xf numFmtId="167" fontId="13" fillId="0" borderId="3" xfId="1" applyNumberFormat="1" applyFont="1" applyFill="1" applyBorder="1" applyAlignment="1">
      <alignment horizontal="right" vertical="center"/>
    </xf>
    <xf numFmtId="167" fontId="19" fillId="0" borderId="2" xfId="1" applyNumberFormat="1" applyFont="1" applyBorder="1" applyAlignment="1">
      <alignment horizontal="center" vertical="center"/>
    </xf>
    <xf numFmtId="167" fontId="14" fillId="0" borderId="3" xfId="1" applyNumberFormat="1" applyFont="1" applyBorder="1" applyAlignment="1">
      <alignment horizontal="center" vertical="center"/>
    </xf>
    <xf numFmtId="167" fontId="13" fillId="0" borderId="14" xfId="1" applyNumberFormat="1" applyFont="1" applyFill="1" applyBorder="1" applyAlignment="1">
      <alignment horizontal="right" vertical="center"/>
    </xf>
    <xf numFmtId="167" fontId="14" fillId="5" borderId="10" xfId="1" applyNumberFormat="1" applyFont="1" applyFill="1" applyBorder="1" applyAlignment="1">
      <alignment horizontal="right" vertical="center" wrapText="1"/>
    </xf>
    <xf numFmtId="167" fontId="14" fillId="5" borderId="10" xfId="1" applyNumberFormat="1" applyFont="1" applyFill="1" applyBorder="1"/>
    <xf numFmtId="167" fontId="14" fillId="5" borderId="10" xfId="1" applyNumberFormat="1" applyFont="1" applyFill="1" applyBorder="1" applyAlignment="1">
      <alignment vertical="center"/>
    </xf>
    <xf numFmtId="167" fontId="13" fillId="0" borderId="14" xfId="1" applyNumberFormat="1" applyFont="1" applyFill="1" applyBorder="1" applyAlignment="1" applyProtection="1">
      <alignment horizontal="center" vertical="center"/>
      <protection locked="0"/>
    </xf>
    <xf numFmtId="167" fontId="18" fillId="18" borderId="3" xfId="1" applyNumberFormat="1" applyFont="1" applyFill="1" applyBorder="1" applyAlignment="1">
      <alignment horizontal="right" vertical="center" wrapText="1"/>
    </xf>
    <xf numFmtId="167" fontId="18" fillId="18" borderId="3" xfId="1" applyNumberFormat="1" applyFont="1" applyFill="1" applyBorder="1" applyAlignment="1">
      <alignment horizontal="left" vertical="center" wrapText="1"/>
    </xf>
    <xf numFmtId="167" fontId="13" fillId="18" borderId="3" xfId="1" applyNumberFormat="1" applyFont="1" applyFill="1" applyBorder="1" applyAlignment="1" applyProtection="1">
      <alignment horizontal="center" vertical="center"/>
      <protection locked="0"/>
    </xf>
    <xf numFmtId="167" fontId="19" fillId="18" borderId="3" xfId="1" applyNumberFormat="1" applyFont="1" applyFill="1" applyBorder="1" applyAlignment="1">
      <alignment horizontal="center" vertical="center"/>
    </xf>
    <xf numFmtId="167" fontId="13" fillId="0" borderId="10" xfId="1" applyNumberFormat="1" applyFont="1" applyBorder="1" applyAlignment="1">
      <alignment horizontal="right" vertical="center"/>
    </xf>
    <xf numFmtId="167" fontId="22" fillId="0" borderId="10" xfId="1" applyNumberFormat="1" applyFont="1" applyBorder="1" applyAlignment="1">
      <alignment horizontal="center" vertical="center"/>
    </xf>
    <xf numFmtId="167" fontId="19" fillId="0" borderId="3" xfId="1" applyNumberFormat="1" applyFont="1" applyFill="1" applyBorder="1" applyAlignment="1">
      <alignment vertical="center" wrapText="1"/>
    </xf>
    <xf numFmtId="167" fontId="19" fillId="0" borderId="0" xfId="1" applyNumberFormat="1" applyFont="1" applyAlignment="1">
      <alignment horizontal="center" vertical="center"/>
    </xf>
    <xf numFmtId="167" fontId="17" fillId="12" borderId="3" xfId="1" applyNumberFormat="1" applyFont="1" applyFill="1" applyBorder="1" applyAlignment="1">
      <alignment horizontal="right" vertical="center"/>
    </xf>
    <xf numFmtId="167" fontId="17" fillId="12" borderId="3" xfId="1" applyNumberFormat="1" applyFont="1" applyFill="1" applyBorder="1" applyAlignment="1">
      <alignment vertical="center"/>
    </xf>
    <xf numFmtId="167" fontId="14" fillId="12" borderId="3" xfId="1" applyNumberFormat="1" applyFont="1" applyFill="1" applyBorder="1" applyAlignment="1">
      <alignment vertical="center"/>
    </xf>
    <xf numFmtId="167" fontId="18" fillId="3" borderId="3" xfId="1" applyNumberFormat="1" applyFont="1" applyFill="1" applyBorder="1"/>
    <xf numFmtId="167" fontId="14" fillId="5" borderId="14" xfId="1" applyNumberFormat="1" applyFont="1" applyFill="1" applyBorder="1" applyAlignment="1">
      <alignment horizontal="right" vertical="center" wrapText="1"/>
    </xf>
    <xf numFmtId="167" fontId="14" fillId="5" borderId="14" xfId="1" applyNumberFormat="1" applyFont="1" applyFill="1" applyBorder="1"/>
    <xf numFmtId="167" fontId="14" fillId="5" borderId="14" xfId="1" applyNumberFormat="1" applyFont="1" applyFill="1" applyBorder="1" applyAlignment="1">
      <alignment vertical="center"/>
    </xf>
    <xf numFmtId="167" fontId="14" fillId="10" borderId="3" xfId="1" applyNumberFormat="1" applyFont="1" applyFill="1" applyBorder="1" applyAlignment="1">
      <alignment horizontal="right" vertical="center" wrapText="1"/>
    </xf>
    <xf numFmtId="167" fontId="14" fillId="10" borderId="3" xfId="1" applyNumberFormat="1" applyFont="1" applyFill="1" applyBorder="1"/>
    <xf numFmtId="167" fontId="14" fillId="4" borderId="3" xfId="1" applyNumberFormat="1" applyFont="1" applyFill="1" applyBorder="1"/>
    <xf numFmtId="167" fontId="14" fillId="4" borderId="3" xfId="1" applyNumberFormat="1" applyFont="1" applyFill="1" applyBorder="1" applyAlignment="1">
      <alignment vertical="center"/>
    </xf>
    <xf numFmtId="167" fontId="18" fillId="0" borderId="14" xfId="1" applyNumberFormat="1" applyFont="1" applyFill="1" applyBorder="1" applyAlignment="1">
      <alignment vertical="center"/>
    </xf>
    <xf numFmtId="167" fontId="13" fillId="0" borderId="14" xfId="1" applyNumberFormat="1" applyFont="1" applyBorder="1" applyAlignment="1">
      <alignment horizontal="right" vertical="center"/>
    </xf>
    <xf numFmtId="167" fontId="17" fillId="14" borderId="3" xfId="1" applyNumberFormat="1" applyFont="1" applyFill="1" applyBorder="1" applyAlignment="1">
      <alignment horizontal="center" vertical="center"/>
    </xf>
    <xf numFmtId="167" fontId="13" fillId="14" borderId="4" xfId="1" applyNumberFormat="1" applyFont="1" applyFill="1" applyBorder="1" applyAlignment="1">
      <alignment horizontal="center" vertical="center" wrapText="1"/>
    </xf>
    <xf numFmtId="167" fontId="13" fillId="14" borderId="3" xfId="1" applyNumberFormat="1" applyFont="1" applyFill="1" applyBorder="1"/>
    <xf numFmtId="167" fontId="13" fillId="14" borderId="3" xfId="1" applyNumberFormat="1" applyFont="1" applyFill="1" applyBorder="1" applyAlignment="1">
      <alignment horizontal="center" vertical="center" wrapText="1"/>
    </xf>
    <xf numFmtId="167" fontId="19" fillId="14" borderId="3" xfId="1" applyNumberFormat="1" applyFont="1" applyFill="1" applyBorder="1" applyAlignment="1">
      <alignment horizontal="center" vertical="center"/>
    </xf>
    <xf numFmtId="167" fontId="19" fillId="14" borderId="1" xfId="1" applyNumberFormat="1" applyFont="1" applyFill="1" applyBorder="1" applyAlignment="1">
      <alignment horizontal="center" vertical="center"/>
    </xf>
    <xf numFmtId="167" fontId="19" fillId="18" borderId="1" xfId="1" applyNumberFormat="1" applyFont="1" applyFill="1" applyBorder="1" applyAlignment="1">
      <alignment horizontal="center" vertical="center"/>
    </xf>
    <xf numFmtId="167" fontId="19" fillId="14" borderId="3" xfId="1" applyNumberFormat="1" applyFont="1" applyFill="1" applyBorder="1" applyAlignment="1">
      <alignment vertical="center" readingOrder="1"/>
    </xf>
    <xf numFmtId="167" fontId="13" fillId="14" borderId="0" xfId="1" applyNumberFormat="1" applyFont="1" applyFill="1"/>
    <xf numFmtId="167" fontId="13" fillId="6" borderId="3" xfId="1" applyNumberFormat="1" applyFont="1" applyFill="1" applyBorder="1" applyAlignment="1">
      <alignment horizontal="right" vertical="center" wrapText="1"/>
    </xf>
    <xf numFmtId="167" fontId="17" fillId="6" borderId="3" xfId="1" applyNumberFormat="1" applyFont="1" applyFill="1" applyBorder="1" applyAlignment="1">
      <alignment horizontal="center" vertical="center"/>
    </xf>
    <xf numFmtId="167" fontId="13" fillId="6" borderId="4" xfId="1" applyNumberFormat="1" applyFont="1" applyFill="1" applyBorder="1" applyAlignment="1">
      <alignment horizontal="center" vertical="center" wrapText="1"/>
    </xf>
    <xf numFmtId="167" fontId="13" fillId="6" borderId="3" xfId="1" applyNumberFormat="1" applyFont="1" applyFill="1" applyBorder="1"/>
    <xf numFmtId="167" fontId="13" fillId="6" borderId="3" xfId="1" applyNumberFormat="1" applyFont="1" applyFill="1" applyBorder="1" applyAlignment="1">
      <alignment horizontal="center" vertical="center" wrapText="1"/>
    </xf>
    <xf numFmtId="167" fontId="19" fillId="6" borderId="3" xfId="1" applyNumberFormat="1" applyFont="1" applyFill="1" applyBorder="1" applyAlignment="1">
      <alignment horizontal="center" vertical="center"/>
    </xf>
    <xf numFmtId="167" fontId="19" fillId="6" borderId="1" xfId="1" applyNumberFormat="1" applyFont="1" applyFill="1" applyBorder="1" applyAlignment="1">
      <alignment horizontal="center" vertical="center"/>
    </xf>
    <xf numFmtId="167" fontId="18" fillId="6" borderId="3" xfId="1" applyNumberFormat="1" applyFont="1" applyFill="1" applyBorder="1" applyAlignment="1">
      <alignment vertical="center" wrapText="1"/>
    </xf>
    <xf numFmtId="167" fontId="13" fillId="6" borderId="0" xfId="1" applyNumberFormat="1" applyFont="1" applyFill="1"/>
    <xf numFmtId="167" fontId="19" fillId="0" borderId="3" xfId="1" applyNumberFormat="1" applyFont="1" applyBorder="1" applyAlignment="1">
      <alignment horizontal="right" vertical="center" wrapText="1"/>
    </xf>
    <xf numFmtId="167" fontId="18" fillId="13" borderId="10" xfId="1" applyNumberFormat="1" applyFont="1" applyFill="1" applyBorder="1" applyAlignment="1">
      <alignment horizontal="right" vertical="center"/>
    </xf>
    <xf numFmtId="167" fontId="18" fillId="13" borderId="10" xfId="1" applyNumberFormat="1" applyFont="1" applyFill="1" applyBorder="1"/>
    <xf numFmtId="167" fontId="13" fillId="13" borderId="7" xfId="1" applyNumberFormat="1" applyFont="1" applyFill="1" applyBorder="1" applyAlignment="1">
      <alignment horizontal="center" vertical="center"/>
    </xf>
    <xf numFmtId="167" fontId="13" fillId="13" borderId="10" xfId="1" applyNumberFormat="1" applyFont="1" applyFill="1" applyBorder="1" applyAlignment="1">
      <alignment vertical="center"/>
    </xf>
    <xf numFmtId="167" fontId="13" fillId="13" borderId="10" xfId="1" applyNumberFormat="1" applyFont="1" applyFill="1" applyBorder="1"/>
    <xf numFmtId="167" fontId="17" fillId="0" borderId="0" xfId="1" applyNumberFormat="1" applyFont="1" applyAlignment="1">
      <alignment horizontal="right" vertical="center" wrapText="1"/>
    </xf>
    <xf numFmtId="167" fontId="17" fillId="0" borderId="0" xfId="1" applyNumberFormat="1" applyFont="1" applyAlignment="1">
      <alignment vertical="center"/>
    </xf>
    <xf numFmtId="167" fontId="18" fillId="18" borderId="14" xfId="1" applyNumberFormat="1" applyFont="1" applyFill="1" applyBorder="1" applyAlignment="1">
      <alignment horizontal="right" vertical="center" wrapText="1"/>
    </xf>
    <xf numFmtId="167" fontId="13" fillId="18" borderId="3" xfId="1" applyNumberFormat="1" applyFont="1" applyFill="1" applyBorder="1" applyAlignment="1">
      <alignment horizontal="right" vertical="center"/>
    </xf>
    <xf numFmtId="167" fontId="18" fillId="16" borderId="3" xfId="0" applyNumberFormat="1" applyFont="1" applyFill="1" applyBorder="1" applyAlignment="1">
      <alignment horizontal="right" vertical="center"/>
    </xf>
    <xf numFmtId="167" fontId="18" fillId="16" borderId="3" xfId="0" applyNumberFormat="1" applyFont="1" applyFill="1" applyBorder="1" applyAlignment="1">
      <alignment vertical="center" wrapText="1"/>
    </xf>
    <xf numFmtId="167" fontId="13" fillId="3" borderId="3" xfId="0" applyNumberFormat="1" applyFont="1" applyFill="1" applyBorder="1" applyAlignment="1">
      <alignment horizontal="right"/>
    </xf>
    <xf numFmtId="167" fontId="13" fillId="3" borderId="3" xfId="0" applyNumberFormat="1" applyFont="1" applyFill="1" applyBorder="1"/>
    <xf numFmtId="167" fontId="18" fillId="0" borderId="3" xfId="3" applyNumberFormat="1" applyFont="1" applyFill="1" applyBorder="1" applyAlignment="1">
      <alignment vertical="center" wrapText="1"/>
    </xf>
    <xf numFmtId="167" fontId="18" fillId="18" borderId="3" xfId="3" applyNumberFormat="1" applyFont="1" applyFill="1" applyBorder="1" applyAlignment="1">
      <alignment horizontal="right" vertical="center" wrapText="1"/>
    </xf>
    <xf numFmtId="167" fontId="14" fillId="12" borderId="3" xfId="0" applyNumberFormat="1" applyFont="1" applyFill="1" applyBorder="1" applyAlignment="1">
      <alignment vertical="center"/>
    </xf>
    <xf numFmtId="167" fontId="18" fillId="14" borderId="3" xfId="3" applyNumberFormat="1" applyFont="1" applyFill="1" applyBorder="1" applyAlignment="1">
      <alignment vertical="center" wrapText="1"/>
    </xf>
    <xf numFmtId="167" fontId="18" fillId="0" borderId="10" xfId="3" applyNumberFormat="1" applyFont="1" applyFill="1" applyBorder="1" applyAlignment="1">
      <alignment vertical="center" wrapText="1"/>
    </xf>
    <xf numFmtId="167" fontId="18" fillId="0" borderId="14" xfId="3" applyNumberFormat="1" applyFont="1" applyFill="1" applyBorder="1" applyAlignment="1">
      <alignment vertical="center" wrapText="1"/>
    </xf>
    <xf numFmtId="167" fontId="18" fillId="18" borderId="3" xfId="3" applyNumberFormat="1" applyFont="1" applyFill="1" applyBorder="1" applyAlignment="1">
      <alignment vertical="center" wrapText="1"/>
    </xf>
    <xf numFmtId="167" fontId="18" fillId="6" borderId="3" xfId="3" applyNumberFormat="1" applyFont="1" applyFill="1" applyBorder="1" applyAlignment="1">
      <alignment vertical="center" wrapText="1"/>
    </xf>
    <xf numFmtId="167" fontId="17" fillId="12" borderId="3" xfId="0" applyNumberFormat="1" applyFont="1" applyFill="1" applyBorder="1" applyAlignment="1">
      <alignment vertical="center"/>
    </xf>
    <xf numFmtId="167" fontId="17" fillId="13" borderId="3" xfId="0" applyNumberFormat="1" applyFont="1" applyFill="1" applyBorder="1" applyAlignment="1">
      <alignment horizontal="right" vertical="center" wrapText="1"/>
    </xf>
    <xf numFmtId="167" fontId="17" fillId="0" borderId="0" xfId="0" applyNumberFormat="1" applyFont="1" applyAlignment="1">
      <alignment horizontal="right" vertical="center" wrapText="1"/>
    </xf>
    <xf numFmtId="167" fontId="13" fillId="0" borderId="0" xfId="4" applyNumberFormat="1" applyFont="1" applyAlignment="1">
      <alignment horizontal="right" vertical="center"/>
    </xf>
    <xf numFmtId="167" fontId="13" fillId="0" borderId="0" xfId="4" applyNumberFormat="1" applyFont="1" applyAlignment="1">
      <alignment vertical="center"/>
    </xf>
    <xf numFmtId="0" fontId="21" fillId="0" borderId="10" xfId="2" applyFont="1" applyBorder="1" applyAlignment="1">
      <alignment horizontal="center" vertical="center" wrapText="1"/>
    </xf>
    <xf numFmtId="167" fontId="13" fillId="0" borderId="3" xfId="1" applyNumberFormat="1" applyFont="1" applyFill="1" applyBorder="1" applyAlignment="1">
      <alignment horizontal="right" vertical="center" wrapText="1"/>
    </xf>
    <xf numFmtId="167" fontId="17" fillId="0" borderId="3" xfId="1" applyNumberFormat="1" applyFont="1" applyFill="1" applyBorder="1" applyAlignment="1">
      <alignment horizontal="center" vertical="center"/>
    </xf>
    <xf numFmtId="167" fontId="13" fillId="0" borderId="4" xfId="1" applyNumberFormat="1" applyFont="1" applyFill="1" applyBorder="1" applyAlignment="1">
      <alignment horizontal="center" vertical="center" wrapText="1"/>
    </xf>
    <xf numFmtId="167" fontId="13" fillId="0" borderId="3" xfId="1" applyNumberFormat="1" applyFont="1" applyFill="1" applyBorder="1"/>
    <xf numFmtId="167" fontId="13" fillId="0" borderId="3" xfId="1" applyNumberFormat="1" applyFont="1" applyFill="1" applyBorder="1" applyAlignment="1">
      <alignment horizontal="center" vertical="center" wrapText="1"/>
    </xf>
    <xf numFmtId="167" fontId="13" fillId="0" borderId="1" xfId="1" applyNumberFormat="1" applyFont="1" applyFill="1" applyBorder="1" applyAlignment="1">
      <alignment vertical="center"/>
    </xf>
    <xf numFmtId="5" fontId="14" fillId="0" borderId="10" xfId="0" applyNumberFormat="1" applyFont="1" applyBorder="1" applyAlignment="1">
      <alignment horizontal="center" vertical="center" wrapText="1"/>
    </xf>
    <xf numFmtId="167" fontId="13" fillId="0" borderId="10" xfId="1" applyNumberFormat="1" applyFont="1" applyFill="1" applyBorder="1" applyAlignment="1">
      <alignment horizontal="right" vertical="center" wrapText="1"/>
    </xf>
    <xf numFmtId="167" fontId="17" fillId="0" borderId="10" xfId="1" applyNumberFormat="1" applyFont="1" applyFill="1" applyBorder="1" applyAlignment="1">
      <alignment horizontal="center" vertical="center"/>
    </xf>
    <xf numFmtId="167" fontId="13" fillId="0" borderId="7" xfId="1" applyNumberFormat="1" applyFont="1" applyFill="1" applyBorder="1" applyAlignment="1">
      <alignment horizontal="center" vertical="center" wrapText="1"/>
    </xf>
    <xf numFmtId="167" fontId="13" fillId="0" borderId="10" xfId="1" applyNumberFormat="1" applyFont="1" applyFill="1" applyBorder="1"/>
    <xf numFmtId="167" fontId="13" fillId="0" borderId="6" xfId="1" applyNumberFormat="1" applyFont="1" applyFill="1" applyBorder="1" applyAlignment="1">
      <alignment vertical="center"/>
    </xf>
    <xf numFmtId="167" fontId="19" fillId="0" borderId="1" xfId="1" applyNumberFormat="1" applyFont="1" applyFill="1" applyBorder="1" applyAlignment="1">
      <alignment horizontal="center" vertical="center"/>
    </xf>
    <xf numFmtId="0" fontId="13" fillId="18" borderId="0" xfId="0" applyFont="1" applyFill="1"/>
    <xf numFmtId="0" fontId="14" fillId="0" borderId="3" xfId="0" applyFont="1" applyBorder="1" applyAlignment="1">
      <alignment vertical="center"/>
    </xf>
    <xf numFmtId="6" fontId="18" fillId="0" borderId="3" xfId="0" applyNumberFormat="1" applyFont="1" applyBorder="1" applyAlignment="1">
      <alignment horizontal="center" vertical="center"/>
    </xf>
    <xf numFmtId="167" fontId="14" fillId="0" borderId="3" xfId="1" applyNumberFormat="1" applyFont="1" applyFill="1" applyBorder="1" applyAlignment="1">
      <alignment vertical="center"/>
    </xf>
    <xf numFmtId="6" fontId="19" fillId="0" borderId="3" xfId="0" applyNumberFormat="1" applyFont="1" applyBorder="1" applyAlignment="1">
      <alignment horizontal="center" vertical="center"/>
    </xf>
    <xf numFmtId="167" fontId="19" fillId="0" borderId="3" xfId="0" applyNumberFormat="1" applyFont="1" applyBorder="1" applyAlignment="1">
      <alignment horizontal="center" vertical="center"/>
    </xf>
    <xf numFmtId="167" fontId="13" fillId="0" borderId="14" xfId="1" applyNumberFormat="1" applyFont="1" applyBorder="1" applyAlignment="1">
      <alignment vertical="center" wrapText="1"/>
    </xf>
    <xf numFmtId="0" fontId="20" fillId="0" borderId="10" xfId="2" applyFont="1" applyBorder="1" applyAlignment="1">
      <alignment horizontal="left" vertical="center" wrapText="1"/>
    </xf>
    <xf numFmtId="6" fontId="13" fillId="12" borderId="3" xfId="0" applyNumberFormat="1" applyFont="1" applyFill="1" applyBorder="1"/>
    <xf numFmtId="166" fontId="18" fillId="0" borderId="10" xfId="0" applyNumberFormat="1" applyFont="1" applyBorder="1" applyAlignment="1">
      <alignment horizontal="left" vertical="center" wrapText="1"/>
    </xf>
    <xf numFmtId="0" fontId="14" fillId="0" borderId="10" xfId="0" applyFont="1" applyBorder="1" applyAlignment="1">
      <alignment horizontal="center" vertical="center"/>
    </xf>
    <xf numFmtId="167" fontId="13" fillId="0" borderId="10" xfId="3" applyNumberFormat="1" applyFont="1" applyFill="1" applyBorder="1" applyAlignment="1">
      <alignment vertical="center" wrapText="1"/>
    </xf>
    <xf numFmtId="166" fontId="13" fillId="0" borderId="10" xfId="0" applyNumberFormat="1" applyFont="1" applyBorder="1" applyAlignment="1">
      <alignment horizontal="left" vertical="center" wrapText="1"/>
    </xf>
    <xf numFmtId="167" fontId="13" fillId="0" borderId="3" xfId="3" applyNumberFormat="1" applyFont="1" applyFill="1" applyBorder="1" applyAlignment="1">
      <alignment vertical="center" wrapText="1"/>
    </xf>
    <xf numFmtId="166" fontId="13" fillId="0" borderId="3" xfId="0" applyNumberFormat="1" applyFont="1" applyBorder="1" applyAlignment="1">
      <alignment horizontal="left" vertical="center" wrapText="1"/>
    </xf>
    <xf numFmtId="0" fontId="14" fillId="0" borderId="15" xfId="0" applyFont="1" applyBorder="1" applyAlignment="1">
      <alignment horizontal="center" vertical="center" wrapText="1"/>
    </xf>
    <xf numFmtId="0" fontId="13" fillId="0" borderId="15" xfId="0" applyFont="1" applyBorder="1" applyAlignment="1">
      <alignment horizontal="center" vertical="center" wrapText="1"/>
    </xf>
    <xf numFmtId="0" fontId="17" fillId="19" borderId="3" xfId="0" applyFont="1" applyFill="1" applyBorder="1" applyAlignment="1">
      <alignment horizontal="center" vertical="center"/>
    </xf>
    <xf numFmtId="167" fontId="13" fillId="12" borderId="3" xfId="4" applyNumberFormat="1" applyFont="1" applyFill="1" applyBorder="1" applyAlignment="1">
      <alignment horizontal="right" vertical="center"/>
    </xf>
    <xf numFmtId="167" fontId="13" fillId="12" borderId="14" xfId="4" applyNumberFormat="1" applyFont="1" applyFill="1" applyBorder="1" applyAlignment="1">
      <alignment horizontal="right" vertical="center"/>
    </xf>
    <xf numFmtId="167" fontId="18" fillId="12" borderId="3" xfId="3" applyNumberFormat="1" applyFont="1" applyFill="1" applyBorder="1" applyAlignment="1">
      <alignment horizontal="right" vertical="center" wrapText="1"/>
    </xf>
    <xf numFmtId="167" fontId="13" fillId="12" borderId="10" xfId="4" applyNumberFormat="1" applyFont="1" applyFill="1" applyBorder="1" applyAlignment="1">
      <alignment horizontal="right" vertical="center"/>
    </xf>
    <xf numFmtId="167" fontId="18" fillId="12" borderId="10" xfId="3" applyNumberFormat="1" applyFont="1" applyFill="1" applyBorder="1" applyAlignment="1">
      <alignment horizontal="right" vertical="center" wrapText="1"/>
    </xf>
    <xf numFmtId="167" fontId="18" fillId="12" borderId="14" xfId="3" applyNumberFormat="1" applyFont="1" applyFill="1" applyBorder="1" applyAlignment="1">
      <alignment horizontal="right" vertical="center" wrapText="1"/>
    </xf>
    <xf numFmtId="167" fontId="18" fillId="12" borderId="3" xfId="0" applyNumberFormat="1" applyFont="1" applyFill="1" applyBorder="1" applyAlignment="1">
      <alignment horizontal="right" vertical="center"/>
    </xf>
    <xf numFmtId="167" fontId="18" fillId="12" borderId="14" xfId="0" applyNumberFormat="1" applyFont="1" applyFill="1" applyBorder="1" applyAlignment="1">
      <alignment horizontal="right" vertical="center"/>
    </xf>
    <xf numFmtId="167" fontId="16" fillId="12" borderId="3" xfId="1" applyNumberFormat="1" applyFont="1" applyFill="1" applyBorder="1" applyAlignment="1">
      <alignment vertical="center" wrapText="1"/>
    </xf>
    <xf numFmtId="0" fontId="13" fillId="0" borderId="10" xfId="0" applyFont="1" applyBorder="1"/>
    <xf numFmtId="0" fontId="14" fillId="6" borderId="10" xfId="0" applyFont="1" applyFill="1" applyBorder="1" applyAlignment="1">
      <alignment horizontal="center" vertical="center" wrapText="1"/>
    </xf>
    <xf numFmtId="0" fontId="14" fillId="6" borderId="14" xfId="0" applyFont="1" applyFill="1" applyBorder="1" applyAlignment="1">
      <alignment horizontal="center" vertical="center" wrapText="1"/>
    </xf>
    <xf numFmtId="0" fontId="17" fillId="6" borderId="10" xfId="0" applyFont="1" applyFill="1" applyBorder="1" applyAlignment="1">
      <alignment vertical="center" wrapText="1"/>
    </xf>
    <xf numFmtId="0" fontId="17" fillId="6" borderId="3" xfId="0" applyFont="1" applyFill="1" applyBorder="1" applyAlignment="1">
      <alignment vertical="center" wrapText="1"/>
    </xf>
    <xf numFmtId="0" fontId="17" fillId="6" borderId="10" xfId="0" applyFont="1" applyFill="1" applyBorder="1" applyAlignment="1">
      <alignment horizontal="center" vertical="center" wrapText="1"/>
    </xf>
    <xf numFmtId="167" fontId="13" fillId="6" borderId="10" xfId="1" applyNumberFormat="1" applyFont="1" applyFill="1" applyBorder="1" applyAlignment="1">
      <alignment horizontal="right" vertical="center" wrapText="1"/>
    </xf>
    <xf numFmtId="167" fontId="17" fillId="6" borderId="10" xfId="1" applyNumberFormat="1" applyFont="1" applyFill="1" applyBorder="1" applyAlignment="1">
      <alignment horizontal="center" vertical="center"/>
    </xf>
    <xf numFmtId="167" fontId="17" fillId="6" borderId="7" xfId="1" applyNumberFormat="1" applyFont="1" applyFill="1" applyBorder="1" applyAlignment="1">
      <alignment horizontal="center" vertical="center"/>
    </xf>
    <xf numFmtId="167" fontId="13" fillId="6" borderId="10" xfId="1" applyNumberFormat="1" applyFont="1" applyFill="1" applyBorder="1" applyAlignment="1">
      <alignment vertical="center"/>
    </xf>
    <xf numFmtId="167" fontId="13" fillId="6" borderId="10" xfId="1" applyNumberFormat="1" applyFont="1" applyFill="1" applyBorder="1"/>
    <xf numFmtId="167" fontId="17" fillId="6" borderId="4" xfId="1" applyNumberFormat="1" applyFont="1" applyFill="1" applyBorder="1" applyAlignment="1">
      <alignment horizontal="center" vertical="center"/>
    </xf>
    <xf numFmtId="167" fontId="13" fillId="6" borderId="0" xfId="1" applyNumberFormat="1" applyFont="1" applyFill="1" applyAlignment="1">
      <alignment horizontal="right" vertical="center"/>
    </xf>
    <xf numFmtId="167" fontId="13" fillId="6" borderId="7" xfId="1" applyNumberFormat="1" applyFont="1" applyFill="1" applyBorder="1" applyAlignment="1">
      <alignment horizontal="center" vertical="center" wrapText="1"/>
    </xf>
    <xf numFmtId="167" fontId="13" fillId="6" borderId="15" xfId="1" applyNumberFormat="1" applyFont="1" applyFill="1" applyBorder="1" applyAlignment="1">
      <alignment horizontal="right" vertical="center" wrapText="1"/>
    </xf>
    <xf numFmtId="167" fontId="17" fillId="6" borderId="15" xfId="1" applyNumberFormat="1" applyFont="1" applyFill="1" applyBorder="1" applyAlignment="1">
      <alignment horizontal="center" vertical="center"/>
    </xf>
    <xf numFmtId="167" fontId="13" fillId="6" borderId="19" xfId="1" applyNumberFormat="1" applyFont="1" applyFill="1" applyBorder="1" applyAlignment="1">
      <alignment horizontal="center" vertical="center" wrapText="1"/>
    </xf>
    <xf numFmtId="167" fontId="13" fillId="6" borderId="15" xfId="1" applyNumberFormat="1" applyFont="1" applyFill="1" applyBorder="1" applyAlignment="1">
      <alignment vertical="center"/>
    </xf>
    <xf numFmtId="167" fontId="13" fillId="6" borderId="15" xfId="1" applyNumberFormat="1" applyFont="1" applyFill="1" applyBorder="1"/>
    <xf numFmtId="167" fontId="13" fillId="6" borderId="10" xfId="1" applyNumberFormat="1" applyFont="1" applyFill="1" applyBorder="1" applyAlignment="1">
      <alignment horizontal="right" vertical="center"/>
    </xf>
    <xf numFmtId="167" fontId="18" fillId="6" borderId="10" xfId="1" applyNumberFormat="1" applyFont="1" applyFill="1" applyBorder="1" applyAlignment="1">
      <alignment vertical="center" wrapText="1"/>
    </xf>
    <xf numFmtId="167" fontId="13" fillId="6" borderId="3" xfId="1" applyNumberFormat="1" applyFont="1" applyFill="1" applyBorder="1" applyAlignment="1">
      <alignment horizontal="right" vertical="center"/>
    </xf>
    <xf numFmtId="167" fontId="19" fillId="6" borderId="10" xfId="1" applyNumberFormat="1" applyFont="1" applyFill="1" applyBorder="1" applyAlignment="1">
      <alignment horizontal="center" vertical="center"/>
    </xf>
    <xf numFmtId="167" fontId="13" fillId="6" borderId="10" xfId="1" applyNumberFormat="1" applyFont="1" applyFill="1" applyBorder="1" applyAlignment="1">
      <alignment horizontal="center" vertical="center" wrapText="1"/>
    </xf>
    <xf numFmtId="167" fontId="19" fillId="6" borderId="18" xfId="1" applyNumberFormat="1" applyFont="1" applyFill="1" applyBorder="1" applyAlignment="1">
      <alignment horizontal="center" vertical="center"/>
    </xf>
    <xf numFmtId="167" fontId="23" fillId="6" borderId="10" xfId="1" applyNumberFormat="1" applyFont="1" applyFill="1" applyBorder="1" applyAlignment="1">
      <alignment horizontal="right" vertical="center" wrapText="1"/>
    </xf>
    <xf numFmtId="167" fontId="23" fillId="6" borderId="3" xfId="1" applyNumberFormat="1" applyFont="1" applyFill="1" applyBorder="1" applyAlignment="1">
      <alignment horizontal="right" vertical="center" wrapText="1"/>
    </xf>
    <xf numFmtId="167" fontId="13" fillId="6" borderId="0" xfId="1" applyNumberFormat="1" applyFont="1" applyFill="1" applyBorder="1" applyAlignment="1">
      <alignment vertical="center"/>
    </xf>
    <xf numFmtId="167" fontId="20" fillId="6" borderId="3" xfId="1" applyNumberFormat="1" applyFont="1" applyFill="1" applyBorder="1" applyAlignment="1">
      <alignment horizontal="right" vertical="center" wrapText="1"/>
    </xf>
    <xf numFmtId="167" fontId="17" fillId="0" borderId="7" xfId="1" applyNumberFormat="1" applyFont="1" applyFill="1" applyBorder="1" applyAlignment="1">
      <alignment horizontal="center" vertical="center"/>
    </xf>
    <xf numFmtId="167" fontId="17" fillId="0" borderId="4" xfId="1" applyNumberFormat="1" applyFont="1" applyFill="1" applyBorder="1" applyAlignment="1">
      <alignment horizontal="center" vertical="center"/>
    </xf>
    <xf numFmtId="167" fontId="13" fillId="0" borderId="14" xfId="1" applyNumberFormat="1" applyFont="1" applyFill="1" applyBorder="1" applyAlignment="1">
      <alignment horizontal="right" vertical="center" wrapText="1"/>
    </xf>
    <xf numFmtId="167" fontId="17" fillId="0" borderId="14" xfId="1" applyNumberFormat="1" applyFont="1" applyFill="1" applyBorder="1" applyAlignment="1">
      <alignment horizontal="center" vertical="center"/>
    </xf>
    <xf numFmtId="167" fontId="17" fillId="0" borderId="11" xfId="1" applyNumberFormat="1" applyFont="1" applyFill="1" applyBorder="1" applyAlignment="1">
      <alignment horizontal="center" vertical="center"/>
    </xf>
    <xf numFmtId="167" fontId="13" fillId="0" borderId="14" xfId="1" applyNumberFormat="1" applyFont="1" applyFill="1" applyBorder="1"/>
    <xf numFmtId="0" fontId="17" fillId="21" borderId="3" xfId="0" applyFont="1" applyFill="1" applyBorder="1" applyAlignment="1">
      <alignment horizontal="center" vertical="center"/>
    </xf>
    <xf numFmtId="0" fontId="14" fillId="21" borderId="3" xfId="0" applyFont="1" applyFill="1" applyBorder="1" applyAlignment="1">
      <alignment horizontal="center" vertical="center" wrapText="1"/>
    </xf>
    <xf numFmtId="0" fontId="16" fillId="21" borderId="3" xfId="0" applyFont="1" applyFill="1" applyBorder="1" applyAlignment="1">
      <alignment horizontal="center" vertical="center" wrapText="1"/>
    </xf>
    <xf numFmtId="0" fontId="13" fillId="21" borderId="3" xfId="0" applyFont="1" applyFill="1" applyBorder="1" applyAlignment="1">
      <alignment horizontal="left" vertical="center" wrapText="1"/>
    </xf>
    <xf numFmtId="165" fontId="16" fillId="21" borderId="3" xfId="0" applyNumberFormat="1" applyFont="1" applyFill="1" applyBorder="1" applyAlignment="1">
      <alignment horizontal="center" vertical="center"/>
    </xf>
    <xf numFmtId="0" fontId="13" fillId="21" borderId="3" xfId="0" applyFont="1" applyFill="1" applyBorder="1" applyAlignment="1">
      <alignment horizontal="center" vertical="center" wrapText="1"/>
    </xf>
    <xf numFmtId="167" fontId="13" fillId="21" borderId="3" xfId="1" applyNumberFormat="1" applyFont="1" applyFill="1" applyBorder="1" applyAlignment="1">
      <alignment horizontal="right" vertical="center" wrapText="1"/>
    </xf>
    <xf numFmtId="167" fontId="17" fillId="21" borderId="3" xfId="1" applyNumberFormat="1" applyFont="1" applyFill="1" applyBorder="1" applyAlignment="1">
      <alignment horizontal="center" vertical="center"/>
    </xf>
    <xf numFmtId="167" fontId="13" fillId="21" borderId="4" xfId="1" applyNumberFormat="1" applyFont="1" applyFill="1" applyBorder="1" applyAlignment="1">
      <alignment horizontal="center" vertical="center" wrapText="1"/>
    </xf>
    <xf numFmtId="167" fontId="13" fillId="21" borderId="3" xfId="1" applyNumberFormat="1" applyFont="1" applyFill="1" applyBorder="1" applyAlignment="1">
      <alignment vertical="center"/>
    </xf>
    <xf numFmtId="167" fontId="13" fillId="21" borderId="3" xfId="1" applyNumberFormat="1" applyFont="1" applyFill="1" applyBorder="1"/>
    <xf numFmtId="167" fontId="18" fillId="21" borderId="3" xfId="1" applyNumberFormat="1" applyFont="1" applyFill="1" applyBorder="1" applyAlignment="1">
      <alignment vertical="center" wrapText="1"/>
    </xf>
    <xf numFmtId="9" fontId="18" fillId="21" borderId="3" xfId="4" applyFont="1" applyFill="1" applyBorder="1" applyAlignment="1">
      <alignment horizontal="center" vertical="center" wrapText="1"/>
    </xf>
    <xf numFmtId="167" fontId="18" fillId="21" borderId="3" xfId="1" applyNumberFormat="1" applyFont="1" applyFill="1" applyBorder="1" applyAlignment="1">
      <alignment horizontal="right" vertical="center" wrapText="1"/>
    </xf>
    <xf numFmtId="0" fontId="18" fillId="21" borderId="3" xfId="0" applyFont="1" applyFill="1" applyBorder="1" applyAlignment="1">
      <alignment horizontal="left" vertical="center" wrapText="1"/>
    </xf>
    <xf numFmtId="167" fontId="13" fillId="21" borderId="10" xfId="1" applyNumberFormat="1" applyFont="1" applyFill="1" applyBorder="1" applyAlignment="1">
      <alignment vertical="center"/>
    </xf>
    <xf numFmtId="0" fontId="17" fillId="21" borderId="10" xfId="0" applyFont="1" applyFill="1" applyBorder="1" applyAlignment="1">
      <alignment horizontal="center" vertical="center"/>
    </xf>
    <xf numFmtId="167" fontId="13" fillId="21" borderId="3" xfId="1" applyNumberFormat="1" applyFont="1" applyFill="1" applyBorder="1" applyAlignment="1">
      <alignment horizontal="center" vertical="center" wrapText="1"/>
    </xf>
    <xf numFmtId="0" fontId="14" fillId="21" borderId="15" xfId="0" applyFont="1" applyFill="1" applyBorder="1" applyAlignment="1">
      <alignment horizontal="center" vertical="center" wrapText="1"/>
    </xf>
    <xf numFmtId="0" fontId="20" fillId="21" borderId="15" xfId="0" applyFont="1" applyFill="1" applyBorder="1" applyAlignment="1">
      <alignment horizontal="left" vertical="center" wrapText="1"/>
    </xf>
    <xf numFmtId="0" fontId="13" fillId="21" borderId="15" xfId="0" applyFont="1" applyFill="1" applyBorder="1" applyAlignment="1">
      <alignment horizontal="center" vertical="center" wrapText="1"/>
    </xf>
    <xf numFmtId="167" fontId="13" fillId="21" borderId="15" xfId="1" applyNumberFormat="1" applyFont="1" applyFill="1" applyBorder="1" applyAlignment="1">
      <alignment horizontal="right" vertical="center" wrapText="1"/>
    </xf>
    <xf numFmtId="167" fontId="17" fillId="21" borderId="15" xfId="1" applyNumberFormat="1" applyFont="1" applyFill="1" applyBorder="1" applyAlignment="1">
      <alignment horizontal="center" vertical="center"/>
    </xf>
    <xf numFmtId="167" fontId="17" fillId="21" borderId="19" xfId="1" applyNumberFormat="1" applyFont="1" applyFill="1" applyBorder="1" applyAlignment="1">
      <alignment horizontal="center" vertical="center"/>
    </xf>
    <xf numFmtId="167" fontId="13" fillId="21" borderId="15" xfId="1" applyNumberFormat="1" applyFont="1" applyFill="1" applyBorder="1" applyAlignment="1">
      <alignment vertical="center"/>
    </xf>
    <xf numFmtId="167" fontId="13" fillId="21" borderId="15" xfId="1" applyNumberFormat="1" applyFont="1" applyFill="1" applyBorder="1"/>
    <xf numFmtId="167" fontId="13" fillId="21" borderId="0" xfId="1" applyNumberFormat="1" applyFont="1" applyFill="1" applyAlignment="1">
      <alignment vertical="center"/>
    </xf>
    <xf numFmtId="0" fontId="13" fillId="21" borderId="15" xfId="0" applyFont="1" applyFill="1" applyBorder="1"/>
    <xf numFmtId="167" fontId="13" fillId="21" borderId="0" xfId="0" applyNumberFormat="1" applyFont="1" applyFill="1" applyAlignment="1">
      <alignment vertical="center"/>
    </xf>
    <xf numFmtId="167" fontId="18" fillId="21" borderId="15" xfId="1" applyNumberFormat="1" applyFont="1" applyFill="1" applyBorder="1" applyAlignment="1">
      <alignment vertical="center" wrapText="1"/>
    </xf>
    <xf numFmtId="166" fontId="18" fillId="21" borderId="15" xfId="0" applyNumberFormat="1" applyFont="1" applyFill="1" applyBorder="1" applyAlignment="1">
      <alignment horizontal="left" vertical="center" wrapText="1"/>
    </xf>
    <xf numFmtId="0" fontId="21" fillId="3" borderId="3" xfId="285" applyFont="1" applyFill="1" applyBorder="1" applyAlignment="1">
      <alignment horizontal="center" vertical="center" wrapText="1"/>
    </xf>
    <xf numFmtId="0" fontId="20" fillId="0" borderId="0" xfId="285" applyFont="1"/>
    <xf numFmtId="0" fontId="30" fillId="14" borderId="14" xfId="285" applyFont="1" applyFill="1" applyBorder="1" applyAlignment="1">
      <alignment horizontal="center" vertical="center" wrapText="1"/>
    </xf>
    <xf numFmtId="0" fontId="30" fillId="14" borderId="11" xfId="285" applyFont="1" applyFill="1" applyBorder="1" applyAlignment="1">
      <alignment horizontal="center" vertical="center" wrapText="1"/>
    </xf>
    <xf numFmtId="0" fontId="30" fillId="14" borderId="3" xfId="285" applyFont="1" applyFill="1" applyBorder="1" applyAlignment="1">
      <alignment vertical="center" wrapText="1"/>
    </xf>
    <xf numFmtId="44" fontId="29" fillId="28" borderId="3" xfId="286" applyFont="1" applyFill="1" applyBorder="1" applyAlignment="1">
      <alignment horizontal="center" vertical="center" wrapText="1"/>
    </xf>
    <xf numFmtId="44" fontId="29" fillId="28" borderId="4" xfId="286" applyFont="1" applyFill="1" applyBorder="1" applyAlignment="1">
      <alignment horizontal="center" vertical="center" wrapText="1"/>
    </xf>
    <xf numFmtId="172" fontId="28" fillId="29" borderId="3" xfId="287" applyNumberFormat="1" applyFont="1" applyFill="1" applyBorder="1" applyAlignment="1">
      <alignment horizontal="center" vertical="center" wrapText="1"/>
    </xf>
    <xf numFmtId="167" fontId="35" fillId="30" borderId="3" xfId="286" applyNumberFormat="1" applyFont="1" applyFill="1" applyBorder="1" applyAlignment="1">
      <alignment horizontal="center" vertical="center" wrapText="1"/>
    </xf>
    <xf numFmtId="9" fontId="21" fillId="3" borderId="3" xfId="288" applyFont="1" applyFill="1" applyBorder="1" applyAlignment="1">
      <alignment horizontal="center" vertical="center" wrapText="1"/>
    </xf>
    <xf numFmtId="44" fontId="21" fillId="3" borderId="3" xfId="289" applyFont="1" applyFill="1" applyBorder="1" applyAlignment="1">
      <alignment horizontal="center" vertical="center" wrapText="1"/>
    </xf>
    <xf numFmtId="0" fontId="20" fillId="6" borderId="0" xfId="285" applyFont="1" applyFill="1"/>
    <xf numFmtId="0" fontId="20" fillId="6" borderId="3" xfId="285" applyFont="1" applyFill="1" applyBorder="1" applyAlignment="1">
      <alignment horizontal="center" vertical="center"/>
    </xf>
    <xf numFmtId="0" fontId="20" fillId="6" borderId="6" xfId="285" applyFont="1" applyFill="1" applyBorder="1" applyAlignment="1">
      <alignment horizontal="center" vertical="center" wrapText="1"/>
    </xf>
    <xf numFmtId="0" fontId="20" fillId="6" borderId="3" xfId="285" applyFont="1" applyFill="1" applyBorder="1" applyAlignment="1">
      <alignment horizontal="left" vertical="center" wrapText="1"/>
    </xf>
    <xf numFmtId="0" fontId="36" fillId="6" borderId="3" xfId="285" applyFont="1" applyFill="1" applyBorder="1" applyAlignment="1">
      <alignment horizontal="center" vertical="center" wrapText="1"/>
    </xf>
    <xf numFmtId="0" fontId="20" fillId="6" borderId="3" xfId="285" applyFont="1" applyFill="1" applyBorder="1" applyAlignment="1">
      <alignment horizontal="center" vertical="center" wrapText="1"/>
    </xf>
    <xf numFmtId="164" fontId="36" fillId="6" borderId="3" xfId="286" applyNumberFormat="1" applyFont="1" applyFill="1" applyBorder="1" applyAlignment="1">
      <alignment horizontal="center" vertical="center" wrapText="1"/>
    </xf>
    <xf numFmtId="164" fontId="20" fillId="6" borderId="3" xfId="286" applyNumberFormat="1" applyFont="1" applyFill="1" applyBorder="1" applyAlignment="1">
      <alignment horizontal="center" vertical="center"/>
    </xf>
    <xf numFmtId="164" fontId="20" fillId="6" borderId="10" xfId="286" applyNumberFormat="1" applyFont="1" applyFill="1" applyBorder="1" applyAlignment="1">
      <alignment horizontal="center" vertical="center"/>
    </xf>
    <xf numFmtId="167" fontId="20" fillId="6" borderId="10" xfId="285" applyNumberFormat="1" applyFont="1" applyFill="1" applyBorder="1" applyAlignment="1">
      <alignment horizontal="center" vertical="center"/>
    </xf>
    <xf numFmtId="167" fontId="20" fillId="6" borderId="10" xfId="286" applyNumberFormat="1" applyFont="1" applyFill="1" applyBorder="1" applyAlignment="1">
      <alignment horizontal="center" vertical="center" wrapText="1"/>
    </xf>
    <xf numFmtId="9" fontId="20" fillId="6" borderId="10" xfId="288" applyFont="1" applyFill="1" applyBorder="1" applyAlignment="1">
      <alignment horizontal="center" vertical="center"/>
    </xf>
    <xf numFmtId="6" fontId="37" fillId="3" borderId="10" xfId="285" applyNumberFormat="1" applyFont="1" applyFill="1" applyBorder="1" applyAlignment="1">
      <alignment horizontal="center" vertical="center"/>
    </xf>
    <xf numFmtId="6" fontId="20" fillId="6" borderId="0" xfId="285" applyNumberFormat="1" applyFont="1" applyFill="1"/>
    <xf numFmtId="0" fontId="36" fillId="6" borderId="3" xfId="285" applyFont="1" applyFill="1" applyBorder="1" applyAlignment="1">
      <alignment horizontal="left" vertical="center" wrapText="1"/>
    </xf>
    <xf numFmtId="167" fontId="20" fillId="6" borderId="3" xfId="285" applyNumberFormat="1" applyFont="1" applyFill="1" applyBorder="1" applyAlignment="1">
      <alignment horizontal="center" vertical="center"/>
    </xf>
    <xf numFmtId="167" fontId="20" fillId="6" borderId="3" xfId="286" applyNumberFormat="1" applyFont="1" applyFill="1" applyBorder="1" applyAlignment="1">
      <alignment horizontal="center" vertical="center" wrapText="1"/>
    </xf>
    <xf numFmtId="9" fontId="20" fillId="6" borderId="3" xfId="288" applyFont="1" applyFill="1" applyBorder="1" applyAlignment="1">
      <alignment horizontal="center" vertical="center"/>
    </xf>
    <xf numFmtId="6" fontId="37" fillId="3" borderId="3" xfId="285" applyNumberFormat="1" applyFont="1" applyFill="1" applyBorder="1" applyAlignment="1">
      <alignment horizontal="center" vertical="center"/>
    </xf>
    <xf numFmtId="9" fontId="20" fillId="6" borderId="14" xfId="288" applyFont="1" applyFill="1" applyBorder="1" applyAlignment="1">
      <alignment horizontal="center" vertical="center"/>
    </xf>
    <xf numFmtId="0" fontId="37" fillId="6" borderId="6" xfId="285" applyFont="1" applyFill="1" applyBorder="1" applyAlignment="1">
      <alignment horizontal="center" vertical="center" wrapText="1"/>
    </xf>
    <xf numFmtId="0" fontId="37" fillId="6" borderId="3" xfId="285" applyFont="1" applyFill="1" applyBorder="1" applyAlignment="1">
      <alignment horizontal="left" vertical="center" wrapText="1"/>
    </xf>
    <xf numFmtId="0" fontId="37" fillId="6" borderId="3" xfId="285" applyFont="1" applyFill="1" applyBorder="1" applyAlignment="1">
      <alignment horizontal="center" vertical="center" wrapText="1"/>
    </xf>
    <xf numFmtId="164" fontId="37" fillId="6" borderId="3" xfId="286" applyNumberFormat="1" applyFont="1" applyFill="1" applyBorder="1" applyAlignment="1">
      <alignment horizontal="center" vertical="center" wrapText="1"/>
    </xf>
    <xf numFmtId="164" fontId="37" fillId="6" borderId="3" xfId="286" applyNumberFormat="1" applyFont="1" applyFill="1" applyBorder="1" applyAlignment="1">
      <alignment horizontal="center" vertical="center"/>
    </xf>
    <xf numFmtId="164" fontId="36" fillId="0" borderId="3" xfId="286" applyNumberFormat="1" applyFont="1" applyBorder="1" applyAlignment="1">
      <alignment horizontal="center" vertical="center" wrapText="1"/>
    </xf>
    <xf numFmtId="0" fontId="37" fillId="6" borderId="0" xfId="285" applyFont="1" applyFill="1"/>
    <xf numFmtId="0" fontId="36" fillId="6" borderId="6" xfId="285" applyFont="1" applyFill="1" applyBorder="1" applyAlignment="1">
      <alignment horizontal="center" vertical="center" wrapText="1"/>
    </xf>
    <xf numFmtId="0" fontId="20" fillId="0" borderId="6" xfId="285" applyFont="1" applyBorder="1" applyAlignment="1">
      <alignment horizontal="center" vertical="center" wrapText="1"/>
    </xf>
    <xf numFmtId="0" fontId="20" fillId="0" borderId="3" xfId="285" applyFont="1" applyBorder="1" applyAlignment="1">
      <alignment horizontal="left" vertical="center" wrapText="1"/>
    </xf>
    <xf numFmtId="0" fontId="36" fillId="0" borderId="3" xfId="285" applyFont="1" applyBorder="1" applyAlignment="1">
      <alignment horizontal="center" vertical="center" wrapText="1"/>
    </xf>
    <xf numFmtId="0" fontId="20" fillId="0" borderId="3" xfId="285" applyFont="1" applyBorder="1" applyAlignment="1">
      <alignment horizontal="center" vertical="center"/>
    </xf>
    <xf numFmtId="164" fontId="20" fillId="0" borderId="3" xfId="286" applyNumberFormat="1" applyFont="1" applyBorder="1" applyAlignment="1">
      <alignment horizontal="center" vertical="center"/>
    </xf>
    <xf numFmtId="164" fontId="20" fillId="6" borderId="0" xfId="285" applyNumberFormat="1" applyFont="1" applyFill="1" applyAlignment="1">
      <alignment horizontal="center" vertical="center"/>
    </xf>
    <xf numFmtId="164" fontId="20" fillId="6" borderId="3" xfId="290" applyNumberFormat="1" applyFont="1" applyFill="1" applyBorder="1" applyAlignment="1">
      <alignment horizontal="center" vertical="center"/>
    </xf>
    <xf numFmtId="164" fontId="20" fillId="20" borderId="3" xfId="286" applyNumberFormat="1" applyFont="1" applyFill="1" applyBorder="1" applyAlignment="1">
      <alignment horizontal="center" vertical="center"/>
    </xf>
    <xf numFmtId="0" fontId="21" fillId="0" borderId="3" xfId="285" applyFont="1" applyBorder="1" applyAlignment="1">
      <alignment horizontal="left" vertical="center" wrapText="1"/>
    </xf>
    <xf numFmtId="0" fontId="38" fillId="0" borderId="0" xfId="285" applyFont="1" applyAlignment="1">
      <alignment horizontal="left" vertical="center" wrapText="1"/>
    </xf>
    <xf numFmtId="0" fontId="20" fillId="0" borderId="3" xfId="285" applyFont="1" applyBorder="1" applyAlignment="1">
      <alignment horizontal="center" vertical="center" wrapText="1"/>
    </xf>
    <xf numFmtId="164" fontId="20" fillId="6" borderId="3" xfId="286" applyNumberFormat="1" applyFont="1" applyFill="1" applyBorder="1" applyAlignment="1">
      <alignment horizontal="center" vertical="center" wrapText="1"/>
    </xf>
    <xf numFmtId="164" fontId="36" fillId="0" borderId="14" xfId="286" applyNumberFormat="1" applyFont="1" applyBorder="1" applyAlignment="1">
      <alignment horizontal="center" vertical="center" wrapText="1"/>
    </xf>
    <xf numFmtId="164" fontId="20" fillId="0" borderId="14" xfId="286" applyNumberFormat="1" applyFont="1" applyBorder="1" applyAlignment="1">
      <alignment horizontal="center" vertical="center"/>
    </xf>
    <xf numFmtId="164" fontId="20" fillId="6" borderId="14" xfId="286" applyNumberFormat="1" applyFont="1" applyFill="1" applyBorder="1" applyAlignment="1">
      <alignment horizontal="center" vertical="center"/>
    </xf>
    <xf numFmtId="167" fontId="20" fillId="6" borderId="14" xfId="285" applyNumberFormat="1" applyFont="1" applyFill="1" applyBorder="1" applyAlignment="1">
      <alignment horizontal="center" vertical="center"/>
    </xf>
    <xf numFmtId="167" fontId="20" fillId="6" borderId="14" xfId="286" applyNumberFormat="1" applyFont="1" applyFill="1" applyBorder="1" applyAlignment="1">
      <alignment horizontal="center" vertical="center" wrapText="1"/>
    </xf>
    <xf numFmtId="6" fontId="37" fillId="3" borderId="14" xfId="285" applyNumberFormat="1" applyFont="1" applyFill="1" applyBorder="1" applyAlignment="1">
      <alignment horizontal="center" vertical="center"/>
    </xf>
    <xf numFmtId="0" fontId="38" fillId="0" borderId="3" xfId="285" applyFont="1" applyBorder="1" applyAlignment="1">
      <alignment horizontal="left" vertical="center" wrapText="1"/>
    </xf>
    <xf numFmtId="0" fontId="20" fillId="0" borderId="6" xfId="285" applyFont="1" applyBorder="1" applyAlignment="1">
      <alignment horizontal="left" vertical="center" wrapText="1"/>
    </xf>
    <xf numFmtId="0" fontId="20" fillId="0" borderId="12" xfId="285" applyFont="1" applyBorder="1" applyAlignment="1">
      <alignment horizontal="left" vertical="center" wrapText="1"/>
    </xf>
    <xf numFmtId="0" fontId="20" fillId="6" borderId="12" xfId="285" applyFont="1" applyFill="1" applyBorder="1" applyAlignment="1">
      <alignment horizontal="center" vertical="center"/>
    </xf>
    <xf numFmtId="0" fontId="7" fillId="0" borderId="3" xfId="291" applyFont="1" applyBorder="1" applyAlignment="1">
      <alignment horizontal="left" vertical="top" wrapText="1"/>
    </xf>
    <xf numFmtId="0" fontId="7" fillId="0" borderId="3" xfId="291" applyFont="1" applyBorder="1" applyAlignment="1">
      <alignment horizontal="left" vertical="center" wrapText="1"/>
    </xf>
    <xf numFmtId="0" fontId="22" fillId="0" borderId="3" xfId="291" applyFont="1" applyBorder="1" applyAlignment="1">
      <alignment horizontal="center" vertical="center" wrapText="1"/>
    </xf>
    <xf numFmtId="172" fontId="24" fillId="0" borderId="3" xfId="287" applyNumberFormat="1" applyFont="1" applyFill="1" applyBorder="1" applyAlignment="1">
      <alignment vertical="center" wrapText="1"/>
    </xf>
    <xf numFmtId="172" fontId="24" fillId="0" borderId="14" xfId="287" applyNumberFormat="1" applyFont="1" applyFill="1" applyBorder="1" applyAlignment="1">
      <alignment vertical="center" wrapText="1"/>
    </xf>
    <xf numFmtId="164" fontId="39" fillId="0" borderId="3" xfId="286" applyNumberFormat="1" applyFont="1" applyFill="1" applyBorder="1" applyAlignment="1" applyProtection="1">
      <alignment horizontal="center" vertical="center"/>
      <protection locked="0"/>
    </xf>
    <xf numFmtId="164" fontId="39" fillId="0" borderId="3" xfId="286" applyNumberFormat="1" applyFont="1" applyFill="1" applyBorder="1" applyAlignment="1">
      <alignment horizontal="center" vertical="center"/>
    </xf>
    <xf numFmtId="0" fontId="40" fillId="0" borderId="1" xfId="285" applyFont="1" applyBorder="1" applyAlignment="1">
      <alignment vertical="center" wrapText="1"/>
    </xf>
    <xf numFmtId="0" fontId="40" fillId="0" borderId="1" xfId="285" applyFont="1" applyBorder="1" applyAlignment="1">
      <alignment horizontal="center" vertical="center" wrapText="1"/>
    </xf>
    <xf numFmtId="167" fontId="40" fillId="6" borderId="3" xfId="286" applyNumberFormat="1" applyFont="1" applyFill="1" applyBorder="1" applyAlignment="1">
      <alignment vertical="center"/>
    </xf>
    <xf numFmtId="167" fontId="40" fillId="0" borderId="3" xfId="286" applyNumberFormat="1" applyFont="1" applyBorder="1" applyAlignment="1">
      <alignment vertical="center"/>
    </xf>
    <xf numFmtId="0" fontId="40" fillId="0" borderId="1" xfId="285" applyFont="1" applyBorder="1" applyAlignment="1">
      <alignment horizontal="left" vertical="center" wrapText="1"/>
    </xf>
    <xf numFmtId="0" fontId="41" fillId="0" borderId="1" xfId="285" applyFont="1" applyBorder="1" applyAlignment="1">
      <alignment horizontal="center" vertical="center" wrapText="1"/>
    </xf>
    <xf numFmtId="0" fontId="40" fillId="0" borderId="16" xfId="285" applyFont="1" applyBorder="1" applyAlignment="1">
      <alignment vertical="center" wrapText="1"/>
    </xf>
    <xf numFmtId="0" fontId="40" fillId="0" borderId="16" xfId="285" applyFont="1" applyBorder="1" applyAlignment="1">
      <alignment horizontal="center" vertical="center" wrapText="1"/>
    </xf>
    <xf numFmtId="44" fontId="20" fillId="13" borderId="3" xfId="286" applyFont="1" applyFill="1" applyBorder="1" applyAlignment="1">
      <alignment horizontal="center" vertical="center"/>
    </xf>
    <xf numFmtId="44" fontId="20" fillId="20" borderId="3" xfId="286" applyFont="1" applyFill="1" applyBorder="1" applyAlignment="1">
      <alignment horizontal="center" vertical="center"/>
    </xf>
    <xf numFmtId="0" fontId="20" fillId="13" borderId="3" xfId="285" applyFont="1" applyFill="1" applyBorder="1"/>
    <xf numFmtId="6" fontId="20" fillId="13" borderId="3" xfId="285" applyNumberFormat="1" applyFont="1" applyFill="1" applyBorder="1"/>
    <xf numFmtId="3" fontId="20" fillId="0" borderId="0" xfId="285" applyNumberFormat="1" applyFont="1"/>
    <xf numFmtId="44" fontId="20" fillId="0" borderId="0" xfId="286" applyFont="1" applyAlignment="1">
      <alignment horizontal="center" vertical="center"/>
    </xf>
    <xf numFmtId="6" fontId="20" fillId="0" borderId="0" xfId="285" applyNumberFormat="1" applyFont="1"/>
    <xf numFmtId="0" fontId="20" fillId="0" borderId="0" xfId="285" applyFont="1" applyAlignment="1">
      <alignment horizontal="center" vertical="center"/>
    </xf>
    <xf numFmtId="0" fontId="20" fillId="0" borderId="0" xfId="285" applyFont="1" applyAlignment="1">
      <alignment horizontal="left" vertical="center"/>
    </xf>
    <xf numFmtId="0" fontId="17" fillId="21" borderId="3" xfId="0" applyFont="1" applyFill="1" applyBorder="1" applyAlignment="1">
      <alignment horizontal="center" vertical="center" wrapText="1"/>
    </xf>
    <xf numFmtId="167" fontId="18" fillId="21" borderId="3" xfId="3" applyNumberFormat="1" applyFont="1" applyFill="1" applyBorder="1" applyAlignment="1">
      <alignment horizontal="right" vertical="center" wrapText="1"/>
    </xf>
    <xf numFmtId="0" fontId="20" fillId="0" borderId="0" xfId="291" applyFont="1" applyAlignment="1">
      <alignment vertical="center"/>
    </xf>
    <xf numFmtId="172" fontId="21" fillId="5" borderId="3" xfId="287" applyNumberFormat="1" applyFont="1" applyFill="1" applyBorder="1" applyAlignment="1">
      <alignment horizontal="center" vertical="center" wrapText="1"/>
    </xf>
    <xf numFmtId="0" fontId="30" fillId="5" borderId="3" xfId="291" applyFont="1" applyFill="1" applyBorder="1" applyAlignment="1">
      <alignment horizontal="center" vertical="center" wrapText="1"/>
    </xf>
    <xf numFmtId="172" fontId="30" fillId="32" borderId="3" xfId="287" applyNumberFormat="1" applyFont="1" applyFill="1" applyBorder="1" applyAlignment="1">
      <alignment horizontal="center" vertical="center" wrapText="1"/>
    </xf>
    <xf numFmtId="172" fontId="21" fillId="31" borderId="3" xfId="287" applyNumberFormat="1" applyFont="1" applyFill="1" applyBorder="1" applyAlignment="1">
      <alignment horizontal="center" vertical="center" wrapText="1"/>
    </xf>
    <xf numFmtId="9" fontId="21" fillId="31" borderId="3" xfId="288" applyFont="1" applyFill="1" applyBorder="1" applyAlignment="1">
      <alignment horizontal="center" vertical="center" wrapText="1"/>
    </xf>
    <xf numFmtId="172" fontId="21" fillId="32" borderId="3" xfId="287" applyNumberFormat="1" applyFont="1" applyFill="1" applyBorder="1" applyAlignment="1">
      <alignment horizontal="center" vertical="center" wrapText="1"/>
    </xf>
    <xf numFmtId="0" fontId="37" fillId="0" borderId="3" xfId="291" applyFont="1" applyBorder="1" applyAlignment="1">
      <alignment horizontal="center" vertical="center"/>
    </xf>
    <xf numFmtId="0" fontId="37" fillId="0" borderId="3" xfId="291" applyFont="1" applyBorder="1" applyAlignment="1">
      <alignment vertical="center" wrapText="1"/>
    </xf>
    <xf numFmtId="0" fontId="37" fillId="0" borderId="3" xfId="291" applyFont="1" applyBorder="1" applyAlignment="1">
      <alignment horizontal="justify" vertical="center" wrapText="1"/>
    </xf>
    <xf numFmtId="0" fontId="37" fillId="0" borderId="3" xfId="291" applyFont="1" applyBorder="1" applyAlignment="1">
      <alignment horizontal="center" vertical="center" wrapText="1"/>
    </xf>
    <xf numFmtId="172" fontId="37" fillId="0" borderId="3" xfId="287" applyNumberFormat="1" applyFont="1" applyFill="1" applyBorder="1" applyAlignment="1">
      <alignment vertical="center" wrapText="1"/>
    </xf>
    <xf numFmtId="9" fontId="37" fillId="0" borderId="3" xfId="288" applyFont="1" applyFill="1" applyBorder="1" applyAlignment="1">
      <alignment horizontal="center" vertical="center" wrapText="1"/>
    </xf>
    <xf numFmtId="172" fontId="37" fillId="22" borderId="3" xfId="287" applyNumberFormat="1" applyFont="1" applyFill="1" applyBorder="1" applyAlignment="1">
      <alignment vertical="center" wrapText="1"/>
    </xf>
    <xf numFmtId="166" fontId="37" fillId="0" borderId="3" xfId="291" applyNumberFormat="1" applyFont="1" applyBorder="1" applyAlignment="1">
      <alignment vertical="center" wrapText="1"/>
    </xf>
    <xf numFmtId="0" fontId="37" fillId="6" borderId="0" xfId="291" applyFont="1" applyFill="1" applyAlignment="1">
      <alignment vertical="center"/>
    </xf>
    <xf numFmtId="0" fontId="37" fillId="0" borderId="0" xfId="291" applyFont="1" applyAlignment="1">
      <alignment vertical="center"/>
    </xf>
    <xf numFmtId="172" fontId="37" fillId="0" borderId="3" xfId="287" applyNumberFormat="1" applyFont="1" applyFill="1" applyBorder="1" applyAlignment="1">
      <alignment vertical="center"/>
    </xf>
    <xf numFmtId="166" fontId="37" fillId="0" borderId="3" xfId="291" applyNumberFormat="1" applyFont="1" applyBorder="1" applyAlignment="1">
      <alignment horizontal="justify" vertical="center" wrapText="1"/>
    </xf>
    <xf numFmtId="172" fontId="45" fillId="0" borderId="3" xfId="287" applyNumberFormat="1" applyFont="1" applyFill="1" applyBorder="1" applyAlignment="1">
      <alignment vertical="center" wrapText="1"/>
    </xf>
    <xf numFmtId="172" fontId="29" fillId="0" borderId="3" xfId="287" applyNumberFormat="1" applyFont="1" applyFill="1" applyBorder="1" applyAlignment="1">
      <alignment vertical="center" wrapText="1"/>
    </xf>
    <xf numFmtId="172" fontId="37" fillId="0" borderId="3" xfId="287" applyNumberFormat="1" applyFont="1" applyFill="1" applyBorder="1" applyAlignment="1">
      <alignment horizontal="center" vertical="center" wrapText="1"/>
    </xf>
    <xf numFmtId="172" fontId="21" fillId="13" borderId="3" xfId="287" applyNumberFormat="1" applyFont="1" applyFill="1" applyBorder="1" applyAlignment="1">
      <alignment vertical="center"/>
    </xf>
    <xf numFmtId="172" fontId="21" fillId="13" borderId="9" xfId="287" applyNumberFormat="1" applyFont="1" applyFill="1" applyBorder="1" applyAlignment="1">
      <alignment vertical="center"/>
    </xf>
    <xf numFmtId="172" fontId="29" fillId="13" borderId="10" xfId="287" applyNumberFormat="1" applyFont="1" applyFill="1" applyBorder="1" applyAlignment="1">
      <alignment vertical="center" wrapText="1"/>
    </xf>
    <xf numFmtId="0" fontId="21" fillId="13" borderId="0" xfId="291" applyFont="1" applyFill="1" applyAlignment="1">
      <alignment vertical="center"/>
    </xf>
    <xf numFmtId="0" fontId="21" fillId="0" borderId="0" xfId="291" applyFont="1" applyAlignment="1">
      <alignment vertical="center"/>
    </xf>
    <xf numFmtId="0" fontId="46" fillId="0" borderId="0" xfId="291" applyFont="1" applyAlignment="1">
      <alignment vertical="center"/>
    </xf>
    <xf numFmtId="172" fontId="45" fillId="0" borderId="0" xfId="291" applyNumberFormat="1" applyFont="1" applyAlignment="1">
      <alignment vertical="center"/>
    </xf>
    <xf numFmtId="172" fontId="20" fillId="0" borderId="0" xfId="287" applyNumberFormat="1" applyFont="1" applyAlignment="1">
      <alignment vertical="center"/>
    </xf>
    <xf numFmtId="0" fontId="20" fillId="0" borderId="0" xfId="291" applyFont="1" applyAlignment="1">
      <alignment horizontal="center" vertical="center"/>
    </xf>
    <xf numFmtId="172" fontId="20" fillId="0" borderId="0" xfId="287" applyNumberFormat="1" applyFont="1" applyFill="1" applyAlignment="1">
      <alignment vertical="center"/>
    </xf>
    <xf numFmtId="172" fontId="20" fillId="0" borderId="0" xfId="291" applyNumberFormat="1" applyFont="1" applyAlignment="1">
      <alignment vertical="center"/>
    </xf>
    <xf numFmtId="172" fontId="46" fillId="0" borderId="0" xfId="287" applyNumberFormat="1" applyFont="1" applyAlignment="1">
      <alignment vertical="center"/>
    </xf>
    <xf numFmtId="0" fontId="17" fillId="21" borderId="3" xfId="0" applyFont="1" applyFill="1" applyBorder="1" applyAlignment="1">
      <alignment vertical="center" wrapText="1"/>
    </xf>
    <xf numFmtId="3" fontId="13" fillId="21" borderId="3" xfId="0" applyNumberFormat="1" applyFont="1" applyFill="1" applyBorder="1" applyAlignment="1">
      <alignment horizontal="center" vertical="center" wrapText="1"/>
    </xf>
    <xf numFmtId="0" fontId="13" fillId="21" borderId="3" xfId="0" applyFont="1" applyFill="1" applyBorder="1"/>
    <xf numFmtId="167" fontId="13" fillId="21" borderId="3" xfId="1" applyNumberFormat="1" applyFont="1" applyFill="1" applyBorder="1" applyAlignment="1">
      <alignment horizontal="right" vertical="center"/>
    </xf>
    <xf numFmtId="166" fontId="18" fillId="21" borderId="3" xfId="0" applyNumberFormat="1" applyFont="1" applyFill="1" applyBorder="1" applyAlignment="1">
      <alignment horizontal="left" vertical="center" wrapText="1"/>
    </xf>
    <xf numFmtId="0" fontId="14" fillId="21" borderId="3" xfId="0" applyFont="1" applyFill="1" applyBorder="1" applyAlignment="1">
      <alignment horizontal="center" vertical="center"/>
    </xf>
    <xf numFmtId="1" fontId="22" fillId="0" borderId="3" xfId="0" applyNumberFormat="1" applyFont="1" applyBorder="1" applyAlignment="1">
      <alignment vertical="center"/>
    </xf>
    <xf numFmtId="164" fontId="7" fillId="0" borderId="3" xfId="291" applyNumberFormat="1" applyFont="1" applyBorder="1" applyAlignment="1">
      <alignment horizontal="left" vertical="center" wrapText="1"/>
    </xf>
    <xf numFmtId="164" fontId="7" fillId="0" borderId="3" xfId="291" applyNumberFormat="1" applyFont="1" applyBorder="1" applyAlignment="1">
      <alignment horizontal="center" vertical="center" wrapText="1"/>
    </xf>
    <xf numFmtId="1" fontId="7" fillId="0" borderId="3" xfId="291" applyNumberFormat="1" applyFont="1" applyBorder="1" applyAlignment="1">
      <alignment horizontal="center" vertical="center" wrapText="1"/>
    </xf>
    <xf numFmtId="1" fontId="22" fillId="0" borderId="3" xfId="0" applyNumberFormat="1" applyFont="1" applyBorder="1" applyAlignment="1">
      <alignment horizontal="center" vertical="center"/>
    </xf>
    <xf numFmtId="164" fontId="7" fillId="0" borderId="3" xfId="0" applyNumberFormat="1" applyFont="1" applyBorder="1" applyAlignment="1">
      <alignment horizontal="right" vertical="center"/>
    </xf>
    <xf numFmtId="164" fontId="22" fillId="0" borderId="3" xfId="289" applyNumberFormat="1" applyFont="1" applyFill="1" applyBorder="1" applyAlignment="1">
      <alignment horizontal="right" vertical="center"/>
    </xf>
    <xf numFmtId="164" fontId="24" fillId="0" borderId="3" xfId="289" applyNumberFormat="1" applyFont="1" applyFill="1" applyBorder="1" applyAlignment="1">
      <alignment horizontal="right" vertical="center"/>
    </xf>
    <xf numFmtId="9" fontId="7" fillId="0" borderId="3" xfId="288" applyFont="1" applyFill="1" applyBorder="1" applyAlignment="1">
      <alignment horizontal="right" vertical="center"/>
    </xf>
    <xf numFmtId="164" fontId="7" fillId="6" borderId="3" xfId="0" applyNumberFormat="1" applyFont="1" applyFill="1" applyBorder="1" applyAlignment="1">
      <alignment horizontal="right" vertical="center"/>
    </xf>
    <xf numFmtId="164" fontId="42" fillId="0" borderId="3" xfId="289" applyNumberFormat="1" applyFont="1" applyFill="1" applyBorder="1" applyAlignment="1">
      <alignment horizontal="right" vertical="center"/>
    </xf>
    <xf numFmtId="0" fontId="7" fillId="0" borderId="3" xfId="0" applyFont="1" applyBorder="1" applyAlignment="1">
      <alignment vertical="center" wrapText="1"/>
    </xf>
    <xf numFmtId="0" fontId="47" fillId="0" borderId="0" xfId="0" applyFont="1" applyAlignment="1">
      <alignment vertical="center"/>
    </xf>
    <xf numFmtId="0" fontId="7" fillId="0" borderId="0" xfId="0" applyFont="1" applyAlignment="1">
      <alignment vertical="center"/>
    </xf>
    <xf numFmtId="0" fontId="7" fillId="0" borderId="3" xfId="0" applyFont="1" applyBorder="1" applyAlignment="1">
      <alignment vertical="center"/>
    </xf>
    <xf numFmtId="164" fontId="24" fillId="0" borderId="3" xfId="289" applyNumberFormat="1" applyFont="1" applyFill="1" applyBorder="1" applyAlignment="1">
      <alignment horizontal="left" vertical="center" wrapText="1"/>
    </xf>
    <xf numFmtId="164" fontId="22" fillId="0" borderId="3" xfId="0" applyNumberFormat="1" applyFont="1" applyBorder="1" applyAlignment="1">
      <alignment horizontal="left" vertical="center" wrapText="1"/>
    </xf>
    <xf numFmtId="6" fontId="24" fillId="0" borderId="3" xfId="0" applyNumberFormat="1" applyFont="1" applyBorder="1" applyAlignment="1">
      <alignment vertical="center"/>
    </xf>
    <xf numFmtId="164" fontId="7" fillId="0" borderId="3" xfId="0" applyNumberFormat="1" applyFont="1" applyBorder="1" applyAlignment="1">
      <alignment vertical="center" wrapText="1"/>
    </xf>
    <xf numFmtId="164" fontId="22" fillId="0" borderId="3" xfId="0" applyNumberFormat="1" applyFont="1" applyBorder="1" applyAlignment="1">
      <alignment horizontal="left" vertical="center"/>
    </xf>
    <xf numFmtId="5" fontId="33" fillId="35" borderId="3" xfId="0" applyNumberFormat="1" applyFont="1" applyFill="1" applyBorder="1" applyAlignment="1">
      <alignment horizontal="center" vertical="center" wrapText="1" readingOrder="1"/>
    </xf>
    <xf numFmtId="1" fontId="28" fillId="5" borderId="3" xfId="0" applyNumberFormat="1" applyFont="1" applyFill="1" applyBorder="1" applyAlignment="1">
      <alignment vertical="center" wrapText="1"/>
    </xf>
    <xf numFmtId="0" fontId="28" fillId="5" borderId="3" xfId="0" applyFont="1" applyFill="1" applyBorder="1" applyAlignment="1">
      <alignment horizontal="center" vertical="center" wrapText="1"/>
    </xf>
    <xf numFmtId="5" fontId="33" fillId="7" borderId="3" xfId="0" applyNumberFormat="1" applyFont="1" applyFill="1" applyBorder="1" applyAlignment="1">
      <alignment horizontal="center" vertical="center" wrapText="1" readingOrder="1"/>
    </xf>
    <xf numFmtId="5" fontId="31" fillId="32" borderId="3" xfId="289" applyNumberFormat="1" applyFont="1" applyFill="1" applyBorder="1" applyAlignment="1">
      <alignment horizontal="center" vertical="center" wrapText="1"/>
    </xf>
    <xf numFmtId="9" fontId="31" fillId="32" borderId="3" xfId="288" applyFont="1" applyFill="1" applyBorder="1" applyAlignment="1">
      <alignment horizontal="center" vertical="center" wrapText="1"/>
    </xf>
    <xf numFmtId="167" fontId="48" fillId="39" borderId="3" xfId="289" applyNumberFormat="1" applyFont="1" applyFill="1" applyBorder="1" applyAlignment="1">
      <alignment horizontal="center" vertical="center" wrapText="1"/>
    </xf>
    <xf numFmtId="1" fontId="7" fillId="0" borderId="15" xfId="291" applyNumberFormat="1" applyFont="1" applyBorder="1" applyAlignment="1">
      <alignment horizontal="center" vertical="center" wrapText="1"/>
    </xf>
    <xf numFmtId="167" fontId="13" fillId="21" borderId="14" xfId="1" applyNumberFormat="1" applyFont="1" applyFill="1" applyBorder="1" applyAlignment="1">
      <alignment vertical="center"/>
    </xf>
    <xf numFmtId="167" fontId="18" fillId="21" borderId="3" xfId="3" applyNumberFormat="1" applyFont="1" applyFill="1" applyBorder="1" applyAlignment="1">
      <alignment vertical="center" wrapText="1"/>
    </xf>
    <xf numFmtId="9" fontId="14" fillId="0" borderId="3" xfId="0" applyNumberFormat="1" applyFont="1" applyBorder="1" applyAlignment="1">
      <alignment horizontal="center" vertical="center" wrapText="1"/>
    </xf>
    <xf numFmtId="0" fontId="49" fillId="0" borderId="0" xfId="0" applyFont="1"/>
    <xf numFmtId="0" fontId="49" fillId="0" borderId="0" xfId="0" applyFont="1" applyAlignment="1">
      <alignment horizontal="center" vertical="center"/>
    </xf>
    <xf numFmtId="0" fontId="49" fillId="0" borderId="0" xfId="0" applyFont="1" applyAlignment="1">
      <alignment horizontal="center" vertical="center" wrapText="1"/>
    </xf>
    <xf numFmtId="0" fontId="49" fillId="6" borderId="0" xfId="0" applyFont="1" applyFill="1"/>
    <xf numFmtId="167" fontId="15" fillId="0" borderId="0" xfId="0" applyNumberFormat="1" applyFont="1"/>
    <xf numFmtId="0" fontId="15" fillId="0" borderId="0" xfId="0" applyFont="1"/>
    <xf numFmtId="3" fontId="49" fillId="0" borderId="0" xfId="0" applyNumberFormat="1" applyFont="1"/>
    <xf numFmtId="170" fontId="49" fillId="0" borderId="0" xfId="0" applyNumberFormat="1" applyFont="1"/>
    <xf numFmtId="0" fontId="49" fillId="14" borderId="0" xfId="0" applyFont="1" applyFill="1"/>
    <xf numFmtId="44" fontId="49" fillId="0" borderId="0" xfId="1" applyFont="1"/>
    <xf numFmtId="164" fontId="49" fillId="0" borderId="0" xfId="0" applyNumberFormat="1" applyFont="1"/>
    <xf numFmtId="0" fontId="15" fillId="0" borderId="0" xfId="0" applyFont="1" applyAlignment="1">
      <alignment vertical="center"/>
    </xf>
    <xf numFmtId="169" fontId="49" fillId="0" borderId="0" xfId="0" applyNumberFormat="1" applyFont="1"/>
    <xf numFmtId="171" fontId="15" fillId="0" borderId="0" xfId="4" applyNumberFormat="1" applyFont="1"/>
    <xf numFmtId="0" fontId="15" fillId="4" borderId="3" xfId="0" applyFont="1" applyFill="1" applyBorder="1"/>
    <xf numFmtId="167" fontId="49" fillId="0" borderId="0" xfId="0" applyNumberFormat="1" applyFont="1"/>
    <xf numFmtId="5" fontId="32" fillId="40" borderId="3" xfId="0" applyNumberFormat="1" applyFont="1" applyFill="1" applyBorder="1" applyAlignment="1">
      <alignment horizontal="center" vertical="center" wrapText="1" readingOrder="1"/>
    </xf>
    <xf numFmtId="0" fontId="24" fillId="0" borderId="0" xfId="0" applyFont="1" applyAlignment="1">
      <alignment horizontal="center" vertical="center"/>
    </xf>
    <xf numFmtId="5" fontId="33" fillId="5" borderId="3" xfId="0" applyNumberFormat="1" applyFont="1" applyFill="1" applyBorder="1" applyAlignment="1">
      <alignment horizontal="center" vertical="center" wrapText="1" readingOrder="1"/>
    </xf>
    <xf numFmtId="5" fontId="31" fillId="21" borderId="3" xfId="1" applyNumberFormat="1" applyFont="1" applyFill="1" applyBorder="1" applyAlignment="1">
      <alignment horizontal="center" vertical="center" wrapText="1"/>
    </xf>
    <xf numFmtId="44" fontId="31" fillId="21" borderId="3" xfId="1" applyFont="1" applyFill="1" applyBorder="1" applyAlignment="1">
      <alignment horizontal="center" vertical="center" wrapText="1"/>
    </xf>
    <xf numFmtId="5" fontId="31" fillId="5" borderId="3" xfId="0" applyNumberFormat="1" applyFont="1" applyFill="1" applyBorder="1" applyAlignment="1">
      <alignment horizontal="center" vertical="center" wrapText="1"/>
    </xf>
    <xf numFmtId="164" fontId="31" fillId="5" borderId="3" xfId="0" applyNumberFormat="1" applyFont="1" applyFill="1" applyBorder="1" applyAlignment="1">
      <alignment horizontal="center" vertical="center" wrapText="1"/>
    </xf>
    <xf numFmtId="0" fontId="24" fillId="0" borderId="3" xfId="0" applyFont="1" applyBorder="1" applyAlignment="1">
      <alignment horizontal="center" vertical="center"/>
    </xf>
    <xf numFmtId="0" fontId="7" fillId="0" borderId="24" xfId="0" applyFont="1" applyBorder="1" applyAlignment="1">
      <alignment vertical="center" wrapText="1" readingOrder="1"/>
    </xf>
    <xf numFmtId="0" fontId="7" fillId="0" borderId="25" xfId="0" applyFont="1" applyBorder="1" applyAlignment="1">
      <alignment vertical="center" wrapText="1" readingOrder="1"/>
    </xf>
    <xf numFmtId="0" fontId="7" fillId="0" borderId="3" xfId="0" applyFont="1" applyBorder="1" applyAlignment="1">
      <alignment horizontal="center" vertical="center" wrapText="1" readingOrder="1"/>
    </xf>
    <xf numFmtId="5" fontId="50" fillId="0" borderId="3" xfId="0" applyNumberFormat="1" applyFont="1" applyBorder="1" applyAlignment="1">
      <alignment vertical="center" readingOrder="1"/>
    </xf>
    <xf numFmtId="5" fontId="22" fillId="0" borderId="3" xfId="0" applyNumberFormat="1" applyFont="1" applyBorder="1" applyAlignment="1">
      <alignment vertical="center" readingOrder="1"/>
    </xf>
    <xf numFmtId="5" fontId="24" fillId="0" borderId="3" xfId="0" applyNumberFormat="1" applyFont="1" applyBorder="1" applyAlignment="1">
      <alignment vertical="center"/>
    </xf>
    <xf numFmtId="5" fontId="7" fillId="0" borderId="3" xfId="0" applyNumberFormat="1" applyFont="1" applyBorder="1" applyAlignment="1">
      <alignment vertical="center"/>
    </xf>
    <xf numFmtId="5" fontId="24" fillId="0" borderId="3" xfId="1" applyNumberFormat="1" applyFont="1" applyFill="1" applyBorder="1" applyAlignment="1">
      <alignment vertical="center" wrapText="1"/>
    </xf>
    <xf numFmtId="9" fontId="24" fillId="0" borderId="3" xfId="4" applyFont="1" applyFill="1" applyBorder="1" applyAlignment="1">
      <alignment horizontal="center" vertical="center" wrapText="1"/>
    </xf>
    <xf numFmtId="0" fontId="24" fillId="0" borderId="3" xfId="0" applyFont="1" applyBorder="1" applyAlignment="1">
      <alignment vertical="center" wrapText="1"/>
    </xf>
    <xf numFmtId="5" fontId="22" fillId="0" borderId="3" xfId="0" applyNumberFormat="1" applyFont="1" applyBorder="1" applyAlignment="1">
      <alignment vertical="center" wrapText="1" readingOrder="1"/>
    </xf>
    <xf numFmtId="5" fontId="22" fillId="0" borderId="3" xfId="0" quotePrefix="1" applyNumberFormat="1" applyFont="1" applyBorder="1" applyAlignment="1">
      <alignment vertical="center" wrapText="1" readingOrder="1"/>
    </xf>
    <xf numFmtId="0" fontId="24" fillId="0" borderId="0" xfId="0" applyFont="1" applyAlignment="1">
      <alignment horizontal="center" vertical="center" wrapText="1"/>
    </xf>
    <xf numFmtId="5" fontId="22" fillId="0" borderId="3" xfId="0" quotePrefix="1" applyNumberFormat="1" applyFont="1" applyBorder="1" applyAlignment="1">
      <alignment vertical="center" readingOrder="1"/>
    </xf>
    <xf numFmtId="5" fontId="22" fillId="0" borderId="3" xfId="1" applyNumberFormat="1" applyFont="1" applyFill="1" applyBorder="1" applyAlignment="1">
      <alignment vertical="center" readingOrder="1"/>
    </xf>
    <xf numFmtId="0" fontId="24" fillId="0" borderId="0" xfId="0" applyFont="1" applyAlignment="1">
      <alignment vertical="center"/>
    </xf>
    <xf numFmtId="5" fontId="24" fillId="0" borderId="0" xfId="0" applyNumberFormat="1" applyFont="1" applyAlignment="1">
      <alignment vertical="center"/>
    </xf>
    <xf numFmtId="5" fontId="7" fillId="0" borderId="0" xfId="0" applyNumberFormat="1" applyFont="1" applyAlignment="1">
      <alignment vertical="center"/>
    </xf>
    <xf numFmtId="5" fontId="24" fillId="0" borderId="0" xfId="0" applyNumberFormat="1" applyFont="1" applyAlignment="1">
      <alignment horizontal="center" vertical="center"/>
    </xf>
    <xf numFmtId="0" fontId="14" fillId="20"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3" fillId="3" borderId="3" xfId="1" applyNumberFormat="1" applyFont="1" applyFill="1" applyBorder="1" applyAlignment="1">
      <alignment horizontal="right" vertical="center" wrapText="1"/>
    </xf>
    <xf numFmtId="167" fontId="17" fillId="3" borderId="3" xfId="1" applyNumberFormat="1" applyFont="1" applyFill="1" applyBorder="1" applyAlignment="1">
      <alignment horizontal="center" vertical="center"/>
    </xf>
    <xf numFmtId="167" fontId="13" fillId="3" borderId="4" xfId="1" applyNumberFormat="1" applyFont="1" applyFill="1" applyBorder="1" applyAlignment="1">
      <alignment horizontal="center" vertical="center" wrapText="1"/>
    </xf>
    <xf numFmtId="167" fontId="13" fillId="3" borderId="3" xfId="1" applyNumberFormat="1" applyFont="1" applyFill="1" applyBorder="1" applyAlignment="1" applyProtection="1">
      <alignment horizontal="center" vertical="center"/>
      <protection locked="0"/>
    </xf>
    <xf numFmtId="167" fontId="13" fillId="3" borderId="3" xfId="1" applyNumberFormat="1" applyFont="1" applyFill="1" applyBorder="1" applyAlignment="1">
      <alignment horizontal="center" vertical="center" wrapText="1"/>
    </xf>
    <xf numFmtId="167" fontId="19" fillId="3" borderId="3" xfId="1" applyNumberFormat="1" applyFont="1" applyFill="1" applyBorder="1" applyAlignment="1">
      <alignment horizontal="center" vertical="center"/>
    </xf>
    <xf numFmtId="167" fontId="13" fillId="3" borderId="1" xfId="1" applyNumberFormat="1" applyFont="1" applyFill="1" applyBorder="1" applyAlignment="1">
      <alignment vertical="center"/>
    </xf>
    <xf numFmtId="167" fontId="18" fillId="3" borderId="3" xfId="1" applyNumberFormat="1" applyFont="1" applyFill="1" applyBorder="1" applyAlignment="1">
      <alignment vertical="center" wrapText="1"/>
    </xf>
    <xf numFmtId="9" fontId="18" fillId="3" borderId="3" xfId="4" applyFont="1" applyFill="1" applyBorder="1" applyAlignment="1">
      <alignment horizontal="center" vertical="center" wrapText="1"/>
    </xf>
    <xf numFmtId="167" fontId="19" fillId="3" borderId="1" xfId="1" applyNumberFormat="1" applyFont="1" applyFill="1" applyBorder="1" applyAlignment="1">
      <alignment horizontal="center" vertical="center"/>
    </xf>
    <xf numFmtId="164" fontId="27" fillId="3" borderId="3" xfId="1" applyNumberFormat="1" applyFont="1" applyFill="1" applyBorder="1" applyAlignment="1">
      <alignment horizontal="right" vertical="center"/>
    </xf>
    <xf numFmtId="167" fontId="13" fillId="3" borderId="6" xfId="1" applyNumberFormat="1" applyFont="1" applyFill="1" applyBorder="1" applyAlignment="1">
      <alignment vertical="center"/>
    </xf>
    <xf numFmtId="167" fontId="13" fillId="3" borderId="0" xfId="1" applyNumberFormat="1" applyFont="1" applyFill="1"/>
    <xf numFmtId="167" fontId="18" fillId="0" borderId="3" xfId="3" applyNumberFormat="1" applyFont="1" applyFill="1" applyBorder="1" applyAlignment="1">
      <alignment horizontal="right" vertical="center" wrapText="1"/>
    </xf>
    <xf numFmtId="6" fontId="28" fillId="3" borderId="3" xfId="0" applyNumberFormat="1" applyFont="1" applyFill="1" applyBorder="1" applyAlignment="1">
      <alignment horizontal="center" vertical="center"/>
    </xf>
    <xf numFmtId="164" fontId="14" fillId="0" borderId="0" xfId="0" applyNumberFormat="1" applyFont="1" applyAlignment="1">
      <alignment vertical="center"/>
    </xf>
    <xf numFmtId="3" fontId="14" fillId="0" borderId="0" xfId="0" applyNumberFormat="1" applyFont="1" applyAlignment="1">
      <alignment vertical="center"/>
    </xf>
    <xf numFmtId="167" fontId="18" fillId="0" borderId="3" xfId="0" applyNumberFormat="1" applyFont="1" applyBorder="1" applyAlignment="1">
      <alignment horizontal="right" vertical="center"/>
    </xf>
    <xf numFmtId="0" fontId="21" fillId="0" borderId="0" xfId="285" applyFont="1" applyAlignment="1">
      <alignment horizontal="center" vertical="center" wrapText="1"/>
    </xf>
    <xf numFmtId="167" fontId="14" fillId="8" borderId="3" xfId="1" applyNumberFormat="1" applyFont="1" applyFill="1" applyBorder="1" applyAlignment="1">
      <alignment horizontal="center" vertical="center" wrapText="1"/>
    </xf>
    <xf numFmtId="167" fontId="15" fillId="9" borderId="3" xfId="1" applyNumberFormat="1" applyFont="1" applyFill="1" applyBorder="1" applyAlignment="1">
      <alignment horizontal="center" vertical="center" wrapText="1"/>
    </xf>
    <xf numFmtId="0" fontId="14" fillId="0" borderId="3" xfId="0" applyFont="1" applyBorder="1" applyAlignment="1">
      <alignment horizontal="center" vertical="center"/>
    </xf>
    <xf numFmtId="0" fontId="13" fillId="0" borderId="3" xfId="0" applyFont="1" applyBorder="1" applyAlignment="1">
      <alignment horizontal="center" vertical="center"/>
    </xf>
    <xf numFmtId="164" fontId="14" fillId="0" borderId="3" xfId="0" applyNumberFormat="1" applyFont="1" applyBorder="1" applyAlignment="1">
      <alignment horizontal="center" vertical="center"/>
    </xf>
    <xf numFmtId="167" fontId="14" fillId="0" borderId="3" xfId="1" applyNumberFormat="1" applyFont="1" applyBorder="1" applyAlignment="1">
      <alignment horizontal="center" vertical="center"/>
    </xf>
    <xf numFmtId="167" fontId="15" fillId="9" borderId="11" xfId="1" applyNumberFormat="1" applyFont="1" applyFill="1" applyBorder="1" applyAlignment="1">
      <alignment horizontal="center" vertical="center" wrapText="1" readingOrder="1"/>
    </xf>
    <xf numFmtId="167" fontId="15" fillId="9" borderId="12" xfId="1" applyNumberFormat="1" applyFont="1" applyFill="1" applyBorder="1" applyAlignment="1">
      <alignment horizontal="center" vertical="center" wrapText="1" readingOrder="1"/>
    </xf>
    <xf numFmtId="167" fontId="15" fillId="9" borderId="7" xfId="1" applyNumberFormat="1" applyFont="1" applyFill="1" applyBorder="1" applyAlignment="1">
      <alignment horizontal="center" vertical="center" wrapText="1" readingOrder="1"/>
    </xf>
    <xf numFmtId="167" fontId="15" fillId="9" borderId="8" xfId="1" applyNumberFormat="1" applyFont="1" applyFill="1" applyBorder="1" applyAlignment="1">
      <alignment horizontal="center" vertical="center" wrapText="1" readingOrder="1"/>
    </xf>
    <xf numFmtId="167" fontId="14" fillId="8" borderId="11" xfId="1" applyNumberFormat="1" applyFont="1" applyFill="1" applyBorder="1" applyAlignment="1">
      <alignment horizontal="center" vertical="center" wrapText="1" readingOrder="1"/>
    </xf>
    <xf numFmtId="167" fontId="14" fillId="8" borderId="12" xfId="1" applyNumberFormat="1" applyFont="1" applyFill="1" applyBorder="1" applyAlignment="1">
      <alignment horizontal="center" vertical="center" wrapText="1" readingOrder="1"/>
    </xf>
    <xf numFmtId="167" fontId="14" fillId="8" borderId="7" xfId="1" applyNumberFormat="1" applyFont="1" applyFill="1" applyBorder="1" applyAlignment="1">
      <alignment horizontal="center" vertical="center" wrapText="1" readingOrder="1"/>
    </xf>
    <xf numFmtId="167" fontId="14" fillId="8" borderId="8" xfId="1" applyNumberFormat="1" applyFont="1" applyFill="1" applyBorder="1" applyAlignment="1">
      <alignment horizontal="center" vertical="center" wrapText="1" readingOrder="1"/>
    </xf>
    <xf numFmtId="167" fontId="15" fillId="9" borderId="13" xfId="1" applyNumberFormat="1" applyFont="1" applyFill="1" applyBorder="1" applyAlignment="1">
      <alignment horizontal="center" vertical="center" wrapText="1" readingOrder="1"/>
    </xf>
    <xf numFmtId="167" fontId="15" fillId="9" borderId="9" xfId="1" applyNumberFormat="1" applyFont="1" applyFill="1" applyBorder="1" applyAlignment="1">
      <alignment horizontal="center" vertical="center" wrapText="1" readingOrder="1"/>
    </xf>
    <xf numFmtId="167" fontId="14" fillId="8" borderId="13" xfId="1" applyNumberFormat="1" applyFont="1" applyFill="1" applyBorder="1" applyAlignment="1">
      <alignment horizontal="center" vertical="center" wrapText="1" readingOrder="1"/>
    </xf>
    <xf numFmtId="167" fontId="14" fillId="8" borderId="9" xfId="1" applyNumberFormat="1" applyFont="1" applyFill="1" applyBorder="1" applyAlignment="1">
      <alignment horizontal="center" vertical="center" wrapText="1" readingOrder="1"/>
    </xf>
    <xf numFmtId="0" fontId="14" fillId="2" borderId="3" xfId="0" applyFont="1" applyFill="1" applyBorder="1" applyAlignment="1">
      <alignment horizontal="center" vertical="center" wrapText="1"/>
    </xf>
    <xf numFmtId="0" fontId="13" fillId="2" borderId="3" xfId="0" applyFont="1" applyFill="1" applyBorder="1" applyAlignment="1">
      <alignment horizontal="center" vertical="center" wrapText="1"/>
    </xf>
    <xf numFmtId="164" fontId="14" fillId="2" borderId="3" xfId="0" applyNumberFormat="1" applyFont="1" applyFill="1" applyBorder="1" applyAlignment="1">
      <alignment horizontal="center" vertical="center" wrapText="1"/>
    </xf>
    <xf numFmtId="167" fontId="14" fillId="2" borderId="3" xfId="1" applyNumberFormat="1" applyFont="1" applyFill="1" applyBorder="1" applyAlignment="1">
      <alignment horizontal="center" vertical="center" wrapText="1"/>
    </xf>
    <xf numFmtId="0" fontId="14" fillId="0" borderId="11"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6" fillId="4" borderId="3" xfId="0" applyFont="1" applyFill="1" applyBorder="1" applyAlignment="1">
      <alignment horizontal="center" vertical="center"/>
    </xf>
    <xf numFmtId="167" fontId="15" fillId="9" borderId="3" xfId="1" applyNumberFormat="1" applyFont="1" applyFill="1" applyBorder="1" applyAlignment="1">
      <alignment horizontal="center" vertical="center" wrapText="1" readingOrder="1"/>
    </xf>
    <xf numFmtId="167" fontId="15" fillId="9" borderId="11" xfId="1" applyNumberFormat="1" applyFont="1" applyFill="1" applyBorder="1" applyAlignment="1">
      <alignment horizontal="center" vertical="center" wrapText="1"/>
    </xf>
    <xf numFmtId="167" fontId="15" fillId="9" borderId="13" xfId="1" applyNumberFormat="1" applyFont="1" applyFill="1" applyBorder="1" applyAlignment="1">
      <alignment horizontal="center" vertical="center" wrapText="1"/>
    </xf>
    <xf numFmtId="167" fontId="15" fillId="9" borderId="7" xfId="1" applyNumberFormat="1" applyFont="1" applyFill="1" applyBorder="1" applyAlignment="1">
      <alignment horizontal="center" vertical="center" wrapText="1"/>
    </xf>
    <xf numFmtId="167" fontId="15" fillId="9" borderId="9" xfId="1" applyNumberFormat="1" applyFont="1" applyFill="1" applyBorder="1" applyAlignment="1">
      <alignment horizontal="center" vertical="center" wrapText="1"/>
    </xf>
    <xf numFmtId="167" fontId="16" fillId="4" borderId="3" xfId="1" applyNumberFormat="1" applyFont="1" applyFill="1" applyBorder="1" applyAlignment="1">
      <alignment horizontal="center" vertical="center"/>
    </xf>
    <xf numFmtId="167" fontId="14" fillId="8" borderId="3" xfId="1" applyNumberFormat="1" applyFont="1" applyFill="1" applyBorder="1" applyAlignment="1">
      <alignment horizontal="center" vertical="center" wrapText="1" readingOrder="1"/>
    </xf>
    <xf numFmtId="167" fontId="26" fillId="9" borderId="11" xfId="1" applyNumberFormat="1" applyFont="1" applyFill="1" applyBorder="1" applyAlignment="1">
      <alignment horizontal="center" vertical="center" wrapText="1"/>
    </xf>
    <xf numFmtId="167" fontId="26" fillId="9" borderId="13" xfId="1" applyNumberFormat="1" applyFont="1" applyFill="1" applyBorder="1" applyAlignment="1">
      <alignment horizontal="center" vertical="center" wrapText="1"/>
    </xf>
    <xf numFmtId="167" fontId="26" fillId="9" borderId="7" xfId="1" applyNumberFormat="1" applyFont="1" applyFill="1" applyBorder="1" applyAlignment="1">
      <alignment horizontal="center" vertical="center" wrapText="1"/>
    </xf>
    <xf numFmtId="167" fontId="26" fillId="9" borderId="9" xfId="1" applyNumberFormat="1" applyFont="1" applyFill="1" applyBorder="1" applyAlignment="1">
      <alignment horizontal="center" vertical="center" wrapText="1"/>
    </xf>
    <xf numFmtId="167" fontId="25" fillId="8" borderId="11" xfId="1" applyNumberFormat="1" applyFont="1" applyFill="1" applyBorder="1" applyAlignment="1">
      <alignment horizontal="center" vertical="center" wrapText="1"/>
    </xf>
    <xf numFmtId="167" fontId="25" fillId="8" borderId="13" xfId="1" applyNumberFormat="1" applyFont="1" applyFill="1" applyBorder="1" applyAlignment="1">
      <alignment horizontal="center" vertical="center" wrapText="1"/>
    </xf>
    <xf numFmtId="167" fontId="25" fillId="8" borderId="7" xfId="1" applyNumberFormat="1" applyFont="1" applyFill="1" applyBorder="1" applyAlignment="1">
      <alignment horizontal="center" vertical="center" wrapText="1"/>
    </xf>
    <xf numFmtId="167" fontId="25" fillId="8" borderId="9" xfId="1" applyNumberFormat="1" applyFont="1" applyFill="1" applyBorder="1" applyAlignment="1">
      <alignment horizontal="center" vertical="center" wrapText="1"/>
    </xf>
    <xf numFmtId="167" fontId="25" fillId="9" borderId="11" xfId="1" applyNumberFormat="1" applyFont="1" applyFill="1" applyBorder="1" applyAlignment="1">
      <alignment horizontal="center" vertical="center" wrapText="1"/>
    </xf>
    <xf numFmtId="167" fontId="25" fillId="9" borderId="13" xfId="1" applyNumberFormat="1" applyFont="1" applyFill="1" applyBorder="1" applyAlignment="1">
      <alignment horizontal="center" vertical="center" wrapText="1"/>
    </xf>
    <xf numFmtId="167" fontId="25" fillId="9" borderId="7" xfId="1" applyNumberFormat="1" applyFont="1" applyFill="1" applyBorder="1" applyAlignment="1">
      <alignment horizontal="center" vertical="center" wrapText="1"/>
    </xf>
    <xf numFmtId="167" fontId="25" fillId="9" borderId="9" xfId="1" applyNumberFormat="1" applyFont="1" applyFill="1" applyBorder="1" applyAlignment="1">
      <alignment horizontal="center" vertical="center" wrapText="1"/>
    </xf>
    <xf numFmtId="0" fontId="21" fillId="12" borderId="3" xfId="285" applyFont="1" applyFill="1" applyBorder="1" applyAlignment="1">
      <alignment horizontal="center" vertical="center" wrapText="1"/>
    </xf>
    <xf numFmtId="0" fontId="21" fillId="12" borderId="14" xfId="285" applyFont="1" applyFill="1" applyBorder="1" applyAlignment="1">
      <alignment horizontal="center" vertical="center" wrapText="1"/>
    </xf>
    <xf numFmtId="0" fontId="21" fillId="4" borderId="11" xfId="285" applyFont="1" applyFill="1" applyBorder="1" applyAlignment="1">
      <alignment horizontal="left" vertical="center" wrapText="1"/>
    </xf>
    <xf numFmtId="0" fontId="21" fillId="4" borderId="12" xfId="285" applyFont="1" applyFill="1" applyBorder="1" applyAlignment="1">
      <alignment horizontal="left" vertical="center" wrapText="1"/>
    </xf>
    <xf numFmtId="0" fontId="21" fillId="4" borderId="13" xfId="285" applyFont="1" applyFill="1" applyBorder="1" applyAlignment="1">
      <alignment horizontal="left" vertical="center" wrapText="1"/>
    </xf>
    <xf numFmtId="0" fontId="21" fillId="4" borderId="7" xfId="285" applyFont="1" applyFill="1" applyBorder="1" applyAlignment="1">
      <alignment horizontal="left" vertical="center" wrapText="1"/>
    </xf>
    <xf numFmtId="0" fontId="21" fillId="4" borderId="8" xfId="285" applyFont="1" applyFill="1" applyBorder="1" applyAlignment="1">
      <alignment horizontal="left" vertical="center" wrapText="1"/>
    </xf>
    <xf numFmtId="0" fontId="21" fillId="4" borderId="9" xfId="285" applyFont="1" applyFill="1" applyBorder="1" applyAlignment="1">
      <alignment horizontal="left" vertical="center" wrapText="1"/>
    </xf>
    <xf numFmtId="44" fontId="21" fillId="12" borderId="3" xfId="286" applyFont="1" applyFill="1" applyBorder="1" applyAlignment="1">
      <alignment horizontal="center" vertical="center" wrapText="1"/>
    </xf>
    <xf numFmtId="44" fontId="21" fillId="12" borderId="14" xfId="286" applyFont="1" applyFill="1" applyBorder="1" applyAlignment="1">
      <alignment horizontal="center" vertical="center" wrapText="1"/>
    </xf>
    <xf numFmtId="0" fontId="21" fillId="3" borderId="3" xfId="285" applyFont="1" applyFill="1" applyBorder="1" applyAlignment="1">
      <alignment horizontal="center" vertical="center" wrapText="1"/>
    </xf>
    <xf numFmtId="0" fontId="21" fillId="3" borderId="3" xfId="285" applyFont="1" applyFill="1" applyBorder="1" applyAlignment="1">
      <alignment horizontal="center" vertical="center"/>
    </xf>
    <xf numFmtId="0" fontId="21" fillId="3" borderId="14" xfId="285" applyFont="1" applyFill="1" applyBorder="1" applyAlignment="1">
      <alignment horizontal="center" vertical="center"/>
    </xf>
    <xf numFmtId="44" fontId="21" fillId="22" borderId="3" xfId="286" applyFont="1" applyFill="1" applyBorder="1" applyAlignment="1">
      <alignment horizontal="center" vertical="center" wrapText="1"/>
    </xf>
    <xf numFmtId="44" fontId="21" fillId="22" borderId="14" xfId="286" applyFont="1" applyFill="1" applyBorder="1" applyAlignment="1">
      <alignment horizontal="center" vertical="center" wrapText="1"/>
    </xf>
    <xf numFmtId="44" fontId="21" fillId="23" borderId="3" xfId="286" applyFont="1" applyFill="1" applyBorder="1" applyAlignment="1">
      <alignment horizontal="center" vertical="center" wrapText="1"/>
    </xf>
    <xf numFmtId="44" fontId="21" fillId="23" borderId="14" xfId="286" applyFont="1" applyFill="1" applyBorder="1" applyAlignment="1">
      <alignment horizontal="center" vertical="center" wrapText="1"/>
    </xf>
    <xf numFmtId="44" fontId="21" fillId="12" borderId="3" xfId="286" applyFont="1" applyFill="1" applyBorder="1" applyAlignment="1">
      <alignment horizontal="center" vertical="center"/>
    </xf>
    <xf numFmtId="44" fontId="21" fillId="12" borderId="14" xfId="286" applyFont="1" applyFill="1" applyBorder="1" applyAlignment="1">
      <alignment horizontal="center" vertical="center"/>
    </xf>
    <xf numFmtId="44" fontId="21" fillId="3" borderId="3" xfId="286" applyFont="1" applyFill="1" applyBorder="1" applyAlignment="1">
      <alignment horizontal="center" wrapText="1"/>
    </xf>
    <xf numFmtId="44" fontId="21" fillId="3" borderId="14" xfId="286" applyFont="1" applyFill="1" applyBorder="1" applyAlignment="1">
      <alignment horizontal="center" wrapText="1"/>
    </xf>
    <xf numFmtId="44" fontId="21" fillId="3" borderId="3" xfId="286" applyFont="1" applyFill="1" applyBorder="1" applyAlignment="1">
      <alignment horizontal="center" vertical="center" wrapText="1"/>
    </xf>
    <xf numFmtId="44" fontId="21" fillId="3" borderId="14" xfId="286" applyFont="1" applyFill="1" applyBorder="1" applyAlignment="1">
      <alignment horizontal="center" vertical="center" wrapText="1"/>
    </xf>
    <xf numFmtId="0" fontId="21" fillId="3" borderId="14" xfId="285" applyFont="1" applyFill="1" applyBorder="1" applyAlignment="1">
      <alignment horizontal="center" vertical="center" wrapText="1"/>
    </xf>
    <xf numFmtId="0" fontId="21" fillId="22" borderId="3" xfId="285" applyFont="1" applyFill="1" applyBorder="1" applyAlignment="1">
      <alignment horizontal="center" vertical="center" wrapText="1"/>
    </xf>
    <xf numFmtId="0" fontId="21" fillId="22" borderId="14" xfId="285" applyFont="1" applyFill="1" applyBorder="1" applyAlignment="1">
      <alignment horizontal="center" vertical="center" wrapText="1"/>
    </xf>
    <xf numFmtId="0" fontId="21" fillId="23" borderId="3" xfId="285" applyFont="1" applyFill="1" applyBorder="1" applyAlignment="1">
      <alignment horizontal="center" vertical="center" wrapText="1"/>
    </xf>
    <xf numFmtId="0" fontId="21" fillId="23" borderId="14" xfId="285" applyFont="1" applyFill="1" applyBorder="1" applyAlignment="1">
      <alignment horizontal="center" vertical="center" wrapText="1"/>
    </xf>
    <xf numFmtId="0" fontId="21" fillId="12" borderId="11" xfId="285" applyFont="1" applyFill="1" applyBorder="1" applyAlignment="1">
      <alignment horizontal="center" vertical="center" wrapText="1"/>
    </xf>
    <xf numFmtId="0" fontId="21" fillId="12" borderId="13" xfId="285" applyFont="1" applyFill="1" applyBorder="1" applyAlignment="1">
      <alignment horizontal="center" vertical="center" wrapText="1"/>
    </xf>
    <xf numFmtId="0" fontId="21" fillId="12" borderId="19" xfId="285" applyFont="1" applyFill="1" applyBorder="1" applyAlignment="1">
      <alignment horizontal="center" vertical="center" wrapText="1"/>
    </xf>
    <xf numFmtId="0" fontId="21" fillId="12" borderId="21" xfId="285" applyFont="1" applyFill="1" applyBorder="1" applyAlignment="1">
      <alignment horizontal="center" vertical="center" wrapText="1"/>
    </xf>
    <xf numFmtId="0" fontId="21" fillId="3" borderId="11" xfId="285" applyFont="1" applyFill="1" applyBorder="1" applyAlignment="1">
      <alignment horizontal="center" vertical="center" wrapText="1"/>
    </xf>
    <xf numFmtId="0" fontId="21" fillId="3" borderId="13" xfId="285" applyFont="1" applyFill="1" applyBorder="1" applyAlignment="1">
      <alignment horizontal="center" vertical="center" wrapText="1"/>
    </xf>
    <xf numFmtId="0" fontId="21" fillId="3" borderId="19" xfId="285" applyFont="1" applyFill="1" applyBorder="1" applyAlignment="1">
      <alignment horizontal="center" vertical="center" wrapText="1"/>
    </xf>
    <xf numFmtId="0" fontId="21" fillId="3" borderId="21" xfId="285" applyFont="1" applyFill="1" applyBorder="1" applyAlignment="1">
      <alignment horizontal="center" vertical="center" wrapText="1"/>
    </xf>
    <xf numFmtId="0" fontId="21" fillId="22" borderId="11" xfId="285" applyFont="1" applyFill="1" applyBorder="1" applyAlignment="1">
      <alignment horizontal="center" vertical="center" wrapText="1"/>
    </xf>
    <xf numFmtId="0" fontId="21" fillId="22" borderId="13" xfId="285" applyFont="1" applyFill="1" applyBorder="1" applyAlignment="1">
      <alignment horizontal="center" vertical="center" wrapText="1"/>
    </xf>
    <xf numFmtId="0" fontId="21" fillId="22" borderId="19" xfId="285" applyFont="1" applyFill="1" applyBorder="1" applyAlignment="1">
      <alignment horizontal="center" vertical="center" wrapText="1"/>
    </xf>
    <xf numFmtId="0" fontId="21" fillId="22" borderId="21" xfId="285" applyFont="1" applyFill="1" applyBorder="1" applyAlignment="1">
      <alignment horizontal="center" vertical="center" wrapText="1"/>
    </xf>
    <xf numFmtId="164" fontId="21" fillId="12" borderId="3" xfId="286" applyNumberFormat="1" applyFont="1" applyFill="1" applyBorder="1" applyAlignment="1">
      <alignment horizontal="center" vertical="center" wrapText="1" readingOrder="1"/>
    </xf>
    <xf numFmtId="164" fontId="21" fillId="12" borderId="14" xfId="286" applyNumberFormat="1" applyFont="1" applyFill="1" applyBorder="1" applyAlignment="1">
      <alignment horizontal="center" vertical="center" wrapText="1" readingOrder="1"/>
    </xf>
    <xf numFmtId="164" fontId="21" fillId="22" borderId="3" xfId="286" applyNumberFormat="1" applyFont="1" applyFill="1" applyBorder="1" applyAlignment="1">
      <alignment horizontal="center" vertical="center" wrapText="1" readingOrder="1"/>
    </xf>
    <xf numFmtId="164" fontId="21" fillId="22" borderId="14" xfId="286" applyNumberFormat="1" applyFont="1" applyFill="1" applyBorder="1" applyAlignment="1">
      <alignment horizontal="center" vertical="center" wrapText="1" readingOrder="1"/>
    </xf>
    <xf numFmtId="164" fontId="21" fillId="23" borderId="3" xfId="286" applyNumberFormat="1" applyFont="1" applyFill="1" applyBorder="1" applyAlignment="1">
      <alignment horizontal="center" vertical="center" wrapText="1" readingOrder="1"/>
    </xf>
    <xf numFmtId="164" fontId="21" fillId="23" borderId="14" xfId="286" applyNumberFormat="1" applyFont="1" applyFill="1" applyBorder="1" applyAlignment="1">
      <alignment horizontal="center" vertical="center" wrapText="1" readingOrder="1"/>
    </xf>
    <xf numFmtId="0" fontId="21" fillId="12" borderId="0" xfId="285" applyFont="1" applyFill="1" applyAlignment="1">
      <alignment horizontal="center" vertical="center" wrapText="1"/>
    </xf>
    <xf numFmtId="0" fontId="21" fillId="12" borderId="8" xfId="285" applyFont="1" applyFill="1" applyBorder="1" applyAlignment="1">
      <alignment horizontal="center" vertical="center" wrapText="1"/>
    </xf>
    <xf numFmtId="164" fontId="21" fillId="3" borderId="3" xfId="286" applyNumberFormat="1" applyFont="1" applyFill="1" applyBorder="1" applyAlignment="1">
      <alignment horizontal="center" vertical="center" wrapText="1" readingOrder="1"/>
    </xf>
    <xf numFmtId="164" fontId="21" fillId="3" borderId="14" xfId="286" applyNumberFormat="1" applyFont="1" applyFill="1" applyBorder="1" applyAlignment="1">
      <alignment horizontal="center" vertical="center" wrapText="1" readingOrder="1"/>
    </xf>
    <xf numFmtId="164" fontId="21" fillId="23" borderId="11" xfId="286" applyNumberFormat="1" applyFont="1" applyFill="1" applyBorder="1" applyAlignment="1">
      <alignment horizontal="center" vertical="center" wrapText="1" readingOrder="1"/>
    </xf>
    <xf numFmtId="164" fontId="21" fillId="23" borderId="13" xfId="286" applyNumberFormat="1" applyFont="1" applyFill="1" applyBorder="1" applyAlignment="1">
      <alignment horizontal="center" vertical="center" wrapText="1" readingOrder="1"/>
    </xf>
    <xf numFmtId="164" fontId="21" fillId="23" borderId="19" xfId="286" applyNumberFormat="1" applyFont="1" applyFill="1" applyBorder="1" applyAlignment="1">
      <alignment horizontal="center" vertical="center" wrapText="1" readingOrder="1"/>
    </xf>
    <xf numFmtId="164" fontId="21" fillId="23" borderId="21" xfId="286" applyNumberFormat="1" applyFont="1" applyFill="1" applyBorder="1" applyAlignment="1">
      <alignment horizontal="center" vertical="center" wrapText="1" readingOrder="1"/>
    </xf>
    <xf numFmtId="164" fontId="21" fillId="3" borderId="11" xfId="286" applyNumberFormat="1" applyFont="1" applyFill="1" applyBorder="1" applyAlignment="1">
      <alignment horizontal="center" vertical="center" wrapText="1" readingOrder="1"/>
    </xf>
    <xf numFmtId="164" fontId="21" fillId="3" borderId="12" xfId="286" applyNumberFormat="1" applyFont="1" applyFill="1" applyBorder="1" applyAlignment="1">
      <alignment horizontal="center" vertical="center" wrapText="1" readingOrder="1"/>
    </xf>
    <xf numFmtId="164" fontId="21" fillId="3" borderId="19" xfId="286" applyNumberFormat="1" applyFont="1" applyFill="1" applyBorder="1" applyAlignment="1">
      <alignment horizontal="center" vertical="center" wrapText="1" readingOrder="1"/>
    </xf>
    <xf numFmtId="164" fontId="21" fillId="3" borderId="0" xfId="286" applyNumberFormat="1" applyFont="1" applyFill="1" applyBorder="1" applyAlignment="1">
      <alignment horizontal="center" vertical="center" wrapText="1" readingOrder="1"/>
    </xf>
    <xf numFmtId="0" fontId="21" fillId="24" borderId="12" xfId="285" applyFont="1" applyFill="1" applyBorder="1" applyAlignment="1">
      <alignment horizontal="center" vertical="center" wrapText="1" readingOrder="1"/>
    </xf>
    <xf numFmtId="0" fontId="21" fillId="24" borderId="0" xfId="285" applyFont="1" applyFill="1" applyAlignment="1">
      <alignment horizontal="center" vertical="center" wrapText="1" readingOrder="1"/>
    </xf>
    <xf numFmtId="0" fontId="21" fillId="3" borderId="0" xfId="285" applyFont="1" applyFill="1" applyAlignment="1">
      <alignment horizontal="center" vertical="center" wrapText="1"/>
    </xf>
    <xf numFmtId="0" fontId="21" fillId="3" borderId="8" xfId="285" applyFont="1" applyFill="1" applyBorder="1" applyAlignment="1">
      <alignment horizontal="center" vertical="center" wrapText="1"/>
    </xf>
    <xf numFmtId="0" fontId="21" fillId="22" borderId="0" xfId="285" applyFont="1" applyFill="1" applyAlignment="1">
      <alignment horizontal="center" vertical="center" wrapText="1"/>
    </xf>
    <xf numFmtId="0" fontId="21" fillId="22" borderId="8" xfId="285" applyFont="1" applyFill="1" applyBorder="1" applyAlignment="1">
      <alignment horizontal="center" vertical="center" wrapText="1"/>
    </xf>
    <xf numFmtId="0" fontId="21" fillId="23" borderId="0" xfId="285" applyFont="1" applyFill="1" applyAlignment="1">
      <alignment horizontal="center" vertical="center" wrapText="1"/>
    </xf>
    <xf numFmtId="0" fontId="21" fillId="23" borderId="8" xfId="285" applyFont="1" applyFill="1" applyBorder="1" applyAlignment="1">
      <alignment horizontal="center" vertical="center" wrapText="1"/>
    </xf>
    <xf numFmtId="0" fontId="29" fillId="12" borderId="0" xfId="285" applyFont="1" applyFill="1" applyAlignment="1">
      <alignment horizontal="center" vertical="center" wrapText="1"/>
    </xf>
    <xf numFmtId="0" fontId="29" fillId="12" borderId="8" xfId="285" applyFont="1" applyFill="1" applyBorder="1" applyAlignment="1">
      <alignment horizontal="center" vertical="center" wrapText="1"/>
    </xf>
    <xf numFmtId="0" fontId="21" fillId="5" borderId="11" xfId="285" applyFont="1" applyFill="1" applyBorder="1" applyAlignment="1">
      <alignment horizontal="center" vertical="center" wrapText="1"/>
    </xf>
    <xf numFmtId="0" fontId="21" fillId="5" borderId="12" xfId="285" applyFont="1" applyFill="1" applyBorder="1" applyAlignment="1">
      <alignment horizontal="center" vertical="center" wrapText="1"/>
    </xf>
    <xf numFmtId="0" fontId="21" fillId="5" borderId="13" xfId="285" applyFont="1" applyFill="1" applyBorder="1" applyAlignment="1">
      <alignment horizontal="center" vertical="center" wrapText="1"/>
    </xf>
    <xf numFmtId="0" fontId="21" fillId="5" borderId="19" xfId="285" applyFont="1" applyFill="1" applyBorder="1" applyAlignment="1">
      <alignment horizontal="center" vertical="center" wrapText="1"/>
    </xf>
    <xf numFmtId="0" fontId="21" fillId="5" borderId="0" xfId="285" applyFont="1" applyFill="1" applyAlignment="1">
      <alignment horizontal="center" vertical="center" wrapText="1"/>
    </xf>
    <xf numFmtId="0" fontId="21" fillId="5" borderId="21" xfId="285" applyFont="1" applyFill="1" applyBorder="1" applyAlignment="1">
      <alignment horizontal="center" vertical="center" wrapText="1"/>
    </xf>
    <xf numFmtId="0" fontId="20" fillId="13" borderId="22" xfId="285" applyFont="1" applyFill="1" applyBorder="1" applyAlignment="1">
      <alignment horizontal="center"/>
    </xf>
    <xf numFmtId="0" fontId="20" fillId="13" borderId="23" xfId="285" applyFont="1" applyFill="1" applyBorder="1" applyAlignment="1">
      <alignment horizontal="center"/>
    </xf>
    <xf numFmtId="172" fontId="31" fillId="25" borderId="3" xfId="287" applyNumberFormat="1" applyFont="1" applyFill="1" applyBorder="1" applyAlignment="1">
      <alignment horizontal="center" vertical="center" wrapText="1"/>
    </xf>
    <xf numFmtId="172" fontId="32" fillId="26" borderId="3" xfId="287" applyNumberFormat="1" applyFont="1" applyFill="1" applyBorder="1" applyAlignment="1">
      <alignment horizontal="center" vertical="center" wrapText="1"/>
    </xf>
    <xf numFmtId="5" fontId="33" fillId="12" borderId="11" xfId="285" applyNumberFormat="1" applyFont="1" applyFill="1" applyBorder="1" applyAlignment="1">
      <alignment horizontal="center" vertical="center" wrapText="1" readingOrder="1"/>
    </xf>
    <xf numFmtId="5" fontId="33" fillId="12" borderId="13" xfId="285" applyNumberFormat="1" applyFont="1" applyFill="1" applyBorder="1" applyAlignment="1">
      <alignment horizontal="center" vertical="center" wrapText="1" readingOrder="1"/>
    </xf>
    <xf numFmtId="5" fontId="33" fillId="12" borderId="7" xfId="285" applyNumberFormat="1" applyFont="1" applyFill="1" applyBorder="1" applyAlignment="1">
      <alignment horizontal="center" vertical="center" wrapText="1" readingOrder="1"/>
    </xf>
    <xf numFmtId="5" fontId="33" fillId="12" borderId="9" xfId="285" applyNumberFormat="1" applyFont="1" applyFill="1" applyBorder="1" applyAlignment="1">
      <alignment horizontal="center" vertical="center" wrapText="1" readingOrder="1"/>
    </xf>
    <xf numFmtId="0" fontId="34" fillId="27" borderId="3" xfId="285" applyFont="1" applyFill="1" applyBorder="1" applyAlignment="1">
      <alignment horizontal="center" vertical="center" wrapText="1"/>
    </xf>
    <xf numFmtId="0" fontId="34" fillId="27" borderId="3" xfId="285" applyFont="1" applyFill="1" applyBorder="1" applyAlignment="1">
      <alignment horizontal="center" vertical="center"/>
    </xf>
    <xf numFmtId="0" fontId="21" fillId="5" borderId="12" xfId="285" applyFont="1" applyFill="1" applyBorder="1" applyAlignment="1">
      <alignment horizontal="center" vertical="center"/>
    </xf>
    <xf numFmtId="0" fontId="21" fillId="5" borderId="13" xfId="285" applyFont="1" applyFill="1" applyBorder="1" applyAlignment="1">
      <alignment horizontal="center" vertical="center"/>
    </xf>
    <xf numFmtId="0" fontId="21" fillId="5" borderId="0" xfId="285" applyFont="1" applyFill="1" applyAlignment="1">
      <alignment horizontal="center" vertical="center"/>
    </xf>
    <xf numFmtId="0" fontId="21" fillId="5" borderId="21" xfId="285" applyFont="1" applyFill="1" applyBorder="1" applyAlignment="1">
      <alignment horizontal="center" vertical="center"/>
    </xf>
    <xf numFmtId="166" fontId="28" fillId="12" borderId="11" xfId="285" applyNumberFormat="1" applyFont="1" applyFill="1" applyBorder="1" applyAlignment="1">
      <alignment horizontal="center" vertical="center" wrapText="1"/>
    </xf>
    <xf numFmtId="166" fontId="28" fillId="12" borderId="13" xfId="285" applyNumberFormat="1" applyFont="1" applyFill="1" applyBorder="1" applyAlignment="1">
      <alignment horizontal="center" vertical="center" wrapText="1"/>
    </xf>
    <xf numFmtId="166" fontId="28" fillId="12" borderId="7" xfId="285" applyNumberFormat="1" applyFont="1" applyFill="1" applyBorder="1" applyAlignment="1">
      <alignment horizontal="center" vertical="center" wrapText="1"/>
    </xf>
    <xf numFmtId="166" fontId="28" fillId="12" borderId="9" xfId="285" applyNumberFormat="1" applyFont="1" applyFill="1" applyBorder="1" applyAlignment="1">
      <alignment horizontal="center" vertical="center" wrapText="1"/>
    </xf>
    <xf numFmtId="0" fontId="31" fillId="5" borderId="3" xfId="0" applyFont="1" applyFill="1" applyBorder="1" applyAlignment="1">
      <alignment horizontal="center" vertical="center" wrapText="1"/>
    </xf>
    <xf numFmtId="0" fontId="31" fillId="5" borderId="4" xfId="0" applyFont="1" applyFill="1" applyBorder="1" applyAlignment="1">
      <alignment horizontal="center" vertical="center" wrapText="1"/>
    </xf>
    <xf numFmtId="0" fontId="31" fillId="21" borderId="3" xfId="0" applyFont="1" applyFill="1" applyBorder="1" applyAlignment="1">
      <alignment horizontal="center" vertical="center"/>
    </xf>
    <xf numFmtId="44" fontId="21" fillId="5" borderId="14" xfId="289" applyFont="1" applyFill="1" applyBorder="1" applyAlignment="1">
      <alignment horizontal="center" vertical="center" wrapText="1"/>
    </xf>
    <xf numFmtId="44" fontId="21" fillId="5" borderId="15" xfId="289" applyFont="1" applyFill="1" applyBorder="1" applyAlignment="1">
      <alignment horizontal="center" vertical="center" wrapText="1"/>
    </xf>
    <xf numFmtId="44" fontId="21" fillId="5" borderId="10" xfId="289" applyFont="1" applyFill="1" applyBorder="1" applyAlignment="1">
      <alignment horizontal="center" vertical="center" wrapText="1"/>
    </xf>
    <xf numFmtId="0" fontId="21" fillId="13" borderId="4" xfId="291" applyFont="1" applyFill="1" applyBorder="1" applyAlignment="1">
      <alignment horizontal="center" vertical="center"/>
    </xf>
    <xf numFmtId="0" fontId="21" fillId="13" borderId="5" xfId="291" applyFont="1" applyFill="1" applyBorder="1" applyAlignment="1">
      <alignment horizontal="center" vertical="center"/>
    </xf>
    <xf numFmtId="0" fontId="21" fillId="13" borderId="6" xfId="291" applyFont="1" applyFill="1" applyBorder="1" applyAlignment="1">
      <alignment horizontal="center" vertical="center"/>
    </xf>
    <xf numFmtId="172" fontId="21" fillId="31" borderId="11" xfId="287" applyNumberFormat="1" applyFont="1" applyFill="1" applyBorder="1" applyAlignment="1">
      <alignment horizontal="center" vertical="center"/>
    </xf>
    <xf numFmtId="172" fontId="21" fillId="31" borderId="12" xfId="287" applyNumberFormat="1" applyFont="1" applyFill="1" applyBorder="1" applyAlignment="1">
      <alignment horizontal="center" vertical="center"/>
    </xf>
    <xf numFmtId="172" fontId="21" fillId="31" borderId="13" xfId="287" applyNumberFormat="1" applyFont="1" applyFill="1" applyBorder="1" applyAlignment="1">
      <alignment horizontal="center" vertical="center"/>
    </xf>
    <xf numFmtId="172" fontId="21" fillId="31" borderId="7" xfId="287" applyNumberFormat="1" applyFont="1" applyFill="1" applyBorder="1" applyAlignment="1">
      <alignment horizontal="center" vertical="center"/>
    </xf>
    <xf numFmtId="172" fontId="21" fillId="31" borderId="8" xfId="287" applyNumberFormat="1" applyFont="1" applyFill="1" applyBorder="1" applyAlignment="1">
      <alignment horizontal="center" vertical="center"/>
    </xf>
    <xf numFmtId="172" fontId="21" fillId="31" borderId="9" xfId="287" applyNumberFormat="1" applyFont="1" applyFill="1" applyBorder="1" applyAlignment="1">
      <alignment horizontal="center" vertical="center"/>
    </xf>
    <xf numFmtId="172" fontId="21" fillId="5" borderId="3" xfId="287" applyNumberFormat="1" applyFont="1" applyFill="1" applyBorder="1" applyAlignment="1">
      <alignment horizontal="center" vertical="center" wrapText="1"/>
    </xf>
    <xf numFmtId="172" fontId="21" fillId="5" borderId="11" xfId="287" applyNumberFormat="1" applyFont="1" applyFill="1" applyBorder="1" applyAlignment="1">
      <alignment horizontal="center" vertical="center" wrapText="1"/>
    </xf>
    <xf numFmtId="172" fontId="21" fillId="5" borderId="13" xfId="287" applyNumberFormat="1" applyFont="1" applyFill="1" applyBorder="1" applyAlignment="1">
      <alignment horizontal="center" vertical="center" wrapText="1"/>
    </xf>
    <xf numFmtId="172" fontId="21" fillId="5" borderId="7" xfId="287" applyNumberFormat="1" applyFont="1" applyFill="1" applyBorder="1" applyAlignment="1">
      <alignment horizontal="center" vertical="center" wrapText="1"/>
    </xf>
    <xf numFmtId="172" fontId="21" fillId="5" borderId="9" xfId="287" applyNumberFormat="1" applyFont="1" applyFill="1" applyBorder="1" applyAlignment="1">
      <alignment horizontal="center" vertical="center" wrapText="1"/>
    </xf>
    <xf numFmtId="172" fontId="44" fillId="26" borderId="11" xfId="287" applyNumberFormat="1" applyFont="1" applyFill="1" applyBorder="1" applyAlignment="1">
      <alignment horizontal="center" vertical="center" wrapText="1"/>
    </xf>
    <xf numFmtId="172" fontId="44" fillId="26" borderId="12" xfId="287" applyNumberFormat="1" applyFont="1" applyFill="1" applyBorder="1" applyAlignment="1">
      <alignment horizontal="center" vertical="center" wrapText="1"/>
    </xf>
    <xf numFmtId="172" fontId="44" fillId="26" borderId="13" xfId="287" applyNumberFormat="1" applyFont="1" applyFill="1" applyBorder="1" applyAlignment="1">
      <alignment horizontal="center" vertical="center" wrapText="1"/>
    </xf>
    <xf numFmtId="172" fontId="44" fillId="26" borderId="7" xfId="287" applyNumberFormat="1" applyFont="1" applyFill="1" applyBorder="1" applyAlignment="1">
      <alignment horizontal="center" vertical="center" wrapText="1"/>
    </xf>
    <xf numFmtId="172" fontId="44" fillId="26" borderId="8" xfId="287" applyNumberFormat="1" applyFont="1" applyFill="1" applyBorder="1" applyAlignment="1">
      <alignment horizontal="center" vertical="center" wrapText="1"/>
    </xf>
    <xf numFmtId="172" fontId="44" fillId="26" borderId="9" xfId="287" applyNumberFormat="1" applyFont="1" applyFill="1" applyBorder="1" applyAlignment="1">
      <alignment horizontal="center" vertical="center" wrapText="1"/>
    </xf>
    <xf numFmtId="172" fontId="29" fillId="25" borderId="11" xfId="287" applyNumberFormat="1" applyFont="1" applyFill="1" applyBorder="1" applyAlignment="1">
      <alignment horizontal="center" vertical="center" wrapText="1"/>
    </xf>
    <xf numFmtId="172" fontId="29" fillId="25" borderId="12" xfId="287" applyNumberFormat="1" applyFont="1" applyFill="1" applyBorder="1" applyAlignment="1">
      <alignment horizontal="center" vertical="center" wrapText="1"/>
    </xf>
    <xf numFmtId="172" fontId="29" fillId="25" borderId="13" xfId="287" applyNumberFormat="1" applyFont="1" applyFill="1" applyBorder="1" applyAlignment="1">
      <alignment horizontal="center" vertical="center" wrapText="1"/>
    </xf>
    <xf numFmtId="172" fontId="29" fillId="25" borderId="7" xfId="287" applyNumberFormat="1" applyFont="1" applyFill="1" applyBorder="1" applyAlignment="1">
      <alignment horizontal="center" vertical="center" wrapText="1"/>
    </xf>
    <xf numFmtId="172" fontId="29" fillId="25" borderId="8" xfId="287" applyNumberFormat="1" applyFont="1" applyFill="1" applyBorder="1" applyAlignment="1">
      <alignment horizontal="center" vertical="center" wrapText="1"/>
    </xf>
    <xf numFmtId="172" fontId="29" fillId="25" borderId="9" xfId="287" applyNumberFormat="1" applyFont="1" applyFill="1" applyBorder="1" applyAlignment="1">
      <alignment horizontal="center" vertical="center" wrapText="1"/>
    </xf>
    <xf numFmtId="172" fontId="44" fillId="26" borderId="14" xfId="287" applyNumberFormat="1" applyFont="1" applyFill="1" applyBorder="1" applyAlignment="1">
      <alignment horizontal="center" vertical="center" wrapText="1"/>
    </xf>
    <xf numFmtId="172" fontId="44" fillId="26" borderId="10" xfId="287" applyNumberFormat="1" applyFont="1" applyFill="1" applyBorder="1" applyAlignment="1">
      <alignment horizontal="center" vertical="center" wrapText="1"/>
    </xf>
    <xf numFmtId="0" fontId="21" fillId="4" borderId="11" xfId="291" applyFont="1" applyFill="1" applyBorder="1" applyAlignment="1">
      <alignment vertical="center" wrapText="1"/>
    </xf>
    <xf numFmtId="0" fontId="21" fillId="4" borderId="12" xfId="291" applyFont="1" applyFill="1" applyBorder="1" applyAlignment="1">
      <alignment vertical="center" wrapText="1"/>
    </xf>
    <xf numFmtId="0" fontId="21" fillId="4" borderId="13" xfId="291" applyFont="1" applyFill="1" applyBorder="1" applyAlignment="1">
      <alignment vertical="center" wrapText="1"/>
    </xf>
    <xf numFmtId="0" fontId="21" fillId="4" borderId="7" xfId="291" applyFont="1" applyFill="1" applyBorder="1" applyAlignment="1">
      <alignment vertical="center" wrapText="1"/>
    </xf>
    <xf numFmtId="0" fontId="21" fillId="4" borderId="8" xfId="291" applyFont="1" applyFill="1" applyBorder="1" applyAlignment="1">
      <alignment vertical="center" wrapText="1"/>
    </xf>
    <xf numFmtId="0" fontId="21" fillId="4" borderId="9" xfId="291" applyFont="1" applyFill="1" applyBorder="1" applyAlignment="1">
      <alignment vertical="center" wrapText="1"/>
    </xf>
    <xf numFmtId="0" fontId="21" fillId="0" borderId="0" xfId="291" applyFont="1" applyAlignment="1">
      <alignment horizontal="center" vertical="center" wrapText="1"/>
    </xf>
    <xf numFmtId="5" fontId="33" fillId="36" borderId="3" xfId="0" applyNumberFormat="1" applyFont="1" applyFill="1" applyBorder="1" applyAlignment="1">
      <alignment horizontal="center" vertical="center" wrapText="1" readingOrder="1"/>
    </xf>
    <xf numFmtId="5" fontId="33" fillId="12" borderId="4" xfId="0" applyNumberFormat="1" applyFont="1" applyFill="1" applyBorder="1" applyAlignment="1">
      <alignment horizontal="center" vertical="center" wrapText="1" readingOrder="1"/>
    </xf>
    <xf numFmtId="5" fontId="33" fillId="12" borderId="5" xfId="0" applyNumberFormat="1" applyFont="1" applyFill="1" applyBorder="1" applyAlignment="1">
      <alignment horizontal="center" vertical="center" wrapText="1" readingOrder="1"/>
    </xf>
    <xf numFmtId="5" fontId="33" fillId="12" borderId="6" xfId="0" applyNumberFormat="1" applyFont="1" applyFill="1" applyBorder="1" applyAlignment="1">
      <alignment horizontal="center" vertical="center" wrapText="1" readingOrder="1"/>
    </xf>
    <xf numFmtId="5" fontId="33" fillId="8" borderId="4" xfId="0" applyNumberFormat="1" applyFont="1" applyFill="1" applyBorder="1" applyAlignment="1">
      <alignment horizontal="center" vertical="center" wrapText="1" readingOrder="1"/>
    </xf>
    <xf numFmtId="5" fontId="33" fillId="8" borderId="5" xfId="0" applyNumberFormat="1" applyFont="1" applyFill="1" applyBorder="1" applyAlignment="1">
      <alignment horizontal="center" vertical="center" wrapText="1" readingOrder="1"/>
    </xf>
    <xf numFmtId="5" fontId="33" fillId="8" borderId="6" xfId="0" applyNumberFormat="1" applyFont="1" applyFill="1" applyBorder="1" applyAlignment="1">
      <alignment horizontal="center" vertical="center" wrapText="1" readingOrder="1"/>
    </xf>
    <xf numFmtId="5" fontId="33" fillId="27" borderId="4" xfId="0" applyNumberFormat="1" applyFont="1" applyFill="1" applyBorder="1" applyAlignment="1">
      <alignment horizontal="center" vertical="center" wrapText="1" readingOrder="1"/>
    </xf>
    <xf numFmtId="5" fontId="33" fillId="27" borderId="5" xfId="0" applyNumberFormat="1" applyFont="1" applyFill="1" applyBorder="1" applyAlignment="1">
      <alignment horizontal="center" vertical="center" wrapText="1" readingOrder="1"/>
    </xf>
    <xf numFmtId="5" fontId="33" fillId="27" borderId="6" xfId="0" applyNumberFormat="1" applyFont="1" applyFill="1" applyBorder="1" applyAlignment="1">
      <alignment horizontal="center" vertical="center" wrapText="1" readingOrder="1"/>
    </xf>
    <xf numFmtId="0" fontId="33" fillId="5" borderId="3" xfId="0" applyFont="1" applyFill="1" applyBorder="1" applyAlignment="1">
      <alignment horizontal="center" vertical="center" wrapText="1"/>
    </xf>
    <xf numFmtId="5" fontId="33" fillId="38" borderId="3" xfId="0" applyNumberFormat="1" applyFont="1" applyFill="1" applyBorder="1" applyAlignment="1">
      <alignment horizontal="center" vertical="center" wrapText="1" readingOrder="1"/>
    </xf>
    <xf numFmtId="5" fontId="33" fillId="8" borderId="3" xfId="0" applyNumberFormat="1" applyFont="1" applyFill="1" applyBorder="1" applyAlignment="1">
      <alignment horizontal="center" vertical="center" wrapText="1" readingOrder="1"/>
    </xf>
    <xf numFmtId="5" fontId="33" fillId="34" borderId="3" xfId="0" applyNumberFormat="1" applyFont="1" applyFill="1" applyBorder="1" applyAlignment="1">
      <alignment horizontal="center" vertical="center" wrapText="1" readingOrder="1"/>
    </xf>
    <xf numFmtId="5" fontId="33" fillId="33" borderId="3" xfId="0" applyNumberFormat="1" applyFont="1" applyFill="1" applyBorder="1" applyAlignment="1">
      <alignment horizontal="center" vertical="center" wrapText="1" readingOrder="1"/>
    </xf>
    <xf numFmtId="5" fontId="33" fillId="35" borderId="3" xfId="0" applyNumberFormat="1" applyFont="1" applyFill="1" applyBorder="1" applyAlignment="1">
      <alignment horizontal="center" vertical="center" wrapText="1" readingOrder="1"/>
    </xf>
    <xf numFmtId="5" fontId="33" fillId="3" borderId="3" xfId="0" applyNumberFormat="1" applyFont="1" applyFill="1" applyBorder="1" applyAlignment="1">
      <alignment horizontal="center" vertical="center" wrapText="1" readingOrder="1"/>
    </xf>
    <xf numFmtId="0" fontId="31" fillId="32" borderId="3" xfId="0" applyFont="1" applyFill="1" applyBorder="1" applyAlignment="1">
      <alignment horizontal="center" vertical="center"/>
    </xf>
    <xf numFmtId="9" fontId="31" fillId="32" borderId="3" xfId="288" applyFont="1" applyFill="1" applyBorder="1" applyAlignment="1">
      <alignment horizontal="center" vertical="center"/>
    </xf>
    <xf numFmtId="0" fontId="48" fillId="39" borderId="3" xfId="0" applyFont="1" applyFill="1" applyBorder="1" applyAlignment="1">
      <alignment horizontal="center" vertical="center" wrapText="1"/>
    </xf>
    <xf numFmtId="5" fontId="33" fillId="37" borderId="4" xfId="0" applyNumberFormat="1" applyFont="1" applyFill="1" applyBorder="1" applyAlignment="1">
      <alignment horizontal="center" vertical="center" wrapText="1" readingOrder="1"/>
    </xf>
    <xf numFmtId="5" fontId="33" fillId="37" borderId="6" xfId="0" applyNumberFormat="1" applyFont="1" applyFill="1" applyBorder="1" applyAlignment="1">
      <alignment horizontal="center" vertical="center" wrapText="1" readingOrder="1"/>
    </xf>
  </cellXfs>
  <cellStyles count="292">
    <cellStyle name="Hyperlink" xfId="16" xr:uid="{9A227108-CBC3-4755-B7CD-48161554ABEF}"/>
    <cellStyle name="Millares" xfId="3" builtinId="3"/>
    <cellStyle name="Millares 2" xfId="12" xr:uid="{8BA9FAE4-2B76-4880-8743-EBEA3EA81E1F}"/>
    <cellStyle name="Millares 2 2" xfId="63" xr:uid="{E52EB9B3-F63D-49EE-A834-2A3D8AB87339}"/>
    <cellStyle name="Millares 2 2 2" xfId="203" xr:uid="{2A9E7DC4-BBA9-4032-A11A-0D770F20E420}"/>
    <cellStyle name="Millares 2 3" xfId="156" xr:uid="{14E4B21B-87B9-4E29-999D-858EA46B8ED5}"/>
    <cellStyle name="Millares 3" xfId="147" xr:uid="{A1E6B2B6-B790-443B-86B9-0A8A1D449209}"/>
    <cellStyle name="Millares 4" xfId="287" xr:uid="{C1C76658-B96B-43AF-B143-12C644FCFA1C}"/>
    <cellStyle name="Moneda" xfId="1" builtinId="4"/>
    <cellStyle name="Moneda [0] 2" xfId="17" xr:uid="{44B3C3E7-9B6B-48F8-94C3-5E79BDD5F585}"/>
    <cellStyle name="Moneda 10" xfId="18" xr:uid="{79D132B0-63D3-4879-921F-57B99C3BC198}"/>
    <cellStyle name="Moneda 10 2" xfId="34" xr:uid="{AC2109CB-FFEE-4760-AA82-CAACD3B159BF}"/>
    <cellStyle name="Moneda 10 2 2" xfId="81" xr:uid="{61E2BA79-5F89-49E3-B23A-856377C3A17D}"/>
    <cellStyle name="Moneda 10 2 2 2" xfId="221" xr:uid="{E97AE6AC-EDE3-48F2-8982-1A29C4AB6EE2}"/>
    <cellStyle name="Moneda 10 2 3" xfId="174" xr:uid="{2E1C2753-3481-467A-89B7-CDE91B1AD583}"/>
    <cellStyle name="Moneda 10 3" xfId="67" xr:uid="{353C2529-DDF5-4CFC-947F-9AE860C8AC24}"/>
    <cellStyle name="Moneda 10 3 2" xfId="207" xr:uid="{F1E2F940-2F28-4A52-89CA-FD7FF5398EE8}"/>
    <cellStyle name="Moneda 10 4" xfId="160" xr:uid="{9AE95721-70FF-4A90-A515-B94D73B5F9D0}"/>
    <cellStyle name="Moneda 11" xfId="19" xr:uid="{177E6EDA-38D5-4440-9CD5-F84CA0F6A6DF}"/>
    <cellStyle name="Moneda 11 2" xfId="35" xr:uid="{C7B6A70A-2BC9-4D7E-89B5-FB666E2B51E6}"/>
    <cellStyle name="Moneda 11 2 2" xfId="82" xr:uid="{D9C01C4C-F8C1-4FDA-85B6-025E02B5087C}"/>
    <cellStyle name="Moneda 11 2 2 2" xfId="222" xr:uid="{EFA3E7FB-8EBA-42F9-AC14-DB80D8A1F01E}"/>
    <cellStyle name="Moneda 11 2 3" xfId="175" xr:uid="{62F39BF5-136B-42A2-BCB1-809F85F7C9BB}"/>
    <cellStyle name="Moneda 11 3" xfId="68" xr:uid="{8DDB1145-EE86-46A2-97F0-AE1CBCBE99F3}"/>
    <cellStyle name="Moneda 11 3 2" xfId="208" xr:uid="{2A84FCC7-6334-4C2E-840B-59202700DDA6}"/>
    <cellStyle name="Moneda 11 4" xfId="161" xr:uid="{5A44BFD3-51AE-49EC-9AE4-BDD169C5EEBF}"/>
    <cellStyle name="Moneda 12" xfId="33" xr:uid="{9794040E-669C-4D66-B491-295FBF0ACF28}"/>
    <cellStyle name="Moneda 12 2" xfId="80" xr:uid="{31DE9EF3-A07B-404B-BF80-12AE1F538456}"/>
    <cellStyle name="Moneda 12 2 2" xfId="220" xr:uid="{1F6E830A-E2B3-49BE-895F-A9E4260CB505}"/>
    <cellStyle name="Moneda 12 3" xfId="173" xr:uid="{FB0BD7D6-E3F7-4E48-951D-1DF5DE527597}"/>
    <cellStyle name="Moneda 13" xfId="15" xr:uid="{640467BF-DA36-4BF8-9329-AE4A0FC4DB33}"/>
    <cellStyle name="Moneda 13 2" xfId="66" xr:uid="{6D87F1A6-5022-4662-A2EB-AA7CD1223752}"/>
    <cellStyle name="Moneda 13 2 2" xfId="206" xr:uid="{3BB44EF8-C3B9-4081-80A2-30E99D25B033}"/>
    <cellStyle name="Moneda 13 3" xfId="159" xr:uid="{9A63C7CB-15FF-454D-BFE6-44ECC84E8126}"/>
    <cellStyle name="Moneda 14" xfId="46" xr:uid="{366616CC-1862-4DB0-80F7-7190DA1466CC}"/>
    <cellStyle name="Moneda 14 2" xfId="93" xr:uid="{83865B53-117C-4D0F-836F-98BBF9CD5913}"/>
    <cellStyle name="Moneda 14 2 2" xfId="233" xr:uid="{29074E99-832B-4D8C-B75B-7135EA76C1CC}"/>
    <cellStyle name="Moneda 14 3" xfId="186" xr:uid="{FA0210E9-3EE7-4CF2-8F7B-20D4E15EA670}"/>
    <cellStyle name="Moneda 15" xfId="47" xr:uid="{83CEAFEB-1BB4-421D-99B9-FBBE582AC8D6}"/>
    <cellStyle name="Moneda 15 2" xfId="94" xr:uid="{5AA20455-457A-41BF-9B23-FA98669CB392}"/>
    <cellStyle name="Moneda 15 2 2" xfId="234" xr:uid="{C1E65D5C-AAFF-4609-B461-27CF6B9737BC}"/>
    <cellStyle name="Moneda 15 3" xfId="187" xr:uid="{4E1E757E-DD31-450D-A04E-62518A1A3954}"/>
    <cellStyle name="Moneda 16" xfId="6" xr:uid="{7AEAF102-E530-42D5-B5AC-26CE8776B510}"/>
    <cellStyle name="Moneda 16 2" xfId="48" xr:uid="{B9DE9549-DF37-4E9C-A922-89516A0DF378}"/>
    <cellStyle name="Moneda 16 2 2" xfId="188" xr:uid="{E37B290C-D381-4339-9103-3CDA2BB1EA4C}"/>
    <cellStyle name="Moneda 16 3" xfId="95" xr:uid="{57B8CA9D-10CF-46C1-B11D-07C23A091578}"/>
    <cellStyle name="Moneda 16 3 2" xfId="235" xr:uid="{909528B5-FCBE-476D-B069-EDD7DAFFA0B4}"/>
    <cellStyle name="Moneda 16 4" xfId="150" xr:uid="{D1938B36-9922-40F1-962B-5C908792D8E5}"/>
    <cellStyle name="Moneda 17" xfId="49" xr:uid="{0F46A9FD-CFD9-494E-8673-9B3FE06E2333}"/>
    <cellStyle name="Moneda 17 2" xfId="96" xr:uid="{945AE53C-60F3-426E-B3C6-DD0C8AAA4E3B}"/>
    <cellStyle name="Moneda 17 2 2" xfId="236" xr:uid="{D7009CCE-9919-412E-A54B-D65712E793A7}"/>
    <cellStyle name="Moneda 17 3" xfId="189" xr:uid="{4788C5E8-70C3-40F9-A0FF-0598272CC21E}"/>
    <cellStyle name="Moneda 18" xfId="8" xr:uid="{C85B4322-13B3-4317-9310-622F951E7346}"/>
    <cellStyle name="Moneda 18 2" xfId="152" xr:uid="{1C086F93-8643-4E5F-ADE9-106CDF4E1059}"/>
    <cellStyle name="Moneda 19" xfId="5" xr:uid="{BACEDBD0-947C-40E4-A571-48DF140C22F5}"/>
    <cellStyle name="Moneda 19 2" xfId="149" xr:uid="{85631E31-063B-458E-AAEB-3EA5303C15BD}"/>
    <cellStyle name="Moneda 2" xfId="13" xr:uid="{1A03690C-5331-407A-B888-7814DD608FFF}"/>
    <cellStyle name="Moneda 2 2" xfId="21" xr:uid="{601C639C-C35B-41C4-90AB-18DF5D195B56}"/>
    <cellStyle name="Moneda 2 2 2" xfId="37" xr:uid="{A9CDDE14-E4C0-43D5-BDCB-D44E01C58027}"/>
    <cellStyle name="Moneda 2 2 2 2" xfId="84" xr:uid="{D91F29FB-37F4-4914-8139-B927986FBA73}"/>
    <cellStyle name="Moneda 2 2 2 2 2" xfId="224" xr:uid="{8003DD9E-9AE6-4C11-A5CF-B7F1FE28DF74}"/>
    <cellStyle name="Moneda 2 2 2 3" xfId="177" xr:uid="{A5FAC3A2-37F7-4EE4-AFD3-CF4239D9D171}"/>
    <cellStyle name="Moneda 2 2 3" xfId="70" xr:uid="{110C3D99-F212-4126-935F-F196AA196047}"/>
    <cellStyle name="Moneda 2 2 3 2" xfId="210" xr:uid="{1F8C86C0-2FBF-4C04-BDE0-758E950E5B9E}"/>
    <cellStyle name="Moneda 2 2 4" xfId="163" xr:uid="{796288AA-70C6-485C-9B42-3EA908DCEB0A}"/>
    <cellStyle name="Moneda 2 3" xfId="36" xr:uid="{25780BF7-5F36-491A-A935-EE5283BCC8C1}"/>
    <cellStyle name="Moneda 2 3 2" xfId="83" xr:uid="{81397BEE-6783-4E1F-8CCF-659241D4AE89}"/>
    <cellStyle name="Moneda 2 3 2 2" xfId="223" xr:uid="{D1ECC427-C3A8-4C54-BBA5-9EE747E2FE4B}"/>
    <cellStyle name="Moneda 2 3 3" xfId="176" xr:uid="{790CD767-9B6E-4509-B40C-DEF9AC8870DF}"/>
    <cellStyle name="Moneda 2 4" xfId="20" xr:uid="{7C9F53CC-8E1A-4C42-AE9D-904D4BD9D782}"/>
    <cellStyle name="Moneda 2 4 2" xfId="69" xr:uid="{AEF139FE-5300-420D-BE13-0A1E0880C4DA}"/>
    <cellStyle name="Moneda 2 4 2 2" xfId="209" xr:uid="{6C5B9B23-127C-497A-A4D0-B46CF1B49135}"/>
    <cellStyle name="Moneda 2 4 3" xfId="162" xr:uid="{93207682-25FE-4A23-9283-4EACA3CA4847}"/>
    <cellStyle name="Moneda 2 5" xfId="64" xr:uid="{0CDE3353-5126-41DE-AB85-6D17284B2D83}"/>
    <cellStyle name="Moneda 2 5 2" xfId="204" xr:uid="{40813429-B7B2-4385-AA2E-52B0CD766EDC}"/>
    <cellStyle name="Moneda 2 6" xfId="157" xr:uid="{86463D2A-D761-43F0-91CE-AC0806781ECC}"/>
    <cellStyle name="Moneda 20" xfId="51" xr:uid="{01D12938-DC0F-422E-B1FE-CFAFCCAB9772}"/>
    <cellStyle name="Moneda 20 2" xfId="191" xr:uid="{85B8A2D8-B490-48DF-917D-26C23B696DB2}"/>
    <cellStyle name="Moneda 21" xfId="52" xr:uid="{2DE20B4D-6066-4FD0-B766-540FE1B909F5}"/>
    <cellStyle name="Moneda 21 2" xfId="192" xr:uid="{5B39FA80-D4D3-424B-961A-7E6C963A0B70}"/>
    <cellStyle name="Moneda 22" xfId="55" xr:uid="{1E6CD1F7-5A9D-487C-8AEF-0ECE69186720}"/>
    <cellStyle name="Moneda 22 2" xfId="195" xr:uid="{135E6019-AF4D-4C75-BE5E-FDF47EB851B6}"/>
    <cellStyle name="Moneda 23" xfId="54" xr:uid="{59228240-6440-480B-83EA-033CCACDED6A}"/>
    <cellStyle name="Moneda 23 2" xfId="194" xr:uid="{52EF0F22-FB4A-451E-98FD-B5BFCD4813DC}"/>
    <cellStyle name="Moneda 24" xfId="53" xr:uid="{9C425CEC-BC94-4882-AFD3-446CAC242063}"/>
    <cellStyle name="Moneda 24 2" xfId="193" xr:uid="{57985EF2-C10B-48E2-AB1F-B7B23D581E4B}"/>
    <cellStyle name="Moneda 25" xfId="56" xr:uid="{537682F2-0E78-4BA0-9E92-8C28A5E5E1AA}"/>
    <cellStyle name="Moneda 25 2" xfId="196" xr:uid="{45EAD34B-8880-4C0D-BC24-C20D838F29D6}"/>
    <cellStyle name="Moneda 26" xfId="57" xr:uid="{7887D4E2-128A-4159-802E-656386592CC4}"/>
    <cellStyle name="Moneda 26 2" xfId="197" xr:uid="{1E4BBA89-2252-4EF0-8F0E-2B2A3FB0E50F}"/>
    <cellStyle name="Moneda 27" xfId="59" xr:uid="{4FE021E4-401B-4725-8749-12A105B0B306}"/>
    <cellStyle name="Moneda 27 2" xfId="199" xr:uid="{4E8EF010-6860-4E3E-BFA5-074FE88C8B02}"/>
    <cellStyle name="Moneda 28" xfId="98" xr:uid="{0ED581BD-0E38-49D5-BBD1-E2E2116A2431}"/>
    <cellStyle name="Moneda 28 2" xfId="238" xr:uid="{D26D3AB2-1C57-4108-9B1A-6C3666DF8CF8}"/>
    <cellStyle name="Moneda 29" xfId="115" xr:uid="{594A499C-1B29-4D13-A898-CC03247BCF0C}"/>
    <cellStyle name="Moneda 29 2" xfId="255" xr:uid="{E4B8BBDB-A79E-4DBB-8D1D-03AB108E675D}"/>
    <cellStyle name="Moneda 3" xfId="11" xr:uid="{C1D2DEFC-EBCC-4139-959C-AADD7797343B}"/>
    <cellStyle name="Moneda 3 2" xfId="14" xr:uid="{E9158914-FCBB-48D5-BC11-192AFB9A384A}"/>
    <cellStyle name="Moneda 3 2 2" xfId="39" xr:uid="{434859C5-9381-4876-864F-8F76AA1115B5}"/>
    <cellStyle name="Moneda 3 2 2 2" xfId="86" xr:uid="{5A963317-69F0-4113-AA96-C0E77CECFA71}"/>
    <cellStyle name="Moneda 3 2 2 2 2" xfId="226" xr:uid="{5D2867D8-70D8-44A7-AD4B-14FDDF442070}"/>
    <cellStyle name="Moneda 3 2 2 3" xfId="179" xr:uid="{BDFF564F-A4BD-4BBD-8DC9-F7D3F0474E4E}"/>
    <cellStyle name="Moneda 3 2 3" xfId="23" xr:uid="{DF55F39F-97C7-40D6-B724-B85FB1025E91}"/>
    <cellStyle name="Moneda 3 2 3 2" xfId="72" xr:uid="{567169C1-0036-46A4-B05C-33DA413D66C4}"/>
    <cellStyle name="Moneda 3 2 3 2 2" xfId="212" xr:uid="{831E011A-1350-44D7-9FD9-4AB8CB9D62F5}"/>
    <cellStyle name="Moneda 3 2 3 3" xfId="165" xr:uid="{50C606CD-84E0-45DF-A440-1E2B35BAD1E8}"/>
    <cellStyle name="Moneda 3 2 4" xfId="65" xr:uid="{5CE97835-E516-4F20-8BA9-3546A5AD7165}"/>
    <cellStyle name="Moneda 3 2 4 2" xfId="205" xr:uid="{720B02E6-1E8F-47AA-932E-9370C4E08CED}"/>
    <cellStyle name="Moneda 3 2 5" xfId="158" xr:uid="{63BD68EB-2B71-4399-AB95-3619F97AB32C}"/>
    <cellStyle name="Moneda 3 3" xfId="38" xr:uid="{D5129BBD-10A9-4F4A-96F4-E01E4474896C}"/>
    <cellStyle name="Moneda 3 3 2" xfId="85" xr:uid="{895814B7-D30E-4BD4-8749-B3F34B92016D}"/>
    <cellStyle name="Moneda 3 3 2 2" xfId="225" xr:uid="{EDDAFC6B-DBD0-45CA-83AF-3B8866E3E39C}"/>
    <cellStyle name="Moneda 3 3 3" xfId="178" xr:uid="{74F38C28-4DEF-4A09-A125-47CD9837939C}"/>
    <cellStyle name="Moneda 3 4" xfId="22" xr:uid="{A31D4181-7DC6-47AA-9273-8DA8F40326A9}"/>
    <cellStyle name="Moneda 3 4 2" xfId="71" xr:uid="{CF86C993-7CE1-494E-82B1-2B3568A979C7}"/>
    <cellStyle name="Moneda 3 4 2 2" xfId="211" xr:uid="{3A1CC72C-DC8E-4607-B8D6-0070A02C4F36}"/>
    <cellStyle name="Moneda 3 4 3" xfId="164" xr:uid="{C94B14D2-70D2-4C54-B896-280CEDB01E2E}"/>
    <cellStyle name="Moneda 3 5" xfId="62" xr:uid="{6404F6DE-B52A-4207-B334-2BE4B5B86DC4}"/>
    <cellStyle name="Moneda 3 5 2" xfId="202" xr:uid="{AFEB4F97-BA94-403D-860D-B1B2867325E2}"/>
    <cellStyle name="Moneda 3 6" xfId="155" xr:uid="{D66C57CE-482E-4583-B5CC-EFC1085FA385}"/>
    <cellStyle name="Moneda 3 7" xfId="289" xr:uid="{0CCBC9BF-3363-4E33-BB16-64167DADB9FA}"/>
    <cellStyle name="Moneda 30" xfId="116" xr:uid="{58B8D780-DD5C-4951-86EB-F0A927003EFE}"/>
    <cellStyle name="Moneda 30 2" xfId="256" xr:uid="{81D60B14-50F8-412E-A17A-E8EF231715AF}"/>
    <cellStyle name="Moneda 31" xfId="106" xr:uid="{909AE03D-5964-43FA-B6C1-80C8723E31A5}"/>
    <cellStyle name="Moneda 31 2" xfId="246" xr:uid="{4544F3E8-C9DA-4E39-8FE2-9C712D3C8E20}"/>
    <cellStyle name="Moneda 32" xfId="105" xr:uid="{CDBB8FED-11C7-4F5F-98D3-53C55A867B68}"/>
    <cellStyle name="Moneda 32 2" xfId="245" xr:uid="{93A8D85D-DEA9-4D66-AB59-2F7B44BDD5CE}"/>
    <cellStyle name="Moneda 33" xfId="111" xr:uid="{92CD31CF-C9CE-4407-9175-9B15720816B1}"/>
    <cellStyle name="Moneda 33 2" xfId="251" xr:uid="{12B150A5-A1EA-41EA-9428-5317F3E108C7}"/>
    <cellStyle name="Moneda 34" xfId="128" xr:uid="{A7906C0A-29D7-47BE-B70B-E55C294FF8FD}"/>
    <cellStyle name="Moneda 34 2" xfId="268" xr:uid="{C7716B20-C798-4470-8944-2D3B8A9CA695}"/>
    <cellStyle name="Moneda 35" xfId="119" xr:uid="{30847D9F-5BDB-43BF-89CC-3274E20F6E5B}"/>
    <cellStyle name="Moneda 35 2" xfId="259" xr:uid="{934894E0-37FE-47AF-8891-92AB57027A46}"/>
    <cellStyle name="Moneda 36" xfId="100" xr:uid="{01406202-A622-4DB2-84CB-996280B7E29E}"/>
    <cellStyle name="Moneda 36 2" xfId="240" xr:uid="{F7850546-D087-47E9-BD0A-437829DFF9B2}"/>
    <cellStyle name="Moneda 37" xfId="121" xr:uid="{01BDF526-013A-4C43-AC1F-18371BB38461}"/>
    <cellStyle name="Moneda 37 2" xfId="261" xr:uid="{A08AD7DC-A3BD-4DCA-A692-38213F6641A8}"/>
    <cellStyle name="Moneda 38" xfId="123" xr:uid="{E78D5BEF-A40B-44EC-9CEE-4B390936A783}"/>
    <cellStyle name="Moneda 38 2" xfId="263" xr:uid="{9C40F887-B9B0-458A-B19A-FFB004C69887}"/>
    <cellStyle name="Moneda 39" xfId="103" xr:uid="{3B30CE92-9FB0-4A48-9312-D797C5D7A6EC}"/>
    <cellStyle name="Moneda 39 2" xfId="243" xr:uid="{C93FDCBF-9356-4497-9133-9D9C0298D5F0}"/>
    <cellStyle name="Moneda 4" xfId="24" xr:uid="{80553115-197C-4F43-8B53-ED0CC4B66969}"/>
    <cellStyle name="Moneda 4 2" xfId="40" xr:uid="{A82102BD-F972-4DC5-BB46-272861EFFAD6}"/>
    <cellStyle name="Moneda 4 2 2" xfId="87" xr:uid="{44ABE9D9-7E08-4036-A7B9-31C1E4DFE93D}"/>
    <cellStyle name="Moneda 4 2 2 2" xfId="227" xr:uid="{6432D090-9427-43A3-A31B-52BA1A43AA02}"/>
    <cellStyle name="Moneda 4 2 3" xfId="180" xr:uid="{D7EAF7C0-D1A6-4FC7-BF82-7FECF89E6C31}"/>
    <cellStyle name="Moneda 4 3" xfId="73" xr:uid="{DF179D8C-EE3C-49FA-998A-A1069022F14B}"/>
    <cellStyle name="Moneda 4 3 2" xfId="213" xr:uid="{34889958-D7E9-482D-94E2-57C718474401}"/>
    <cellStyle name="Moneda 4 4" xfId="166" xr:uid="{F339E5E8-35A7-455B-B92D-CA5BFAE4984B}"/>
    <cellStyle name="Moneda 40" xfId="130" xr:uid="{6C45FA4E-8E15-4EC2-930C-617C3E7CDA90}"/>
    <cellStyle name="Moneda 40 2" xfId="270" xr:uid="{6EEFFF92-0006-434B-AD5A-1ED9456FA625}"/>
    <cellStyle name="Moneda 41" xfId="99" xr:uid="{2C2C3201-ABDD-4992-9614-0D7CDD1FE068}"/>
    <cellStyle name="Moneda 41 2" xfId="239" xr:uid="{E4564FB4-6DAC-4951-8EFA-C0D5361218A5}"/>
    <cellStyle name="Moneda 42" xfId="117" xr:uid="{E55DF6F3-2DDE-4B69-8E35-BFF26F58423C}"/>
    <cellStyle name="Moneda 42 2" xfId="257" xr:uid="{E168E98B-0118-4EC6-98C3-756061633839}"/>
    <cellStyle name="Moneda 43" xfId="104" xr:uid="{4A48E1FF-9A12-4FE6-83F8-304846E28C7F}"/>
    <cellStyle name="Moneda 43 2" xfId="244" xr:uid="{2D787B72-663F-4FF7-B43A-6DF1253FECB2}"/>
    <cellStyle name="Moneda 44" xfId="102" xr:uid="{39C5784A-0B0A-4AD0-AC50-805756402B87}"/>
    <cellStyle name="Moneda 44 2" xfId="242" xr:uid="{F095CB80-2204-4D28-B1C3-4E131DE23DAA}"/>
    <cellStyle name="Moneda 45" xfId="122" xr:uid="{7EDE9D0B-25E8-49C5-8B3D-172543C68EEE}"/>
    <cellStyle name="Moneda 45 2" xfId="262" xr:uid="{8E9552F4-6659-4FD5-B0A9-9CA30CB3BEBD}"/>
    <cellStyle name="Moneda 46" xfId="127" xr:uid="{A645663D-9AB8-4C89-9FC6-CA167400B8C0}"/>
    <cellStyle name="Moneda 46 2" xfId="267" xr:uid="{CC732D97-B4A9-4946-9415-C56DE3854ACC}"/>
    <cellStyle name="Moneda 47" xfId="109" xr:uid="{59765C4B-4E42-4911-A6D9-7AFCFB18317A}"/>
    <cellStyle name="Moneda 47 2" xfId="249" xr:uid="{8728E0C6-3EFB-463C-8BF0-98B517AA6943}"/>
    <cellStyle name="Moneda 48" xfId="136" xr:uid="{5E53DF1C-B36C-4197-8A0B-8D8D7575FC44}"/>
    <cellStyle name="Moneda 48 2" xfId="276" xr:uid="{FE98A662-0694-46C4-9413-91387D65A3AD}"/>
    <cellStyle name="Moneda 49" xfId="132" xr:uid="{3CC15FB1-F771-4041-BD88-745E9F7D425C}"/>
    <cellStyle name="Moneda 49 2" xfId="272" xr:uid="{16A5FCAE-E00A-407E-96CB-4DA7FD175883}"/>
    <cellStyle name="Moneda 5" xfId="25" xr:uid="{6BC15FA3-A718-4C25-9C60-7B4CFA6DC3A6}"/>
    <cellStyle name="Moneda 5 2" xfId="41" xr:uid="{289272F4-019F-4AF3-8BE9-E4E8A2B3D4D5}"/>
    <cellStyle name="Moneda 5 2 2" xfId="88" xr:uid="{76D1DE02-8494-4BE3-9F10-16933DDCED05}"/>
    <cellStyle name="Moneda 5 2 2 2" xfId="228" xr:uid="{5BA48F80-7774-441A-99AC-7C51E05F4AE5}"/>
    <cellStyle name="Moneda 5 2 3" xfId="181" xr:uid="{FA4A9020-D72F-4B1B-BD54-880FA2105B6F}"/>
    <cellStyle name="Moneda 5 3" xfId="74" xr:uid="{8B7EDAD3-CE18-4AE8-8C8B-44E1CF45F332}"/>
    <cellStyle name="Moneda 5 3 2" xfId="214" xr:uid="{B60B203A-BEF5-4600-A681-85597925726A}"/>
    <cellStyle name="Moneda 5 4" xfId="167" xr:uid="{A057294B-2640-474A-82E0-47E37343F2A3}"/>
    <cellStyle name="Moneda 50" xfId="110" xr:uid="{9CC4BE81-C2B1-4945-9073-EFAD187BB03E}"/>
    <cellStyle name="Moneda 50 2" xfId="250" xr:uid="{581E4477-AE6B-4E0F-BE6E-AB958D43B17F}"/>
    <cellStyle name="Moneda 51" xfId="139" xr:uid="{903D0EE1-29E3-4A43-A760-956B0FD54B49}"/>
    <cellStyle name="Moneda 51 2" xfId="279" xr:uid="{6ADF8E6E-5A15-4EB9-9276-187F0446C754}"/>
    <cellStyle name="Moneda 52" xfId="134" xr:uid="{CC95C2BC-BF80-4BA6-9452-F4D0912A2D01}"/>
    <cellStyle name="Moneda 52 2" xfId="274" xr:uid="{80841C7D-D5BB-4766-8684-1087D9B5CC67}"/>
    <cellStyle name="Moneda 53" xfId="118" xr:uid="{0A45AC24-EDCC-4530-847F-6FA501CB63FD}"/>
    <cellStyle name="Moneda 53 2" xfId="258" xr:uid="{B4B6B1E6-239D-4F9E-9303-0A59EF7CC2AF}"/>
    <cellStyle name="Moneda 54" xfId="112" xr:uid="{84A3EEEF-EDE3-48E7-ABFB-83E4B2245AF6}"/>
    <cellStyle name="Moneda 54 2" xfId="252" xr:uid="{9277A33E-ED60-428B-BBCC-46EA90596D9C}"/>
    <cellStyle name="Moneda 55" xfId="131" xr:uid="{4FA0DF29-D11B-4008-962B-66CBA75E6418}"/>
    <cellStyle name="Moneda 55 2" xfId="271" xr:uid="{34AF8265-BA79-4649-866E-70F761BFF68C}"/>
    <cellStyle name="Moneda 56" xfId="114" xr:uid="{5F5EAC9A-154A-45B1-A298-0F1AAD860E6E}"/>
    <cellStyle name="Moneda 56 2" xfId="254" xr:uid="{6B4C9248-F649-4536-875B-E305BC3BD26F}"/>
    <cellStyle name="Moneda 57" xfId="142" xr:uid="{F06A3EFA-A34D-4C80-9D59-0D36BA7BDCA8}"/>
    <cellStyle name="Moneda 57 2" xfId="282" xr:uid="{BF0D59C9-D4A3-400C-8094-5D06592193B1}"/>
    <cellStyle name="Moneda 58" xfId="113" xr:uid="{12BC587D-B7D6-4423-A999-972F4D4C021B}"/>
    <cellStyle name="Moneda 58 2" xfId="253" xr:uid="{838B26B3-F4CE-4D77-B01C-4B1B3C2B9491}"/>
    <cellStyle name="Moneda 59" xfId="140" xr:uid="{84A0DEC3-4901-48AD-AA0D-CD1C2DF111C3}"/>
    <cellStyle name="Moneda 59 2" xfId="280" xr:uid="{D1A7ABCC-7FEF-4DDB-A732-BE5B4C3278CC}"/>
    <cellStyle name="Moneda 6" xfId="26" xr:uid="{D6EE8549-9158-4702-AAA7-15F030EB184F}"/>
    <cellStyle name="Moneda 6 2" xfId="42" xr:uid="{0A12E2E4-09ED-49B6-BE32-F245DAD52AC9}"/>
    <cellStyle name="Moneda 6 2 2" xfId="89" xr:uid="{6E2C3920-45A3-4C53-9508-CDFA8B92AC68}"/>
    <cellStyle name="Moneda 6 2 2 2" xfId="229" xr:uid="{53ACC1E8-25E2-4ABD-9EE3-BCAD92D6B3F7}"/>
    <cellStyle name="Moneda 6 2 3" xfId="182" xr:uid="{D1AE0491-E4CB-4529-959D-4ACFF0F6F8AF}"/>
    <cellStyle name="Moneda 6 3" xfId="75" xr:uid="{47D2EB00-13C3-42D0-B718-139BD47F1198}"/>
    <cellStyle name="Moneda 6 3 2" xfId="215" xr:uid="{3DE2D5E8-91C7-4F2C-9A72-348714F97B0A}"/>
    <cellStyle name="Moneda 6 4" xfId="168" xr:uid="{81B080E1-EECF-4928-9BB7-5B16BD5E1868}"/>
    <cellStyle name="Moneda 60" xfId="101" xr:uid="{72244F0E-C334-4249-9E47-483780D4475A}"/>
    <cellStyle name="Moneda 60 2" xfId="241" xr:uid="{D44517CE-DB4B-44D3-BB03-9D4B7460D81A}"/>
    <cellStyle name="Moneda 61" xfId="138" xr:uid="{3D608254-A287-4701-8554-93DFCADAE1AD}"/>
    <cellStyle name="Moneda 61 2" xfId="278" xr:uid="{EF4BE5D5-0270-4489-ADAC-961AE55C6FAE}"/>
    <cellStyle name="Moneda 62" xfId="125" xr:uid="{F9BA645E-113F-4F9A-ACC7-9A4E5421A248}"/>
    <cellStyle name="Moneda 62 2" xfId="265" xr:uid="{5C5FA222-F444-4105-901F-58AAC76BE9A4}"/>
    <cellStyle name="Moneda 63" xfId="126" xr:uid="{8C878FB6-DE71-4BD1-A78B-87980A7B061D}"/>
    <cellStyle name="Moneda 63 2" xfId="266" xr:uid="{084ECC08-BED1-433F-A844-71FC4F422C2A}"/>
    <cellStyle name="Moneda 64" xfId="143" xr:uid="{F5DD6198-095F-4958-892F-FC381E70862B}"/>
    <cellStyle name="Moneda 64 2" xfId="283" xr:uid="{6C8FAB3F-5225-4C23-A89E-B6C2F3F32C92}"/>
    <cellStyle name="Moneda 65" xfId="135" xr:uid="{F7C65185-9178-46AA-BBBB-63668A4AE3D6}"/>
    <cellStyle name="Moneda 65 2" xfId="275" xr:uid="{AD0AA950-D1DF-4F00-A563-70C2E8374CE5}"/>
    <cellStyle name="Moneda 66" xfId="129" xr:uid="{20602FB6-E209-4091-8300-DC2189E5436E}"/>
    <cellStyle name="Moneda 66 2" xfId="269" xr:uid="{5751F0B5-0D65-41E4-AFC1-0BAD98EA2B59}"/>
    <cellStyle name="Moneda 67" xfId="120" xr:uid="{F65EAAA0-BFE7-4025-BDAF-C5CCE9B0A0CF}"/>
    <cellStyle name="Moneda 67 2" xfId="260" xr:uid="{770A18D5-886F-438C-9EF0-AFB8196730FD}"/>
    <cellStyle name="Moneda 68" xfId="107" xr:uid="{7F45A736-D7E8-429A-97BA-8A25D0A56423}"/>
    <cellStyle name="Moneda 68 2" xfId="247" xr:uid="{01033DD7-CDCA-44EE-9BF7-D5973944B206}"/>
    <cellStyle name="Moneda 69" xfId="133" xr:uid="{40EA1F97-1BBD-4CBF-9E5F-7EB1C9496001}"/>
    <cellStyle name="Moneda 69 2" xfId="273" xr:uid="{CF3A2CDB-3D8D-4455-9BF7-09C8D1824083}"/>
    <cellStyle name="Moneda 7" xfId="27" xr:uid="{CF3F53C2-D8EA-4E05-96EB-DECBA9A3C4F3}"/>
    <cellStyle name="Moneda 7 2" xfId="43" xr:uid="{01814040-1908-4086-8C80-FC95B50C541C}"/>
    <cellStyle name="Moneda 7 2 2" xfId="90" xr:uid="{439B6C46-36FC-4B42-8C42-7AA3F4EAC2B3}"/>
    <cellStyle name="Moneda 7 2 2 2" xfId="230" xr:uid="{771D0FEB-7146-42C9-AE6D-64AF65CEEA9E}"/>
    <cellStyle name="Moneda 7 2 3" xfId="183" xr:uid="{D17DE90B-1360-4191-81F7-3FF2483B8883}"/>
    <cellStyle name="Moneda 7 3" xfId="76" xr:uid="{309BA6F8-1415-4ADA-A9AF-ABFF9B0F9715}"/>
    <cellStyle name="Moneda 7 3 2" xfId="216" xr:uid="{20DC848B-128D-45A8-9EC5-C547B94C40CF}"/>
    <cellStyle name="Moneda 7 4" xfId="169" xr:uid="{4CA0B3AF-868D-48D5-A29A-3CE040C5E4A7}"/>
    <cellStyle name="Moneda 70" xfId="124" xr:uid="{468DCF7F-E1EB-4D21-836F-A9834CEE7857}"/>
    <cellStyle name="Moneda 70 2" xfId="264" xr:uid="{41BB915D-AADF-4C8C-B3F2-7AAAB2191C34}"/>
    <cellStyle name="Moneda 71" xfId="144" xr:uid="{387D7B8C-590A-4131-86E7-8E57D75AFE6C}"/>
    <cellStyle name="Moneda 71 2" xfId="284" xr:uid="{BD5514DC-E7BC-4D0A-A4DA-F10B10B35E29}"/>
    <cellStyle name="Moneda 72" xfId="141" xr:uid="{B08B41E3-EE9F-4329-ACA7-BFB7B6344237}"/>
    <cellStyle name="Moneda 72 2" xfId="281" xr:uid="{11D1B4F9-12AF-45E0-A8E7-D368C3033B2E}"/>
    <cellStyle name="Moneda 73" xfId="137" xr:uid="{47372C96-B1B0-4A99-98AD-7CBCE0E3D98D}"/>
    <cellStyle name="Moneda 73 2" xfId="277" xr:uid="{FB9F4D02-FCF2-4601-8F03-BB6F6EAB067A}"/>
    <cellStyle name="Moneda 74" xfId="108" xr:uid="{212DAC25-87D8-49C1-A4C8-1CCE159062C7}"/>
    <cellStyle name="Moneda 74 2" xfId="248" xr:uid="{BF467D37-268D-4DD3-924F-53FF9A38592C}"/>
    <cellStyle name="Moneda 75" xfId="145" xr:uid="{B9456CB3-FE54-4DB5-942D-B9B0148A2DCF}"/>
    <cellStyle name="Moneda 76" xfId="286" xr:uid="{8BC8E6E7-774A-4341-A098-641E1389CFF5}"/>
    <cellStyle name="Moneda 8" xfId="28" xr:uid="{3B1E68BB-B44C-4D4C-B4AD-A7830A1234B6}"/>
    <cellStyle name="Moneda 8 2" xfId="44" xr:uid="{45BF60D4-F9E5-45F7-8C11-AE260F43C33E}"/>
    <cellStyle name="Moneda 8 2 2" xfId="91" xr:uid="{2CC39F5C-12A5-459D-AA49-337BC4109CB6}"/>
    <cellStyle name="Moneda 8 2 2 2" xfId="231" xr:uid="{351C9267-87CC-4759-A7DE-25D795D82F02}"/>
    <cellStyle name="Moneda 8 2 3" xfId="184" xr:uid="{411EFB53-49F1-48E2-9897-E9ACACE88E7C}"/>
    <cellStyle name="Moneda 8 3" xfId="77" xr:uid="{1CC7C535-5962-4753-9930-56B578F69E0A}"/>
    <cellStyle name="Moneda 8 3 2" xfId="217" xr:uid="{046A61A1-8758-43EB-BD98-C03703C3EE66}"/>
    <cellStyle name="Moneda 8 4" xfId="170" xr:uid="{788C8244-23CD-44AB-B1BE-9187A06B4766}"/>
    <cellStyle name="Moneda 8 5" xfId="290" xr:uid="{D092D7B9-14BB-4AD6-BCFB-D3CB5348FA64}"/>
    <cellStyle name="Moneda 9" xfId="29" xr:uid="{E1B6D4C9-585D-4856-A900-99C6C5E87F07}"/>
    <cellStyle name="Moneda 9 2" xfId="45" xr:uid="{7F8E9D05-DC2F-438F-9DAB-7EB1EBE44919}"/>
    <cellStyle name="Moneda 9 2 2" xfId="92" xr:uid="{39D18DE6-A0D0-4119-92F0-59B58F9B52FF}"/>
    <cellStyle name="Moneda 9 2 2 2" xfId="232" xr:uid="{50A28158-7AEA-4EE9-A379-A80709C3AB39}"/>
    <cellStyle name="Moneda 9 2 3" xfId="185" xr:uid="{E129F96E-1840-475B-A676-477FAD4A587F}"/>
    <cellStyle name="Moneda 9 3" xfId="78" xr:uid="{840EFD9D-38F7-4B5C-A21F-0C07856FB53B}"/>
    <cellStyle name="Moneda 9 3 2" xfId="218" xr:uid="{25A1C4ED-359D-40E2-B394-F07AF4C42C08}"/>
    <cellStyle name="Moneda 9 4" xfId="171" xr:uid="{3734FB58-E142-4688-94FD-302F6C565164}"/>
    <cellStyle name="Normal" xfId="0" builtinId="0"/>
    <cellStyle name="Normal 2" xfId="2" xr:uid="{97D74B06-4714-4020-BEC5-E7C05E23D645}"/>
    <cellStyle name="Normal 2 2" xfId="31" xr:uid="{F3C98EAA-1F3F-4E64-9235-B7966441455F}"/>
    <cellStyle name="Normal 2 3" xfId="30" xr:uid="{6369E7FB-8536-4F17-ACF5-9E7B62D0BF3A}"/>
    <cellStyle name="Normal 2 3 2" xfId="79" xr:uid="{723E0781-18E2-4991-9F5B-6E22EAEF8A75}"/>
    <cellStyle name="Normal 2 3 2 2" xfId="219" xr:uid="{08EB919A-4DC5-4A20-A951-ED091E4117C1}"/>
    <cellStyle name="Normal 2 3 3" xfId="172" xr:uid="{F73E8D5A-B67C-446E-BAA3-562A5AC8127F}"/>
    <cellStyle name="Normal 2 4" xfId="9" xr:uid="{8A5E9F6D-508A-4976-8D8A-9FD0660E4E20}"/>
    <cellStyle name="Normal 2 4 2" xfId="153" xr:uid="{A64C7CCC-1EC0-452C-B92B-7F176CD8388D}"/>
    <cellStyle name="Normal 2 5" xfId="60" xr:uid="{03432759-B088-4B53-9AAD-22155B5632FB}"/>
    <cellStyle name="Normal 2 5 2" xfId="200" xr:uid="{53FA9D5E-46D2-4F95-A1A0-A232E8E41480}"/>
    <cellStyle name="Normal 2 6" xfId="146" xr:uid="{974C519A-45DA-4C96-8D3D-316DC10CC1C6}"/>
    <cellStyle name="Normal 2 7" xfId="291" xr:uid="{03E5B075-0597-4ECB-A458-38149D0F0D57}"/>
    <cellStyle name="Normal 3" xfId="50" xr:uid="{66511743-3201-4B0E-A33D-9993A711988B}"/>
    <cellStyle name="Normal 3 2" xfId="97" xr:uid="{C27D0CDF-E223-4D4B-A112-93418396C0A7}"/>
    <cellStyle name="Normal 3 2 2" xfId="237" xr:uid="{49A18A3C-85C4-45D1-B4FE-23D2B72C6FF4}"/>
    <cellStyle name="Normal 3 3" xfId="190" xr:uid="{83B3ABD0-2ACA-44B2-A955-4C765504DB82}"/>
    <cellStyle name="Normal 4" xfId="10" xr:uid="{ED6F5EFC-F02C-4ADC-A395-1339DC28053D}"/>
    <cellStyle name="Normal 4 2" xfId="61" xr:uid="{3B6875DF-84F0-4E73-8126-53882C28E8A6}"/>
    <cellStyle name="Normal 4 2 2" xfId="201" xr:uid="{FAD48832-1D83-4D1B-8E58-0A4FAF322426}"/>
    <cellStyle name="Normal 4 3" xfId="154" xr:uid="{4291CBED-6139-4DEA-A18B-312DEE554065}"/>
    <cellStyle name="Normal 5" xfId="7" xr:uid="{15570F22-98B8-41AD-AB0B-F9C0C2EC2B43}"/>
    <cellStyle name="Normal 5 2" xfId="151" xr:uid="{BE3DCD19-839A-484F-B7BD-4F9BE4C5D3A1}"/>
    <cellStyle name="Normal 6" xfId="58" xr:uid="{23DD7AE7-B1ED-401B-B46A-9D56BA89235A}"/>
    <cellStyle name="Normal 6 2" xfId="198" xr:uid="{D477DCB8-AF1B-4A2E-9915-21EAB10417FB}"/>
    <cellStyle name="Normal 7" xfId="285" xr:uid="{8F9E942D-F3DF-4BA5-8B16-3D6A3F05B961}"/>
    <cellStyle name="Porcentaje" xfId="4" builtinId="5"/>
    <cellStyle name="Porcentaje 2" xfId="32" xr:uid="{B9FEAEC0-88DD-46E3-A790-D241ED1C4576}"/>
    <cellStyle name="Porcentaje 3" xfId="148" xr:uid="{2BC01A14-945A-47AE-A543-E59793A33C0C}"/>
    <cellStyle name="Porcentaje 4" xfId="288" xr:uid="{604A278B-9C00-4025-9F67-96AAA4A5AC33}"/>
  </cellStyles>
  <dxfs count="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CCFF"/>
      <color rgb="FFCAE9F6"/>
      <color rgb="FFC0E6F5"/>
      <color rgb="FF8AD2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EB1248"/>
  <sheetViews>
    <sheetView tabSelected="1" zoomScaleNormal="100" workbookViewId="0">
      <pane ySplit="6" topLeftCell="A261" activePane="bottomLeft" state="frozen"/>
      <selection activeCell="F1" sqref="F1"/>
      <selection pane="bottomLeft" activeCell="E373" sqref="E373"/>
    </sheetView>
  </sheetViews>
  <sheetFormatPr baseColWidth="10" defaultColWidth="14.453125" defaultRowHeight="13" x14ac:dyDescent="0.3"/>
  <cols>
    <col min="1" max="1" width="6" style="2" customWidth="1"/>
    <col min="2" max="2" width="22.1796875" style="5" customWidth="1"/>
    <col min="3" max="3" width="30" style="56" hidden="1" customWidth="1"/>
    <col min="4" max="4" width="16.453125" style="56" customWidth="1"/>
    <col min="5" max="5" width="52.7265625" style="5" customWidth="1"/>
    <col min="6" max="6" width="16" style="4" customWidth="1"/>
    <col min="7" max="8" width="11.81640625" style="2" customWidth="1"/>
    <col min="9" max="10" width="22" style="175" hidden="1" customWidth="1"/>
    <col min="11" max="14" width="20.54296875" style="175" hidden="1" customWidth="1"/>
    <col min="15" max="18" width="20.453125" style="177" hidden="1" customWidth="1"/>
    <col min="19" max="30" width="21.1796875" style="177" hidden="1" customWidth="1"/>
    <col min="31" max="31" width="25.453125" style="177" hidden="1" customWidth="1"/>
    <col min="32" max="52" width="21.1796875" style="177" hidden="1" customWidth="1"/>
    <col min="53" max="62" width="21.453125" style="177" hidden="1" customWidth="1"/>
    <col min="63" max="63" width="20.1796875" style="177" hidden="1" customWidth="1"/>
    <col min="64" max="64" width="19.81640625" style="176" hidden="1" customWidth="1"/>
    <col min="65" max="65" width="20.1796875" style="177" hidden="1" customWidth="1"/>
    <col min="66" max="66" width="19.81640625" style="176" hidden="1" customWidth="1"/>
    <col min="67" max="67" width="20.81640625" style="176" hidden="1" customWidth="1"/>
    <col min="68" max="68" width="19.81640625" style="176" hidden="1" customWidth="1"/>
    <col min="69" max="86" width="14.453125" style="176" hidden="1" customWidth="1"/>
    <col min="87" max="87" width="20.1796875" style="176" hidden="1" customWidth="1"/>
    <col min="88" max="88" width="14.453125" style="176" hidden="1" customWidth="1"/>
    <col min="89" max="89" width="20.81640625" style="176" hidden="1" customWidth="1"/>
    <col min="90" max="90" width="17.453125" style="176" hidden="1" customWidth="1"/>
    <col min="91" max="91" width="20.81640625" style="176" hidden="1" customWidth="1"/>
    <col min="92" max="92" width="14.453125" style="176" hidden="1" customWidth="1"/>
    <col min="93" max="93" width="19.81640625" style="176" hidden="1" customWidth="1"/>
    <col min="94" max="94" width="18.1796875" style="176" hidden="1" customWidth="1"/>
    <col min="95" max="95" width="22.81640625" style="176" hidden="1" customWidth="1"/>
    <col min="96" max="96" width="16.1796875" style="176" hidden="1" customWidth="1"/>
    <col min="97" max="97" width="16.453125" style="176" hidden="1" customWidth="1"/>
    <col min="98" max="98" width="16.1796875" style="176" hidden="1" customWidth="1"/>
    <col min="99" max="99" width="17.453125" style="176" hidden="1" customWidth="1"/>
    <col min="100" max="100" width="17.81640625" style="176" hidden="1" customWidth="1"/>
    <col min="101" max="101" width="22.1796875" style="176" hidden="1" customWidth="1"/>
    <col min="102" max="102" width="19.81640625" style="176" hidden="1" customWidth="1"/>
    <col min="103" max="103" width="16.1796875" style="176" hidden="1" customWidth="1"/>
    <col min="104" max="106" width="19.81640625" style="176" hidden="1" customWidth="1"/>
    <col min="107" max="107" width="18.81640625" style="176" hidden="1" customWidth="1"/>
    <col min="108" max="122" width="19.81640625" style="176" hidden="1" customWidth="1"/>
    <col min="123" max="123" width="15.1796875" style="177" hidden="1" customWidth="1"/>
    <col min="124" max="124" width="14.453125" style="177" hidden="1" customWidth="1"/>
    <col min="125" max="125" width="18.1796875" style="177" hidden="1" customWidth="1"/>
    <col min="126" max="126" width="15.1796875" style="5" hidden="1" customWidth="1"/>
    <col min="127" max="127" width="18.7265625" style="175" customWidth="1"/>
    <col min="128" max="128" width="23.1796875" style="176" customWidth="1"/>
    <col min="129" max="129" width="55.1796875" style="172" customWidth="1"/>
    <col min="130" max="130" width="18.54296875" style="604" customWidth="1"/>
    <col min="131" max="131" width="30.1796875" style="604" bestFit="1" customWidth="1"/>
    <col min="132" max="132" width="14.453125" style="604"/>
    <col min="133" max="16384" width="14.453125" style="5"/>
  </cols>
  <sheetData>
    <row r="1" spans="1:132" x14ac:dyDescent="0.3">
      <c r="B1" s="3"/>
      <c r="C1" s="2"/>
      <c r="D1" s="2"/>
      <c r="E1" s="3"/>
      <c r="O1" s="176"/>
      <c r="P1" s="176"/>
      <c r="Q1" s="176"/>
      <c r="R1" s="176"/>
      <c r="S1" s="176"/>
      <c r="T1" s="176"/>
      <c r="U1" s="176"/>
      <c r="V1" s="176"/>
      <c r="W1" s="176"/>
      <c r="X1" s="176"/>
      <c r="Y1" s="176"/>
      <c r="Z1" s="176"/>
      <c r="AA1" s="176"/>
      <c r="AB1" s="176"/>
      <c r="AC1" s="176"/>
      <c r="AD1" s="176"/>
      <c r="AE1" s="176"/>
      <c r="AF1" s="176"/>
      <c r="AG1" s="176"/>
      <c r="AH1" s="176"/>
      <c r="AI1" s="176"/>
      <c r="AJ1" s="176"/>
      <c r="AK1" s="176"/>
      <c r="AL1" s="176"/>
      <c r="AM1" s="176"/>
      <c r="AN1" s="176"/>
      <c r="AO1" s="176"/>
      <c r="AP1" s="176"/>
      <c r="AQ1" s="176"/>
      <c r="AR1" s="176"/>
      <c r="AS1" s="176"/>
      <c r="AT1" s="176"/>
      <c r="AU1" s="176"/>
      <c r="AV1" s="176"/>
      <c r="AW1" s="176"/>
      <c r="AX1" s="176"/>
      <c r="AY1" s="176"/>
      <c r="AZ1" s="176"/>
      <c r="BA1" s="176"/>
      <c r="BB1" s="176"/>
      <c r="BC1" s="176"/>
      <c r="BD1" s="176"/>
      <c r="BE1" s="176"/>
      <c r="BF1" s="176"/>
      <c r="BG1" s="176"/>
      <c r="BH1" s="176"/>
      <c r="BI1" s="176"/>
      <c r="BJ1" s="176"/>
    </row>
    <row r="2" spans="1:132" x14ac:dyDescent="0.3">
      <c r="A2" s="686" t="s">
        <v>69</v>
      </c>
      <c r="B2" s="686"/>
      <c r="C2" s="686"/>
      <c r="D2" s="686"/>
      <c r="E2" s="686"/>
      <c r="F2" s="686"/>
      <c r="G2" s="686"/>
      <c r="H2" s="686"/>
      <c r="I2" s="686"/>
      <c r="J2" s="686"/>
      <c r="K2" s="686"/>
      <c r="L2" s="686"/>
      <c r="M2" s="686"/>
      <c r="N2" s="686"/>
      <c r="O2" s="686"/>
      <c r="P2" s="686"/>
      <c r="Q2" s="686"/>
      <c r="R2" s="686"/>
      <c r="S2" s="686"/>
      <c r="T2" s="686"/>
      <c r="U2" s="686"/>
      <c r="V2" s="686"/>
      <c r="W2" s="686"/>
      <c r="X2" s="686"/>
      <c r="Y2" s="686"/>
      <c r="Z2" s="686"/>
      <c r="AA2" s="686"/>
      <c r="AB2" s="686"/>
      <c r="AC2" s="686"/>
      <c r="AD2" s="686"/>
      <c r="AE2" s="686"/>
      <c r="AF2" s="686"/>
      <c r="AG2" s="686"/>
      <c r="AH2" s="686"/>
      <c r="AI2" s="686"/>
      <c r="AJ2" s="686"/>
      <c r="AK2" s="686"/>
      <c r="AL2" s="686"/>
      <c r="AM2" s="686"/>
      <c r="AN2" s="686"/>
      <c r="AO2" s="686"/>
      <c r="AP2" s="686"/>
      <c r="AQ2" s="686"/>
      <c r="AR2" s="686"/>
      <c r="AS2" s="686"/>
      <c r="AT2" s="686"/>
      <c r="AU2" s="686"/>
      <c r="AV2" s="686"/>
      <c r="AW2" s="686"/>
      <c r="AX2" s="686"/>
      <c r="AY2" s="686"/>
      <c r="AZ2" s="686"/>
      <c r="BA2" s="686"/>
      <c r="BB2" s="686"/>
      <c r="BC2" s="686"/>
      <c r="BD2" s="686"/>
      <c r="BE2" s="686"/>
      <c r="BF2" s="686"/>
      <c r="BG2" s="686"/>
      <c r="BH2" s="686"/>
      <c r="BI2" s="686"/>
      <c r="BJ2" s="686"/>
      <c r="BK2" s="686"/>
      <c r="BL2" s="686"/>
      <c r="BM2" s="686"/>
      <c r="BN2" s="686"/>
      <c r="BO2" s="686"/>
      <c r="BP2" s="686"/>
      <c r="BQ2" s="686"/>
      <c r="BR2" s="686"/>
      <c r="BS2" s="686"/>
      <c r="BT2" s="686"/>
      <c r="BU2" s="686"/>
      <c r="BV2" s="686"/>
      <c r="BW2" s="686"/>
      <c r="BX2" s="686"/>
      <c r="BY2" s="686"/>
      <c r="BZ2" s="686"/>
      <c r="CA2" s="686"/>
      <c r="CB2" s="686"/>
      <c r="CC2" s="686"/>
      <c r="CD2" s="686"/>
      <c r="CE2" s="686"/>
      <c r="CF2" s="686"/>
      <c r="CG2" s="686"/>
      <c r="CH2" s="686"/>
      <c r="CI2" s="686"/>
      <c r="CJ2" s="686"/>
      <c r="CK2" s="686"/>
      <c r="CL2" s="686"/>
      <c r="CM2" s="686"/>
      <c r="CN2" s="686"/>
      <c r="CO2" s="687"/>
      <c r="CP2" s="686"/>
      <c r="CQ2" s="688"/>
      <c r="CR2" s="688"/>
      <c r="CS2" s="688"/>
      <c r="CT2" s="688"/>
      <c r="CU2" s="688"/>
      <c r="CV2" s="688"/>
      <c r="CW2" s="688"/>
      <c r="CX2" s="688"/>
      <c r="CY2" s="688"/>
      <c r="CZ2" s="688"/>
      <c r="DA2" s="688"/>
      <c r="DB2" s="688"/>
      <c r="DC2" s="686"/>
      <c r="DD2" s="686"/>
      <c r="DE2" s="686"/>
      <c r="DF2" s="686"/>
      <c r="DG2" s="686"/>
      <c r="DH2" s="686"/>
      <c r="DI2" s="686"/>
      <c r="DJ2" s="686"/>
      <c r="DK2" s="686"/>
      <c r="DL2" s="686"/>
      <c r="DM2" s="686"/>
      <c r="DN2" s="686"/>
      <c r="DO2" s="686"/>
      <c r="DP2" s="686"/>
      <c r="DQ2" s="686"/>
      <c r="DR2" s="686"/>
      <c r="DS2" s="686"/>
      <c r="DT2" s="686"/>
      <c r="DU2" s="686"/>
      <c r="DV2" s="686"/>
      <c r="DW2" s="689"/>
      <c r="DX2" s="689"/>
      <c r="DY2" s="686"/>
    </row>
    <row r="3" spans="1:132" x14ac:dyDescent="0.3">
      <c r="A3" s="670" t="s">
        <v>228</v>
      </c>
      <c r="B3" s="670"/>
      <c r="C3" s="670"/>
      <c r="D3" s="670"/>
      <c r="E3" s="670"/>
      <c r="F3" s="670"/>
      <c r="G3" s="670"/>
      <c r="H3" s="670"/>
      <c r="I3" s="670"/>
      <c r="J3" s="670"/>
      <c r="K3" s="670"/>
      <c r="L3" s="670"/>
      <c r="M3" s="670"/>
      <c r="N3" s="670"/>
      <c r="O3" s="670"/>
      <c r="P3" s="670"/>
      <c r="Q3" s="670"/>
      <c r="R3" s="670"/>
      <c r="S3" s="670"/>
      <c r="T3" s="670"/>
      <c r="U3" s="670"/>
      <c r="V3" s="670"/>
      <c r="W3" s="670"/>
      <c r="X3" s="670"/>
      <c r="Y3" s="670"/>
      <c r="Z3" s="670"/>
      <c r="AA3" s="670"/>
      <c r="AB3" s="670"/>
      <c r="AC3" s="670"/>
      <c r="AD3" s="670"/>
      <c r="AE3" s="670"/>
      <c r="AF3" s="670"/>
      <c r="AG3" s="670"/>
      <c r="AH3" s="670"/>
      <c r="AI3" s="670"/>
      <c r="AJ3" s="670"/>
      <c r="AK3" s="670"/>
      <c r="AL3" s="670"/>
      <c r="AM3" s="670"/>
      <c r="AN3" s="670"/>
      <c r="AO3" s="670"/>
      <c r="AP3" s="670"/>
      <c r="AQ3" s="670"/>
      <c r="AR3" s="670"/>
      <c r="AS3" s="670"/>
      <c r="AT3" s="670"/>
      <c r="AU3" s="670"/>
      <c r="AV3" s="670"/>
      <c r="AW3" s="670"/>
      <c r="AX3" s="670"/>
      <c r="AY3" s="670"/>
      <c r="AZ3" s="670"/>
      <c r="BA3" s="670"/>
      <c r="BB3" s="670"/>
      <c r="BC3" s="670"/>
      <c r="BD3" s="670"/>
      <c r="BE3" s="670"/>
      <c r="BF3" s="670"/>
      <c r="BG3" s="670"/>
      <c r="BH3" s="670"/>
      <c r="BI3" s="670"/>
      <c r="BJ3" s="670"/>
      <c r="BK3" s="670"/>
      <c r="BL3" s="670"/>
      <c r="BM3" s="670"/>
      <c r="BN3" s="670"/>
      <c r="BO3" s="670"/>
      <c r="BP3" s="670"/>
      <c r="BQ3" s="670"/>
      <c r="BR3" s="670"/>
      <c r="BS3" s="670"/>
      <c r="BT3" s="670"/>
      <c r="BU3" s="670"/>
      <c r="BV3" s="670"/>
      <c r="BW3" s="670"/>
      <c r="BX3" s="670"/>
      <c r="BY3" s="670"/>
      <c r="BZ3" s="670"/>
      <c r="CA3" s="670"/>
      <c r="CB3" s="670"/>
      <c r="CC3" s="670"/>
      <c r="CD3" s="670"/>
      <c r="CE3" s="670"/>
      <c r="CF3" s="670"/>
      <c r="CG3" s="670"/>
      <c r="CH3" s="670"/>
      <c r="CI3" s="670"/>
      <c r="CJ3" s="670"/>
      <c r="CK3" s="670"/>
      <c r="CL3" s="670"/>
      <c r="CM3" s="670"/>
      <c r="CN3" s="670"/>
      <c r="CO3" s="671"/>
      <c r="CP3" s="670"/>
      <c r="CQ3" s="672"/>
      <c r="CR3" s="672"/>
      <c r="CS3" s="672"/>
      <c r="CT3" s="672"/>
      <c r="CU3" s="672"/>
      <c r="CV3" s="672"/>
      <c r="CW3" s="672"/>
      <c r="CX3" s="672"/>
      <c r="CY3" s="672"/>
      <c r="CZ3" s="672"/>
      <c r="DA3" s="672"/>
      <c r="DB3" s="672"/>
      <c r="DC3" s="670"/>
      <c r="DD3" s="670"/>
      <c r="DE3" s="670"/>
      <c r="DF3" s="670"/>
      <c r="DG3" s="670"/>
      <c r="DH3" s="670"/>
      <c r="DI3" s="670"/>
      <c r="DJ3" s="670"/>
      <c r="DK3" s="670"/>
      <c r="DL3" s="670"/>
      <c r="DM3" s="670"/>
      <c r="DN3" s="670"/>
      <c r="DO3" s="670"/>
      <c r="DP3" s="670"/>
      <c r="DQ3" s="670"/>
      <c r="DR3" s="670"/>
      <c r="DS3" s="670"/>
      <c r="DT3" s="670"/>
      <c r="DU3" s="670"/>
      <c r="DV3" s="670"/>
      <c r="DW3" s="673"/>
      <c r="DX3" s="673"/>
      <c r="DY3" s="670"/>
    </row>
    <row r="4" spans="1:132" ht="20.149999999999999" customHeight="1" x14ac:dyDescent="0.3">
      <c r="A4" s="690" t="s">
        <v>0</v>
      </c>
      <c r="B4" s="691"/>
      <c r="C4" s="691"/>
      <c r="D4" s="691"/>
      <c r="E4" s="691"/>
      <c r="F4" s="691"/>
      <c r="G4" s="691"/>
      <c r="H4" s="692"/>
      <c r="I4" s="669" t="s">
        <v>277</v>
      </c>
      <c r="J4" s="669"/>
      <c r="K4" s="678" t="s">
        <v>454</v>
      </c>
      <c r="L4" s="679"/>
      <c r="M4" s="674" t="s">
        <v>459</v>
      </c>
      <c r="N4" s="675"/>
      <c r="O4" s="668" t="s">
        <v>229</v>
      </c>
      <c r="P4" s="668"/>
      <c r="Q4" s="674" t="s">
        <v>230</v>
      </c>
      <c r="R4" s="675"/>
      <c r="S4" s="668" t="s">
        <v>231</v>
      </c>
      <c r="T4" s="668"/>
      <c r="U4" s="674" t="s">
        <v>270</v>
      </c>
      <c r="V4" s="682"/>
      <c r="W4" s="678" t="s">
        <v>271</v>
      </c>
      <c r="X4" s="684"/>
      <c r="Y4" s="674" t="s">
        <v>296</v>
      </c>
      <c r="Z4" s="682"/>
      <c r="AA4" s="678" t="s">
        <v>297</v>
      </c>
      <c r="AB4" s="684"/>
      <c r="AC4" s="674" t="s">
        <v>298</v>
      </c>
      <c r="AD4" s="682"/>
      <c r="AE4" s="678" t="s">
        <v>327</v>
      </c>
      <c r="AF4" s="684"/>
      <c r="AG4" s="674" t="s">
        <v>232</v>
      </c>
      <c r="AH4" s="675"/>
      <c r="AI4" s="678" t="s">
        <v>239</v>
      </c>
      <c r="AJ4" s="684"/>
      <c r="AK4" s="674" t="s">
        <v>235</v>
      </c>
      <c r="AL4" s="682"/>
      <c r="AM4" s="678" t="s">
        <v>236</v>
      </c>
      <c r="AN4" s="684"/>
      <c r="AO4" s="674" t="s">
        <v>242</v>
      </c>
      <c r="AP4" s="675"/>
      <c r="AQ4" s="679" t="s">
        <v>241</v>
      </c>
      <c r="AR4" s="684"/>
      <c r="AS4" s="674" t="s">
        <v>256</v>
      </c>
      <c r="AT4" s="682"/>
      <c r="AU4" s="678" t="s">
        <v>257</v>
      </c>
      <c r="AV4" s="684"/>
      <c r="AW4" s="674" t="s">
        <v>258</v>
      </c>
      <c r="AX4" s="682"/>
      <c r="AY4" s="678" t="s">
        <v>259</v>
      </c>
      <c r="AZ4" s="684"/>
      <c r="BA4" s="674" t="s">
        <v>324</v>
      </c>
      <c r="BB4" s="682"/>
      <c r="BC4" s="678" t="s">
        <v>284</v>
      </c>
      <c r="BD4" s="679"/>
      <c r="BE4" s="698" t="s">
        <v>302</v>
      </c>
      <c r="BF4" s="699"/>
      <c r="BG4" s="679" t="s">
        <v>291</v>
      </c>
      <c r="BH4" s="679"/>
      <c r="BI4" s="675" t="s">
        <v>285</v>
      </c>
      <c r="BJ4" s="682"/>
      <c r="BK4" s="678" t="s">
        <v>393</v>
      </c>
      <c r="BL4" s="684"/>
      <c r="BM4" s="674" t="s">
        <v>245</v>
      </c>
      <c r="BN4" s="682"/>
      <c r="BO4" s="678" t="s">
        <v>286</v>
      </c>
      <c r="BP4" s="684"/>
      <c r="BQ4" s="674" t="s">
        <v>246</v>
      </c>
      <c r="BR4" s="682"/>
      <c r="BS4" s="678" t="s">
        <v>260</v>
      </c>
      <c r="BT4" s="679"/>
      <c r="BU4" s="675" t="s">
        <v>263</v>
      </c>
      <c r="BV4" s="675"/>
      <c r="BW4" s="679" t="s">
        <v>261</v>
      </c>
      <c r="BX4" s="684"/>
      <c r="BY4" s="674" t="s">
        <v>262</v>
      </c>
      <c r="BZ4" s="682"/>
      <c r="CA4" s="678" t="s">
        <v>264</v>
      </c>
      <c r="CB4" s="684"/>
      <c r="CC4" s="674" t="s">
        <v>265</v>
      </c>
      <c r="CD4" s="682"/>
      <c r="CE4" s="678" t="s">
        <v>288</v>
      </c>
      <c r="CF4" s="684"/>
      <c r="CG4" s="674" t="s">
        <v>289</v>
      </c>
      <c r="CH4" s="675"/>
      <c r="CI4" s="679" t="s">
        <v>290</v>
      </c>
      <c r="CJ4" s="684"/>
      <c r="CK4" s="674" t="s">
        <v>292</v>
      </c>
      <c r="CL4" s="675"/>
      <c r="CM4" s="679" t="s">
        <v>293</v>
      </c>
      <c r="CN4" s="684"/>
      <c r="CO4" s="674" t="s">
        <v>278</v>
      </c>
      <c r="CP4" s="682"/>
      <c r="CQ4" s="678" t="s">
        <v>303</v>
      </c>
      <c r="CR4" s="679"/>
      <c r="CS4" s="697" t="s">
        <v>304</v>
      </c>
      <c r="CT4" s="697"/>
      <c r="CU4" s="703" t="s">
        <v>318</v>
      </c>
      <c r="CV4" s="703"/>
      <c r="CW4" s="697" t="s">
        <v>365</v>
      </c>
      <c r="CX4" s="697"/>
      <c r="CY4" s="703" t="s">
        <v>319</v>
      </c>
      <c r="CZ4" s="703"/>
      <c r="DA4" s="674" t="s">
        <v>330</v>
      </c>
      <c r="DB4" s="682"/>
      <c r="DC4" s="703" t="s">
        <v>447</v>
      </c>
      <c r="DD4" s="703"/>
      <c r="DE4" s="674" t="s">
        <v>392</v>
      </c>
      <c r="DF4" s="682"/>
      <c r="DG4" s="678" t="s">
        <v>449</v>
      </c>
      <c r="DH4" s="684"/>
      <c r="DI4" s="704" t="s">
        <v>522</v>
      </c>
      <c r="DJ4" s="705"/>
      <c r="DK4" s="708" t="s">
        <v>470</v>
      </c>
      <c r="DL4" s="709"/>
      <c r="DM4" s="712" t="s">
        <v>471</v>
      </c>
      <c r="DN4" s="713"/>
      <c r="DO4" s="708" t="s">
        <v>478</v>
      </c>
      <c r="DP4" s="709"/>
      <c r="DQ4" s="712" t="s">
        <v>479</v>
      </c>
      <c r="DR4" s="713"/>
      <c r="DS4" s="696" t="s">
        <v>247</v>
      </c>
      <c r="DT4" s="696"/>
      <c r="DU4" s="696"/>
      <c r="DV4" s="696"/>
      <c r="DW4" s="702" t="s">
        <v>305</v>
      </c>
      <c r="DX4" s="702"/>
      <c r="DY4" s="696"/>
    </row>
    <row r="5" spans="1:132" ht="40.5" customHeight="1" x14ac:dyDescent="0.3">
      <c r="A5" s="693"/>
      <c r="B5" s="694"/>
      <c r="C5" s="694"/>
      <c r="D5" s="694"/>
      <c r="E5" s="694"/>
      <c r="F5" s="694"/>
      <c r="G5" s="694"/>
      <c r="H5" s="695"/>
      <c r="I5" s="669"/>
      <c r="J5" s="669"/>
      <c r="K5" s="680"/>
      <c r="L5" s="681"/>
      <c r="M5" s="676"/>
      <c r="N5" s="677"/>
      <c r="O5" s="668"/>
      <c r="P5" s="668"/>
      <c r="Q5" s="676"/>
      <c r="R5" s="677"/>
      <c r="S5" s="668"/>
      <c r="T5" s="668"/>
      <c r="U5" s="676"/>
      <c r="V5" s="683"/>
      <c r="W5" s="680"/>
      <c r="X5" s="685"/>
      <c r="Y5" s="676"/>
      <c r="Z5" s="683"/>
      <c r="AA5" s="680"/>
      <c r="AB5" s="685"/>
      <c r="AC5" s="676"/>
      <c r="AD5" s="683"/>
      <c r="AE5" s="680"/>
      <c r="AF5" s="685"/>
      <c r="AG5" s="676"/>
      <c r="AH5" s="677"/>
      <c r="AI5" s="680"/>
      <c r="AJ5" s="685"/>
      <c r="AK5" s="676"/>
      <c r="AL5" s="683"/>
      <c r="AM5" s="680"/>
      <c r="AN5" s="685"/>
      <c r="AO5" s="676"/>
      <c r="AP5" s="677"/>
      <c r="AQ5" s="681"/>
      <c r="AR5" s="685"/>
      <c r="AS5" s="676"/>
      <c r="AT5" s="683"/>
      <c r="AU5" s="680"/>
      <c r="AV5" s="685"/>
      <c r="AW5" s="676"/>
      <c r="AX5" s="683"/>
      <c r="AY5" s="680"/>
      <c r="AZ5" s="685"/>
      <c r="BA5" s="676"/>
      <c r="BB5" s="683"/>
      <c r="BC5" s="680"/>
      <c r="BD5" s="681"/>
      <c r="BE5" s="700"/>
      <c r="BF5" s="701"/>
      <c r="BG5" s="681"/>
      <c r="BH5" s="681"/>
      <c r="BI5" s="677"/>
      <c r="BJ5" s="683"/>
      <c r="BK5" s="680"/>
      <c r="BL5" s="685"/>
      <c r="BM5" s="676"/>
      <c r="BN5" s="683"/>
      <c r="BO5" s="680"/>
      <c r="BP5" s="685"/>
      <c r="BQ5" s="676"/>
      <c r="BR5" s="683"/>
      <c r="BS5" s="680"/>
      <c r="BT5" s="681"/>
      <c r="BU5" s="677"/>
      <c r="BV5" s="677"/>
      <c r="BW5" s="681"/>
      <c r="BX5" s="685"/>
      <c r="BY5" s="676"/>
      <c r="BZ5" s="683"/>
      <c r="CA5" s="680"/>
      <c r="CB5" s="685"/>
      <c r="CC5" s="676"/>
      <c r="CD5" s="683"/>
      <c r="CE5" s="680"/>
      <c r="CF5" s="685"/>
      <c r="CG5" s="676"/>
      <c r="CH5" s="677"/>
      <c r="CI5" s="681"/>
      <c r="CJ5" s="685"/>
      <c r="CK5" s="676"/>
      <c r="CL5" s="677"/>
      <c r="CM5" s="681"/>
      <c r="CN5" s="685"/>
      <c r="CO5" s="676"/>
      <c r="CP5" s="683"/>
      <c r="CQ5" s="680"/>
      <c r="CR5" s="681"/>
      <c r="CS5" s="697"/>
      <c r="CT5" s="697"/>
      <c r="CU5" s="703"/>
      <c r="CV5" s="703"/>
      <c r="CW5" s="697"/>
      <c r="CX5" s="697"/>
      <c r="CY5" s="703"/>
      <c r="CZ5" s="703"/>
      <c r="DA5" s="676"/>
      <c r="DB5" s="683"/>
      <c r="DC5" s="703"/>
      <c r="DD5" s="703"/>
      <c r="DE5" s="676"/>
      <c r="DF5" s="683"/>
      <c r="DG5" s="680"/>
      <c r="DH5" s="685"/>
      <c r="DI5" s="706"/>
      <c r="DJ5" s="707"/>
      <c r="DK5" s="710"/>
      <c r="DL5" s="711"/>
      <c r="DM5" s="714"/>
      <c r="DN5" s="715"/>
      <c r="DO5" s="710"/>
      <c r="DP5" s="711"/>
      <c r="DQ5" s="714"/>
      <c r="DR5" s="715"/>
      <c r="DS5" s="696"/>
      <c r="DT5" s="696"/>
      <c r="DU5" s="696"/>
      <c r="DV5" s="696"/>
      <c r="DW5" s="702"/>
      <c r="DX5" s="702"/>
      <c r="DY5" s="696"/>
    </row>
    <row r="6" spans="1:132" ht="52" x14ac:dyDescent="0.3">
      <c r="A6" s="7" t="s">
        <v>1</v>
      </c>
      <c r="B6" s="7" t="s">
        <v>2</v>
      </c>
      <c r="C6" s="7" t="s">
        <v>3</v>
      </c>
      <c r="D6" s="7" t="s">
        <v>4</v>
      </c>
      <c r="E6" s="7" t="s">
        <v>5</v>
      </c>
      <c r="F6" s="7" t="s">
        <v>6</v>
      </c>
      <c r="G6" s="7" t="s">
        <v>325</v>
      </c>
      <c r="H6" s="7" t="s">
        <v>7</v>
      </c>
      <c r="I6" s="178" t="s">
        <v>8</v>
      </c>
      <c r="J6" s="179" t="s">
        <v>9</v>
      </c>
      <c r="K6" s="178" t="s">
        <v>8</v>
      </c>
      <c r="L6" s="179" t="s">
        <v>9</v>
      </c>
      <c r="M6" s="178" t="s">
        <v>8</v>
      </c>
      <c r="N6" s="179" t="s">
        <v>9</v>
      </c>
      <c r="O6" s="178" t="s">
        <v>8</v>
      </c>
      <c r="P6" s="179" t="s">
        <v>9</v>
      </c>
      <c r="Q6" s="178" t="s">
        <v>8</v>
      </c>
      <c r="R6" s="178" t="s">
        <v>9</v>
      </c>
      <c r="S6" s="178" t="s">
        <v>8</v>
      </c>
      <c r="T6" s="178" t="s">
        <v>9</v>
      </c>
      <c r="U6" s="178" t="s">
        <v>8</v>
      </c>
      <c r="V6" s="178" t="s">
        <v>9</v>
      </c>
      <c r="W6" s="178" t="s">
        <v>8</v>
      </c>
      <c r="X6" s="178" t="s">
        <v>9</v>
      </c>
      <c r="Y6" s="180" t="s">
        <v>439</v>
      </c>
      <c r="Z6" s="178" t="s">
        <v>9</v>
      </c>
      <c r="AA6" s="178" t="s">
        <v>8</v>
      </c>
      <c r="AB6" s="178" t="s">
        <v>9</v>
      </c>
      <c r="AC6" s="180" t="s">
        <v>441</v>
      </c>
      <c r="AD6" s="178" t="s">
        <v>9</v>
      </c>
      <c r="AE6" s="180" t="s">
        <v>441</v>
      </c>
      <c r="AF6" s="178" t="s">
        <v>9</v>
      </c>
      <c r="AG6" s="178" t="s">
        <v>8</v>
      </c>
      <c r="AH6" s="178" t="s">
        <v>9</v>
      </c>
      <c r="AI6" s="180" t="s">
        <v>439</v>
      </c>
      <c r="AJ6" s="181" t="s">
        <v>238</v>
      </c>
      <c r="AK6" s="178" t="s">
        <v>8</v>
      </c>
      <c r="AL6" s="178" t="s">
        <v>9</v>
      </c>
      <c r="AM6" s="180" t="s">
        <v>237</v>
      </c>
      <c r="AN6" s="178" t="s">
        <v>9</v>
      </c>
      <c r="AO6" s="180" t="s">
        <v>237</v>
      </c>
      <c r="AP6" s="178" t="s">
        <v>9</v>
      </c>
      <c r="AQ6" s="180" t="s">
        <v>237</v>
      </c>
      <c r="AR6" s="178" t="s">
        <v>9</v>
      </c>
      <c r="AS6" s="178" t="s">
        <v>8</v>
      </c>
      <c r="AT6" s="178" t="s">
        <v>9</v>
      </c>
      <c r="AU6" s="178" t="s">
        <v>8</v>
      </c>
      <c r="AV6" s="178" t="s">
        <v>9</v>
      </c>
      <c r="AW6" s="178" t="s">
        <v>8</v>
      </c>
      <c r="AX6" s="178" t="s">
        <v>9</v>
      </c>
      <c r="AY6" s="178" t="s">
        <v>8</v>
      </c>
      <c r="AZ6" s="178" t="s">
        <v>9</v>
      </c>
      <c r="BA6" s="180" t="s">
        <v>439</v>
      </c>
      <c r="BB6" s="178" t="s">
        <v>9</v>
      </c>
      <c r="BC6" s="178" t="s">
        <v>8</v>
      </c>
      <c r="BD6" s="178" t="s">
        <v>9</v>
      </c>
      <c r="BE6" s="178" t="s">
        <v>8</v>
      </c>
      <c r="BF6" s="178" t="s">
        <v>9</v>
      </c>
      <c r="BG6" s="180" t="s">
        <v>439</v>
      </c>
      <c r="BH6" s="178" t="s">
        <v>9</v>
      </c>
      <c r="BI6" s="180" t="s">
        <v>439</v>
      </c>
      <c r="BJ6" s="178" t="s">
        <v>9</v>
      </c>
      <c r="BK6" s="178" t="s">
        <v>8</v>
      </c>
      <c r="BL6" s="178" t="s">
        <v>9</v>
      </c>
      <c r="BM6" s="178" t="s">
        <v>8</v>
      </c>
      <c r="BN6" s="178" t="s">
        <v>9</v>
      </c>
      <c r="BO6" s="178" t="s">
        <v>8</v>
      </c>
      <c r="BP6" s="178" t="s">
        <v>9</v>
      </c>
      <c r="BQ6" s="178" t="s">
        <v>8</v>
      </c>
      <c r="BR6" s="178" t="s">
        <v>9</v>
      </c>
      <c r="BS6" s="178" t="s">
        <v>8</v>
      </c>
      <c r="BT6" s="178" t="s">
        <v>9</v>
      </c>
      <c r="BU6" s="178" t="s">
        <v>8</v>
      </c>
      <c r="BV6" s="178" t="s">
        <v>9</v>
      </c>
      <c r="BW6" s="178" t="s">
        <v>8</v>
      </c>
      <c r="BX6" s="178" t="s">
        <v>9</v>
      </c>
      <c r="BY6" s="178" t="s">
        <v>8</v>
      </c>
      <c r="BZ6" s="178" t="s">
        <v>9</v>
      </c>
      <c r="CA6" s="178" t="s">
        <v>8</v>
      </c>
      <c r="CB6" s="178" t="s">
        <v>9</v>
      </c>
      <c r="CC6" s="178" t="s">
        <v>8</v>
      </c>
      <c r="CD6" s="178" t="s">
        <v>9</v>
      </c>
      <c r="CE6" s="178" t="s">
        <v>8</v>
      </c>
      <c r="CF6" s="178" t="s">
        <v>9</v>
      </c>
      <c r="CG6" s="178" t="s">
        <v>8</v>
      </c>
      <c r="CH6" s="178" t="s">
        <v>9</v>
      </c>
      <c r="CI6" s="180" t="s">
        <v>441</v>
      </c>
      <c r="CJ6" s="178" t="s">
        <v>9</v>
      </c>
      <c r="CK6" s="180" t="s">
        <v>440</v>
      </c>
      <c r="CL6" s="178" t="s">
        <v>9</v>
      </c>
      <c r="CM6" s="180" t="s">
        <v>439</v>
      </c>
      <c r="CN6" s="178" t="s">
        <v>9</v>
      </c>
      <c r="CO6" s="178" t="s">
        <v>8</v>
      </c>
      <c r="CP6" s="178" t="s">
        <v>9</v>
      </c>
      <c r="CQ6" s="178" t="s">
        <v>8</v>
      </c>
      <c r="CR6" s="178" t="s">
        <v>9</v>
      </c>
      <c r="CS6" s="178" t="s">
        <v>8</v>
      </c>
      <c r="CT6" s="178" t="s">
        <v>9</v>
      </c>
      <c r="CU6" s="178" t="s">
        <v>8</v>
      </c>
      <c r="CV6" s="178" t="s">
        <v>9</v>
      </c>
      <c r="CW6" s="182" t="s">
        <v>439</v>
      </c>
      <c r="CX6" s="178" t="s">
        <v>9</v>
      </c>
      <c r="CY6" s="178" t="s">
        <v>8</v>
      </c>
      <c r="CZ6" s="178" t="s">
        <v>9</v>
      </c>
      <c r="DA6" s="178" t="s">
        <v>8</v>
      </c>
      <c r="DB6" s="178" t="s">
        <v>9</v>
      </c>
      <c r="DC6" s="178" t="s">
        <v>8</v>
      </c>
      <c r="DD6" s="178" t="s">
        <v>9</v>
      </c>
      <c r="DE6" s="178" t="s">
        <v>8</v>
      </c>
      <c r="DF6" s="178" t="s">
        <v>9</v>
      </c>
      <c r="DG6" s="178" t="s">
        <v>8</v>
      </c>
      <c r="DH6" s="178" t="s">
        <v>9</v>
      </c>
      <c r="DI6" s="178" t="s">
        <v>8</v>
      </c>
      <c r="DJ6" s="178" t="s">
        <v>9</v>
      </c>
      <c r="DK6" s="178" t="s">
        <v>8</v>
      </c>
      <c r="DL6" s="178" t="s">
        <v>9</v>
      </c>
      <c r="DM6" s="178" t="s">
        <v>8</v>
      </c>
      <c r="DN6" s="178" t="s">
        <v>9</v>
      </c>
      <c r="DO6" s="178" t="s">
        <v>8</v>
      </c>
      <c r="DP6" s="178" t="s">
        <v>9</v>
      </c>
      <c r="DQ6" s="178" t="s">
        <v>8</v>
      </c>
      <c r="DR6" s="178" t="s">
        <v>9</v>
      </c>
      <c r="DS6" s="183" t="s">
        <v>248</v>
      </c>
      <c r="DT6" s="183" t="s">
        <v>249</v>
      </c>
      <c r="DU6" s="183" t="s">
        <v>250</v>
      </c>
      <c r="DV6" s="8" t="s">
        <v>251</v>
      </c>
      <c r="DW6" s="183" t="s">
        <v>252</v>
      </c>
      <c r="DX6" s="183" t="s">
        <v>306</v>
      </c>
      <c r="DY6" s="160" t="s">
        <v>307</v>
      </c>
      <c r="DZ6" s="605" t="s">
        <v>1145</v>
      </c>
      <c r="EA6" s="605" t="s">
        <v>1146</v>
      </c>
      <c r="EB6" s="606" t="s">
        <v>1147</v>
      </c>
    </row>
    <row r="7" spans="1:132" s="96" customFormat="1" ht="18.649999999999999" hidden="1" customHeight="1" x14ac:dyDescent="0.3">
      <c r="A7" s="130" t="s">
        <v>452</v>
      </c>
      <c r="B7" s="131"/>
      <c r="C7" s="131"/>
      <c r="D7" s="131"/>
      <c r="E7" s="131"/>
      <c r="F7" s="123"/>
      <c r="G7" s="124"/>
      <c r="H7" s="124"/>
      <c r="I7" s="184"/>
      <c r="J7" s="184"/>
      <c r="K7" s="184"/>
      <c r="L7" s="184"/>
      <c r="M7" s="184"/>
      <c r="N7" s="184"/>
      <c r="O7" s="185"/>
      <c r="P7" s="186"/>
      <c r="Q7" s="187"/>
      <c r="R7" s="187"/>
      <c r="S7" s="187"/>
      <c r="T7" s="187"/>
      <c r="U7" s="187"/>
      <c r="V7" s="187"/>
      <c r="W7" s="187"/>
      <c r="X7" s="187"/>
      <c r="Y7" s="187"/>
      <c r="Z7" s="187"/>
      <c r="AA7" s="187"/>
      <c r="AB7" s="187"/>
      <c r="AC7" s="187"/>
      <c r="AD7" s="187"/>
      <c r="AE7" s="187"/>
      <c r="AF7" s="187"/>
      <c r="AG7" s="187"/>
      <c r="AH7" s="187"/>
      <c r="AI7" s="188"/>
      <c r="AJ7" s="188"/>
      <c r="AK7" s="187"/>
      <c r="AL7" s="187"/>
      <c r="AM7" s="187"/>
      <c r="AN7" s="187"/>
      <c r="AO7" s="187"/>
      <c r="AP7" s="187"/>
      <c r="AQ7" s="187"/>
      <c r="AR7" s="187"/>
      <c r="AS7" s="187"/>
      <c r="AT7" s="187"/>
      <c r="AU7" s="187"/>
      <c r="AV7" s="187"/>
      <c r="AW7" s="187"/>
      <c r="AX7" s="187"/>
      <c r="AY7" s="187"/>
      <c r="AZ7" s="187"/>
      <c r="BA7" s="187"/>
      <c r="BB7" s="187"/>
      <c r="BC7" s="187"/>
      <c r="BD7" s="187"/>
      <c r="BE7" s="187"/>
      <c r="BF7" s="187"/>
      <c r="BG7" s="187"/>
      <c r="BH7" s="187"/>
      <c r="BI7" s="187"/>
      <c r="BJ7" s="187"/>
      <c r="BK7" s="189"/>
      <c r="BL7" s="188"/>
      <c r="BM7" s="189"/>
      <c r="BN7" s="188"/>
      <c r="BO7" s="188"/>
      <c r="BP7" s="188"/>
      <c r="BQ7" s="188"/>
      <c r="BR7" s="188"/>
      <c r="BS7" s="188"/>
      <c r="BT7" s="188"/>
      <c r="BU7" s="188"/>
      <c r="BV7" s="188"/>
      <c r="BW7" s="188"/>
      <c r="BX7" s="188"/>
      <c r="BY7" s="188"/>
      <c r="BZ7" s="188"/>
      <c r="CA7" s="188"/>
      <c r="CB7" s="188"/>
      <c r="CC7" s="188"/>
      <c r="CD7" s="188"/>
      <c r="CE7" s="188"/>
      <c r="CF7" s="188"/>
      <c r="CG7" s="188"/>
      <c r="CH7" s="188"/>
      <c r="CI7" s="188"/>
      <c r="CJ7" s="188"/>
      <c r="CK7" s="188"/>
      <c r="CL7" s="188"/>
      <c r="CM7" s="188"/>
      <c r="CN7" s="188"/>
      <c r="CO7" s="188"/>
      <c r="CP7" s="188"/>
      <c r="CQ7" s="188"/>
      <c r="CR7" s="188"/>
      <c r="CS7" s="188"/>
      <c r="CT7" s="188"/>
      <c r="CU7" s="188"/>
      <c r="CV7" s="188"/>
      <c r="CW7" s="188"/>
      <c r="CX7" s="188"/>
      <c r="CY7" s="188"/>
      <c r="CZ7" s="188"/>
      <c r="DA7" s="188"/>
      <c r="DB7" s="188"/>
      <c r="DC7" s="188"/>
      <c r="DD7" s="188"/>
      <c r="DE7" s="188"/>
      <c r="DF7" s="188"/>
      <c r="DG7" s="188"/>
      <c r="DH7" s="188"/>
      <c r="DI7" s="188"/>
      <c r="DJ7" s="188"/>
      <c r="DK7" s="188"/>
      <c r="DL7" s="188"/>
      <c r="DM7" s="188"/>
      <c r="DN7" s="188"/>
      <c r="DO7" s="188"/>
      <c r="DP7" s="188"/>
      <c r="DQ7" s="188"/>
      <c r="DR7" s="188"/>
      <c r="DS7" s="190"/>
      <c r="DT7" s="190"/>
      <c r="DU7" s="190"/>
      <c r="DV7" s="125"/>
      <c r="DW7" s="322"/>
      <c r="DX7" s="323"/>
      <c r="DY7" s="173"/>
      <c r="DZ7" s="607"/>
      <c r="EA7" s="607"/>
      <c r="EB7" s="607"/>
    </row>
    <row r="8" spans="1:132" ht="52" hidden="1" x14ac:dyDescent="0.3">
      <c r="A8" s="6">
        <v>1</v>
      </c>
      <c r="B8" s="9" t="s">
        <v>10</v>
      </c>
      <c r="C8" s="9" t="s">
        <v>11</v>
      </c>
      <c r="D8" s="9" t="s">
        <v>523</v>
      </c>
      <c r="E8" s="10" t="s">
        <v>1174</v>
      </c>
      <c r="F8" s="9" t="s">
        <v>12</v>
      </c>
      <c r="G8" s="11">
        <v>1</v>
      </c>
      <c r="H8" s="11">
        <v>10</v>
      </c>
      <c r="I8" s="191">
        <f xml:space="preserve"> 7688001+((36-25)/(72-25))*(8817000-7688001)</f>
        <v>7952234.8085106388</v>
      </c>
      <c r="J8" s="191">
        <f>I8*G8*H8</f>
        <v>79522348.085106388</v>
      </c>
      <c r="K8" s="191"/>
      <c r="L8" s="191"/>
      <c r="M8" s="191"/>
      <c r="N8" s="191"/>
      <c r="O8" s="192"/>
      <c r="P8" s="193"/>
      <c r="Q8" s="192"/>
      <c r="R8" s="192"/>
      <c r="S8" s="192"/>
      <c r="T8" s="192"/>
      <c r="U8" s="192"/>
      <c r="V8" s="192"/>
      <c r="W8" s="192"/>
      <c r="X8" s="192"/>
      <c r="Y8" s="192"/>
      <c r="Z8" s="192"/>
      <c r="AA8" s="192"/>
      <c r="AB8" s="192"/>
      <c r="AC8" s="192"/>
      <c r="AD8" s="192"/>
      <c r="AE8" s="192"/>
      <c r="AF8" s="192"/>
      <c r="AG8" s="192"/>
      <c r="AH8" s="192"/>
      <c r="AI8" s="192"/>
      <c r="AJ8" s="192"/>
      <c r="AK8" s="192"/>
      <c r="AL8" s="192"/>
      <c r="AM8" s="192"/>
      <c r="AN8" s="192"/>
      <c r="AO8" s="192"/>
      <c r="AP8" s="192"/>
      <c r="AQ8" s="192"/>
      <c r="AR8" s="192"/>
      <c r="AS8" s="192"/>
      <c r="AT8" s="192"/>
      <c r="AU8" s="192"/>
      <c r="AV8" s="192"/>
      <c r="AW8" s="192"/>
      <c r="AX8" s="192"/>
      <c r="AY8" s="192"/>
      <c r="AZ8" s="192"/>
      <c r="BA8" s="192"/>
      <c r="BB8" s="192"/>
      <c r="BC8" s="192"/>
      <c r="BD8" s="192"/>
      <c r="BE8" s="192"/>
      <c r="BF8" s="192"/>
      <c r="BG8" s="192"/>
      <c r="BH8" s="192"/>
      <c r="BI8" s="192"/>
      <c r="BJ8" s="192"/>
      <c r="BK8" s="192"/>
      <c r="BL8" s="32"/>
      <c r="BM8" s="192"/>
      <c r="BN8" s="32"/>
      <c r="BO8" s="32"/>
      <c r="BP8" s="32"/>
      <c r="BQ8" s="32"/>
      <c r="BR8" s="32"/>
      <c r="BS8" s="32"/>
      <c r="BT8" s="32"/>
      <c r="BU8" s="32"/>
      <c r="BV8" s="32"/>
      <c r="BW8" s="32"/>
      <c r="BX8" s="32"/>
      <c r="BY8" s="32"/>
      <c r="BZ8" s="32"/>
      <c r="CA8" s="32"/>
      <c r="CB8" s="32"/>
      <c r="CC8" s="32"/>
      <c r="CD8" s="32"/>
      <c r="CE8" s="32"/>
      <c r="CF8" s="32"/>
      <c r="CG8" s="32"/>
      <c r="CH8" s="32"/>
      <c r="CI8" s="32"/>
      <c r="CJ8" s="32"/>
      <c r="CK8" s="32"/>
      <c r="CL8" s="32"/>
      <c r="CM8" s="32"/>
      <c r="CN8" s="32"/>
      <c r="CO8" s="32"/>
      <c r="CP8" s="32"/>
      <c r="CQ8" s="32"/>
      <c r="CR8" s="32"/>
      <c r="CS8" s="32"/>
      <c r="CT8" s="32"/>
      <c r="CU8" s="32"/>
      <c r="CV8" s="32"/>
      <c r="CW8" s="32"/>
      <c r="CX8" s="32"/>
      <c r="CY8" s="32"/>
      <c r="CZ8" s="32"/>
      <c r="DA8" s="32"/>
      <c r="DB8" s="32"/>
      <c r="DC8" s="32"/>
      <c r="DD8" s="32"/>
      <c r="DE8" s="32"/>
      <c r="DF8" s="32"/>
      <c r="DG8" s="32"/>
      <c r="DH8" s="32"/>
      <c r="DI8" s="32"/>
      <c r="DJ8" s="32"/>
      <c r="DK8" s="32"/>
      <c r="DL8" s="32"/>
      <c r="DM8" s="32"/>
      <c r="DN8" s="32"/>
      <c r="DO8" s="32"/>
      <c r="DP8" s="32"/>
      <c r="DQ8" s="32"/>
      <c r="DR8" s="32"/>
      <c r="DS8" s="192"/>
      <c r="DT8" s="192"/>
      <c r="DU8" s="192"/>
      <c r="DV8" s="12"/>
      <c r="DW8" s="371">
        <f>I8</f>
        <v>7952234.8085106388</v>
      </c>
      <c r="DX8" s="13">
        <f>+ROUND(DW8*G8*H8,0)</f>
        <v>79522348</v>
      </c>
      <c r="DY8" s="161" t="s">
        <v>460</v>
      </c>
    </row>
    <row r="9" spans="1:132" ht="52" hidden="1" x14ac:dyDescent="0.3">
      <c r="A9" s="6">
        <v>2</v>
      </c>
      <c r="B9" s="9" t="s">
        <v>10</v>
      </c>
      <c r="C9" s="9" t="s">
        <v>11</v>
      </c>
      <c r="D9" s="9" t="s">
        <v>335</v>
      </c>
      <c r="E9" s="10" t="s">
        <v>1174</v>
      </c>
      <c r="F9" s="9" t="s">
        <v>12</v>
      </c>
      <c r="G9" s="11">
        <v>1</v>
      </c>
      <c r="H9" s="11">
        <v>10</v>
      </c>
      <c r="I9" s="191">
        <v>7688000</v>
      </c>
      <c r="J9" s="191">
        <f>I9*G9*H9</f>
        <v>76880000</v>
      </c>
      <c r="K9" s="191"/>
      <c r="L9" s="191"/>
      <c r="M9" s="191"/>
      <c r="N9" s="191"/>
      <c r="O9" s="192"/>
      <c r="P9" s="193"/>
      <c r="Q9" s="192"/>
      <c r="R9" s="192"/>
      <c r="S9" s="192"/>
      <c r="T9" s="192"/>
      <c r="U9" s="192"/>
      <c r="V9" s="192"/>
      <c r="W9" s="192"/>
      <c r="X9" s="192"/>
      <c r="Y9" s="192"/>
      <c r="Z9" s="192"/>
      <c r="AA9" s="192"/>
      <c r="AB9" s="192"/>
      <c r="AC9" s="192"/>
      <c r="AD9" s="192"/>
      <c r="AE9" s="192"/>
      <c r="AF9" s="192"/>
      <c r="AG9" s="192"/>
      <c r="AH9" s="192"/>
      <c r="AI9" s="192"/>
      <c r="AJ9" s="192"/>
      <c r="AK9" s="192"/>
      <c r="AL9" s="192"/>
      <c r="AM9" s="192"/>
      <c r="AN9" s="192"/>
      <c r="AO9" s="192"/>
      <c r="AP9" s="192"/>
      <c r="AQ9" s="192"/>
      <c r="AR9" s="192"/>
      <c r="AS9" s="192"/>
      <c r="AT9" s="192"/>
      <c r="AU9" s="192"/>
      <c r="AV9" s="192"/>
      <c r="AW9" s="192"/>
      <c r="AX9" s="192"/>
      <c r="AY9" s="192"/>
      <c r="AZ9" s="192"/>
      <c r="BA9" s="192"/>
      <c r="BB9" s="192"/>
      <c r="BC9" s="192"/>
      <c r="BD9" s="192"/>
      <c r="BE9" s="192"/>
      <c r="BF9" s="192"/>
      <c r="BG9" s="192"/>
      <c r="BH9" s="192"/>
      <c r="BI9" s="192"/>
      <c r="BJ9" s="192"/>
      <c r="BK9" s="192"/>
      <c r="BL9" s="32"/>
      <c r="BM9" s="192"/>
      <c r="BN9" s="32"/>
      <c r="BO9" s="32"/>
      <c r="BP9" s="32"/>
      <c r="BQ9" s="32"/>
      <c r="BR9" s="32"/>
      <c r="BS9" s="32"/>
      <c r="BT9" s="32"/>
      <c r="BU9" s="32"/>
      <c r="BV9" s="32"/>
      <c r="BW9" s="32"/>
      <c r="BX9" s="32"/>
      <c r="BY9" s="32"/>
      <c r="BZ9" s="32"/>
      <c r="CA9" s="32"/>
      <c r="CB9" s="32"/>
      <c r="CC9" s="32"/>
      <c r="CD9" s="32"/>
      <c r="CE9" s="32"/>
      <c r="CF9" s="32"/>
      <c r="CG9" s="32"/>
      <c r="CH9" s="32"/>
      <c r="CI9" s="32"/>
      <c r="CJ9" s="32"/>
      <c r="CK9" s="32"/>
      <c r="CL9" s="32"/>
      <c r="CM9" s="32"/>
      <c r="CN9" s="32"/>
      <c r="CO9" s="32"/>
      <c r="CP9" s="32"/>
      <c r="CQ9" s="32"/>
      <c r="CR9" s="32"/>
      <c r="CS9" s="32"/>
      <c r="CT9" s="32"/>
      <c r="CU9" s="32"/>
      <c r="CV9" s="32"/>
      <c r="CW9" s="32"/>
      <c r="CX9" s="32"/>
      <c r="CY9" s="32"/>
      <c r="CZ9" s="32"/>
      <c r="DA9" s="32"/>
      <c r="DB9" s="32"/>
      <c r="DC9" s="32"/>
      <c r="DD9" s="32"/>
      <c r="DE9" s="32"/>
      <c r="DF9" s="32"/>
      <c r="DG9" s="32"/>
      <c r="DH9" s="32"/>
      <c r="DI9" s="32"/>
      <c r="DJ9" s="32"/>
      <c r="DK9" s="32"/>
      <c r="DL9" s="32"/>
      <c r="DM9" s="32"/>
      <c r="DN9" s="32"/>
      <c r="DO9" s="32"/>
      <c r="DP9" s="32"/>
      <c r="DQ9" s="32"/>
      <c r="DR9" s="32"/>
      <c r="DS9" s="192"/>
      <c r="DT9" s="192"/>
      <c r="DU9" s="192"/>
      <c r="DV9" s="12"/>
      <c r="DW9" s="371">
        <f>I9</f>
        <v>7688000</v>
      </c>
      <c r="DX9" s="13">
        <f>+ROUND(DW9*G9*H9,0)</f>
        <v>76880000</v>
      </c>
      <c r="DY9" s="161" t="s">
        <v>460</v>
      </c>
    </row>
    <row r="10" spans="1:132" ht="52" hidden="1" x14ac:dyDescent="0.3">
      <c r="A10" s="6">
        <v>3</v>
      </c>
      <c r="B10" s="14" t="s">
        <v>10</v>
      </c>
      <c r="C10" s="14" t="s">
        <v>11</v>
      </c>
      <c r="D10" s="14" t="s">
        <v>13</v>
      </c>
      <c r="E10" s="10" t="s">
        <v>1174</v>
      </c>
      <c r="F10" s="14" t="s">
        <v>14</v>
      </c>
      <c r="G10" s="15">
        <v>1</v>
      </c>
      <c r="H10" s="15">
        <v>10</v>
      </c>
      <c r="I10" s="194">
        <f>3100001+((12/24)*(3500000-3100001))</f>
        <v>3300000.5</v>
      </c>
      <c r="J10" s="194">
        <f>I10*G10*H10</f>
        <v>33000005</v>
      </c>
      <c r="K10" s="194"/>
      <c r="L10" s="194"/>
      <c r="M10" s="194"/>
      <c r="N10" s="194"/>
      <c r="O10" s="195"/>
      <c r="P10" s="196"/>
      <c r="Q10" s="195"/>
      <c r="R10" s="195"/>
      <c r="S10" s="195"/>
      <c r="T10" s="195"/>
      <c r="U10" s="195"/>
      <c r="V10" s="195"/>
      <c r="W10" s="195"/>
      <c r="X10" s="195"/>
      <c r="Y10" s="195"/>
      <c r="Z10" s="195"/>
      <c r="AA10" s="195"/>
      <c r="AB10" s="195"/>
      <c r="AC10" s="195"/>
      <c r="AD10" s="195"/>
      <c r="AE10" s="195"/>
      <c r="AF10" s="195"/>
      <c r="AG10" s="195"/>
      <c r="AH10" s="195"/>
      <c r="AI10" s="195"/>
      <c r="AJ10" s="195"/>
      <c r="AK10" s="195"/>
      <c r="AL10" s="195"/>
      <c r="AM10" s="195"/>
      <c r="AN10" s="195"/>
      <c r="AO10" s="195"/>
      <c r="AP10" s="195"/>
      <c r="AQ10" s="195"/>
      <c r="AR10" s="195"/>
      <c r="AS10" s="195"/>
      <c r="AT10" s="195"/>
      <c r="AU10" s="195"/>
      <c r="AV10" s="195"/>
      <c r="AW10" s="195"/>
      <c r="AX10" s="195"/>
      <c r="AY10" s="195"/>
      <c r="AZ10" s="195"/>
      <c r="BA10" s="195"/>
      <c r="BB10" s="195"/>
      <c r="BC10" s="195"/>
      <c r="BD10" s="195"/>
      <c r="BE10" s="195"/>
      <c r="BF10" s="195"/>
      <c r="BG10" s="195"/>
      <c r="BH10" s="195"/>
      <c r="BI10" s="195"/>
      <c r="BJ10" s="195"/>
      <c r="BK10" s="195"/>
      <c r="BL10" s="197"/>
      <c r="BM10" s="195"/>
      <c r="BN10" s="197"/>
      <c r="BO10" s="197"/>
      <c r="BP10" s="197"/>
      <c r="BQ10" s="197"/>
      <c r="BR10" s="197"/>
      <c r="BS10" s="197"/>
      <c r="BT10" s="197"/>
      <c r="BU10" s="197"/>
      <c r="BV10" s="197"/>
      <c r="BW10" s="197"/>
      <c r="BX10" s="197"/>
      <c r="BY10" s="197"/>
      <c r="BZ10" s="197"/>
      <c r="CA10" s="197"/>
      <c r="CB10" s="197"/>
      <c r="CC10" s="197"/>
      <c r="CD10" s="197"/>
      <c r="CE10" s="197"/>
      <c r="CF10" s="197"/>
      <c r="CG10" s="197"/>
      <c r="CH10" s="197"/>
      <c r="CI10" s="197"/>
      <c r="CJ10" s="197"/>
      <c r="CK10" s="197"/>
      <c r="CL10" s="197"/>
      <c r="CM10" s="197"/>
      <c r="CN10" s="197"/>
      <c r="CO10" s="197"/>
      <c r="CP10" s="197"/>
      <c r="CQ10" s="197"/>
      <c r="CR10" s="197"/>
      <c r="CS10" s="197"/>
      <c r="CT10" s="197"/>
      <c r="CU10" s="197"/>
      <c r="CV10" s="197"/>
      <c r="CW10" s="197"/>
      <c r="CX10" s="197"/>
      <c r="CY10" s="197"/>
      <c r="CZ10" s="197"/>
      <c r="DA10" s="197"/>
      <c r="DB10" s="197"/>
      <c r="DC10" s="197"/>
      <c r="DD10" s="197"/>
      <c r="DE10" s="197"/>
      <c r="DF10" s="197"/>
      <c r="DG10" s="197"/>
      <c r="DH10" s="197"/>
      <c r="DI10" s="197"/>
      <c r="DJ10" s="197"/>
      <c r="DK10" s="197"/>
      <c r="DL10" s="197"/>
      <c r="DM10" s="197"/>
      <c r="DN10" s="197"/>
      <c r="DO10" s="197"/>
      <c r="DP10" s="197"/>
      <c r="DQ10" s="197"/>
      <c r="DR10" s="197"/>
      <c r="DS10" s="195"/>
      <c r="DT10" s="195"/>
      <c r="DU10" s="195"/>
      <c r="DV10" s="16"/>
      <c r="DW10" s="372">
        <f>I10</f>
        <v>3300000.5</v>
      </c>
      <c r="DX10" s="73">
        <f>+ROUND(DW10*G10*H10,0)</f>
        <v>33000005</v>
      </c>
      <c r="DY10" s="161" t="s">
        <v>460</v>
      </c>
    </row>
    <row r="11" spans="1:132" ht="39" hidden="1" x14ac:dyDescent="0.3">
      <c r="A11" s="6">
        <v>4</v>
      </c>
      <c r="B11" s="9" t="s">
        <v>10</v>
      </c>
      <c r="C11" s="9" t="s">
        <v>11</v>
      </c>
      <c r="D11" s="9" t="s">
        <v>435</v>
      </c>
      <c r="E11" s="18" t="s">
        <v>337</v>
      </c>
      <c r="F11" s="9" t="s">
        <v>19</v>
      </c>
      <c r="G11" s="21">
        <v>1700</v>
      </c>
      <c r="H11" s="11">
        <v>1</v>
      </c>
      <c r="I11" s="191"/>
      <c r="J11" s="191"/>
      <c r="K11" s="191"/>
      <c r="L11" s="191"/>
      <c r="M11" s="191"/>
      <c r="N11" s="191"/>
      <c r="O11" s="192"/>
      <c r="P11" s="192"/>
      <c r="Q11" s="192"/>
      <c r="R11" s="192"/>
      <c r="S11" s="192"/>
      <c r="T11" s="192"/>
      <c r="U11" s="192"/>
      <c r="V11" s="192"/>
      <c r="W11" s="192"/>
      <c r="X11" s="192"/>
      <c r="Y11" s="192"/>
      <c r="Z11" s="192"/>
      <c r="AA11" s="192"/>
      <c r="AB11" s="192"/>
      <c r="AC11" s="192"/>
      <c r="AD11" s="192"/>
      <c r="AE11" s="192"/>
      <c r="AF11" s="192"/>
      <c r="AG11" s="192"/>
      <c r="AH11" s="192"/>
      <c r="AI11" s="192"/>
      <c r="AJ11" s="192"/>
      <c r="AK11" s="192"/>
      <c r="AL11" s="192"/>
      <c r="AM11" s="192"/>
      <c r="AN11" s="192"/>
      <c r="AO11" s="192"/>
      <c r="AP11" s="192"/>
      <c r="AQ11" s="192"/>
      <c r="AR11" s="192"/>
      <c r="AS11" s="192"/>
      <c r="AT11" s="192"/>
      <c r="AU11" s="192"/>
      <c r="AV11" s="192"/>
      <c r="AW11" s="192"/>
      <c r="AX11" s="192"/>
      <c r="AY11" s="192"/>
      <c r="AZ11" s="192"/>
      <c r="BA11" s="192"/>
      <c r="BB11" s="192"/>
      <c r="BC11" s="192"/>
      <c r="BD11" s="192"/>
      <c r="BE11" s="192"/>
      <c r="BF11" s="192"/>
      <c r="BG11" s="192"/>
      <c r="BH11" s="192"/>
      <c r="BI11" s="192"/>
      <c r="BJ11" s="192"/>
      <c r="BK11" s="25"/>
      <c r="BL11" s="32"/>
      <c r="BM11" s="25">
        <v>510</v>
      </c>
      <c r="BN11" s="32">
        <f>+G11*H11*BM11</f>
        <v>867000</v>
      </c>
      <c r="BO11" s="32"/>
      <c r="BP11" s="32"/>
      <c r="BQ11" s="25">
        <v>595</v>
      </c>
      <c r="BR11" s="32">
        <f>+G11*H11*BQ11</f>
        <v>1011500</v>
      </c>
      <c r="BS11" s="32"/>
      <c r="BT11" s="32"/>
      <c r="BU11" s="32"/>
      <c r="BV11" s="32"/>
      <c r="BW11" s="32"/>
      <c r="BX11" s="32"/>
      <c r="BY11" s="32"/>
      <c r="BZ11" s="32"/>
      <c r="CA11" s="32"/>
      <c r="CB11" s="32"/>
      <c r="CC11" s="32"/>
      <c r="CD11" s="32"/>
      <c r="CE11" s="32"/>
      <c r="CF11" s="32"/>
      <c r="CG11" s="32"/>
      <c r="CH11" s="32"/>
      <c r="CI11" s="32"/>
      <c r="CJ11" s="32"/>
      <c r="CK11" s="32"/>
      <c r="CL11" s="32"/>
      <c r="CM11" s="32"/>
      <c r="CN11" s="32"/>
      <c r="CO11" s="32"/>
      <c r="CP11" s="32"/>
      <c r="CQ11" s="32"/>
      <c r="CR11" s="32"/>
      <c r="CS11" s="32"/>
      <c r="CT11" s="32"/>
      <c r="CU11" s="32"/>
      <c r="CV11" s="32"/>
      <c r="CW11" s="32"/>
      <c r="CX11" s="32"/>
      <c r="CY11" s="32"/>
      <c r="CZ11" s="32"/>
      <c r="DA11" s="32"/>
      <c r="DB11" s="32"/>
      <c r="DC11" s="32"/>
      <c r="DD11" s="32"/>
      <c r="DE11" s="32"/>
      <c r="DF11" s="32"/>
      <c r="DG11" s="32"/>
      <c r="DH11" s="32"/>
      <c r="DI11" s="32"/>
      <c r="DJ11" s="32"/>
      <c r="DK11" s="32"/>
      <c r="DL11" s="32"/>
      <c r="DM11" s="32"/>
      <c r="DN11" s="32"/>
      <c r="DO11" s="32"/>
      <c r="DP11" s="32"/>
      <c r="DQ11" s="32"/>
      <c r="DR11" s="32"/>
      <c r="DS11" s="13">
        <f>+MEDIAN(BM11,BQ11)</f>
        <v>552.5</v>
      </c>
      <c r="DT11" s="13">
        <f>+AVERAGE(BM11,BQ11)</f>
        <v>552.5</v>
      </c>
      <c r="DU11" s="13">
        <f>+STDEV(BM11,BQ11)</f>
        <v>60.104076400856542</v>
      </c>
      <c r="DV11" s="17">
        <f>DU11/DT11</f>
        <v>0.10878565864408424</v>
      </c>
      <c r="DW11" s="373">
        <f>+ROUNDUP(IF(DV11&lt;15%,DT11,DS11),0)</f>
        <v>553</v>
      </c>
      <c r="DX11" s="13">
        <f>+ROUND(DW11*G11*H11,0)</f>
        <v>940100</v>
      </c>
      <c r="DY11" s="10" t="s">
        <v>308</v>
      </c>
    </row>
    <row r="12" spans="1:132" ht="39" hidden="1" x14ac:dyDescent="0.3">
      <c r="A12" s="6">
        <v>5</v>
      </c>
      <c r="B12" s="9" t="s">
        <v>10</v>
      </c>
      <c r="C12" s="9" t="s">
        <v>11</v>
      </c>
      <c r="D12" s="9" t="s">
        <v>394</v>
      </c>
      <c r="E12" s="18" t="s">
        <v>336</v>
      </c>
      <c r="F12" s="9" t="s">
        <v>19</v>
      </c>
      <c r="G12" s="21">
        <v>10000</v>
      </c>
      <c r="H12" s="11">
        <v>1</v>
      </c>
      <c r="I12" s="198"/>
      <c r="J12" s="191"/>
      <c r="K12" s="191"/>
      <c r="L12" s="191"/>
      <c r="M12" s="191"/>
      <c r="N12" s="191"/>
      <c r="O12" s="192"/>
      <c r="P12" s="192"/>
      <c r="Q12" s="192"/>
      <c r="R12" s="192"/>
      <c r="S12" s="192"/>
      <c r="T12" s="192"/>
      <c r="U12" s="192"/>
      <c r="V12" s="192"/>
      <c r="W12" s="192"/>
      <c r="X12" s="192"/>
      <c r="Y12" s="192"/>
      <c r="Z12" s="192"/>
      <c r="AA12" s="192"/>
      <c r="AB12" s="192"/>
      <c r="AC12" s="192"/>
      <c r="AD12" s="192"/>
      <c r="AE12" s="192"/>
      <c r="AF12" s="192"/>
      <c r="AG12" s="192"/>
      <c r="AH12" s="192"/>
      <c r="AI12" s="192"/>
      <c r="AJ12" s="192"/>
      <c r="AK12" s="192"/>
      <c r="AL12" s="192"/>
      <c r="AM12" s="192"/>
      <c r="AN12" s="192"/>
      <c r="AO12" s="192"/>
      <c r="AP12" s="192"/>
      <c r="AQ12" s="192"/>
      <c r="AR12" s="192"/>
      <c r="AS12" s="192"/>
      <c r="AT12" s="192"/>
      <c r="AU12" s="192"/>
      <c r="AV12" s="192"/>
      <c r="AW12" s="192"/>
      <c r="AX12" s="192"/>
      <c r="AY12" s="192"/>
      <c r="AZ12" s="192"/>
      <c r="BA12" s="192"/>
      <c r="BB12" s="192"/>
      <c r="BC12" s="192"/>
      <c r="BD12" s="192"/>
      <c r="BE12" s="192"/>
      <c r="BF12" s="192"/>
      <c r="BG12" s="192"/>
      <c r="BH12" s="192"/>
      <c r="BI12" s="192"/>
      <c r="BJ12" s="192"/>
      <c r="BK12" s="25"/>
      <c r="BL12" s="32"/>
      <c r="BM12" s="25">
        <v>600</v>
      </c>
      <c r="BN12" s="32">
        <f>+G12*H12*BM12</f>
        <v>6000000</v>
      </c>
      <c r="BO12" s="32"/>
      <c r="BP12" s="32"/>
      <c r="BQ12" s="25">
        <v>417</v>
      </c>
      <c r="BR12" s="32">
        <f>+G12*H12*BQ12</f>
        <v>4170000</v>
      </c>
      <c r="BS12" s="32"/>
      <c r="BT12" s="32"/>
      <c r="BU12" s="32"/>
      <c r="BV12" s="32"/>
      <c r="BW12" s="32"/>
      <c r="BX12" s="32"/>
      <c r="BY12" s="32"/>
      <c r="BZ12" s="32"/>
      <c r="CA12" s="32"/>
      <c r="CB12" s="32"/>
      <c r="CC12" s="32"/>
      <c r="CD12" s="32"/>
      <c r="CE12" s="32"/>
      <c r="CF12" s="32"/>
      <c r="CG12" s="32"/>
      <c r="CH12" s="32"/>
      <c r="CI12" s="32"/>
      <c r="CJ12" s="32"/>
      <c r="CK12" s="32"/>
      <c r="CL12" s="32"/>
      <c r="CM12" s="32"/>
      <c r="CN12" s="32"/>
      <c r="CO12" s="32"/>
      <c r="CP12" s="32"/>
      <c r="CQ12" s="32"/>
      <c r="CR12" s="32"/>
      <c r="CS12" s="32"/>
      <c r="CT12" s="32"/>
      <c r="CU12" s="32"/>
      <c r="CV12" s="32"/>
      <c r="CW12" s="32"/>
      <c r="CX12" s="32"/>
      <c r="CY12" s="32"/>
      <c r="CZ12" s="32"/>
      <c r="DA12" s="32"/>
      <c r="DB12" s="32"/>
      <c r="DC12" s="32"/>
      <c r="DD12" s="32"/>
      <c r="DE12" s="32"/>
      <c r="DF12" s="32"/>
      <c r="DG12" s="32"/>
      <c r="DH12" s="32"/>
      <c r="DI12" s="32"/>
      <c r="DJ12" s="32"/>
      <c r="DK12" s="32"/>
      <c r="DL12" s="32"/>
      <c r="DM12" s="32"/>
      <c r="DN12" s="32"/>
      <c r="DO12" s="32"/>
      <c r="DP12" s="32"/>
      <c r="DQ12" s="32"/>
      <c r="DR12" s="32"/>
      <c r="DS12" s="13">
        <f>+MEDIAN(BM12,BQ12)</f>
        <v>508.5</v>
      </c>
      <c r="DT12" s="13">
        <f>+AVERAGE(BM12,BQ12)</f>
        <v>508.5</v>
      </c>
      <c r="DU12" s="13">
        <f>+STDEV(BM12,BQ12)</f>
        <v>129.40054095713819</v>
      </c>
      <c r="DV12" s="17">
        <f>DU12/DT12</f>
        <v>0.2544750067986985</v>
      </c>
      <c r="DW12" s="373">
        <f>+ROUNDUP(IF(DV12&lt;15%,DT12,DS12),0)</f>
        <v>509</v>
      </c>
      <c r="DX12" s="13">
        <f>+ROUND(DW12*G12*H12,0)</f>
        <v>5090000</v>
      </c>
      <c r="DY12" s="10" t="s">
        <v>309</v>
      </c>
    </row>
    <row r="13" spans="1:132" s="63" customFormat="1" hidden="1" x14ac:dyDescent="0.3">
      <c r="A13" s="128" t="s">
        <v>453</v>
      </c>
      <c r="B13" s="128"/>
      <c r="C13" s="128"/>
      <c r="D13" s="128"/>
      <c r="E13" s="128"/>
      <c r="F13" s="126"/>
      <c r="G13" s="126"/>
      <c r="H13" s="126"/>
      <c r="I13" s="199"/>
      <c r="J13" s="199"/>
      <c r="K13" s="199"/>
      <c r="L13" s="199"/>
      <c r="M13" s="199"/>
      <c r="N13" s="199"/>
      <c r="O13" s="200"/>
      <c r="P13" s="200"/>
      <c r="Q13" s="200"/>
      <c r="R13" s="200"/>
      <c r="S13" s="200"/>
      <c r="T13" s="200"/>
      <c r="U13" s="200"/>
      <c r="V13" s="200"/>
      <c r="W13" s="200"/>
      <c r="X13" s="200"/>
      <c r="Y13" s="200"/>
      <c r="Z13" s="200"/>
      <c r="AA13" s="200"/>
      <c r="AB13" s="200"/>
      <c r="AC13" s="200"/>
      <c r="AD13" s="200"/>
      <c r="AE13" s="200"/>
      <c r="AF13" s="200"/>
      <c r="AG13" s="200"/>
      <c r="AH13" s="200"/>
      <c r="AI13" s="200"/>
      <c r="AJ13" s="200"/>
      <c r="AK13" s="200"/>
      <c r="AL13" s="200"/>
      <c r="AM13" s="200"/>
      <c r="AN13" s="200"/>
      <c r="AO13" s="200"/>
      <c r="AP13" s="200"/>
      <c r="AQ13" s="200"/>
      <c r="AR13" s="200"/>
      <c r="AS13" s="200"/>
      <c r="AT13" s="200"/>
      <c r="AU13" s="200"/>
      <c r="AV13" s="200"/>
      <c r="AW13" s="200"/>
      <c r="AX13" s="200"/>
      <c r="AY13" s="200"/>
      <c r="AZ13" s="200"/>
      <c r="BA13" s="200"/>
      <c r="BB13" s="200"/>
      <c r="BC13" s="200"/>
      <c r="BD13" s="200"/>
      <c r="BE13" s="200"/>
      <c r="BF13" s="200"/>
      <c r="BG13" s="200"/>
      <c r="BH13" s="200"/>
      <c r="BI13" s="200"/>
      <c r="BJ13" s="200"/>
      <c r="BK13" s="200"/>
      <c r="BL13" s="201"/>
      <c r="BM13" s="200"/>
      <c r="BN13" s="201"/>
      <c r="BO13" s="201"/>
      <c r="BP13" s="201"/>
      <c r="BQ13" s="201"/>
      <c r="BR13" s="201"/>
      <c r="BS13" s="201"/>
      <c r="BT13" s="201"/>
      <c r="BU13" s="201"/>
      <c r="BV13" s="201"/>
      <c r="BW13" s="201"/>
      <c r="BX13" s="201"/>
      <c r="BY13" s="201"/>
      <c r="BZ13" s="201"/>
      <c r="CA13" s="201"/>
      <c r="CB13" s="201"/>
      <c r="CC13" s="201"/>
      <c r="CD13" s="201"/>
      <c r="CE13" s="201"/>
      <c r="CF13" s="201"/>
      <c r="CG13" s="201"/>
      <c r="CH13" s="201"/>
      <c r="CI13" s="201"/>
      <c r="CJ13" s="201"/>
      <c r="CK13" s="201"/>
      <c r="CL13" s="201"/>
      <c r="CM13" s="201"/>
      <c r="CN13" s="201"/>
      <c r="CO13" s="201"/>
      <c r="CP13" s="201"/>
      <c r="CQ13" s="201"/>
      <c r="CR13" s="201"/>
      <c r="CS13" s="201"/>
      <c r="CT13" s="201"/>
      <c r="CU13" s="201"/>
      <c r="CV13" s="201"/>
      <c r="CW13" s="201"/>
      <c r="CX13" s="201"/>
      <c r="CY13" s="201"/>
      <c r="CZ13" s="201"/>
      <c r="DA13" s="201"/>
      <c r="DB13" s="201"/>
      <c r="DC13" s="201"/>
      <c r="DD13" s="201"/>
      <c r="DE13" s="201"/>
      <c r="DF13" s="201"/>
      <c r="DG13" s="201"/>
      <c r="DH13" s="201"/>
      <c r="DI13" s="201"/>
      <c r="DJ13" s="201"/>
      <c r="DK13" s="201"/>
      <c r="DL13" s="201"/>
      <c r="DM13" s="201"/>
      <c r="DN13" s="201"/>
      <c r="DO13" s="201"/>
      <c r="DP13" s="201"/>
      <c r="DQ13" s="201"/>
      <c r="DR13" s="201"/>
      <c r="DS13" s="200"/>
      <c r="DT13" s="200"/>
      <c r="DU13" s="200"/>
      <c r="DV13" s="127"/>
      <c r="DW13" s="129">
        <f>SUM(DW8:DW12)</f>
        <v>18941297.308510639</v>
      </c>
      <c r="DX13" s="129">
        <f>SUM(DX8:DX12)</f>
        <v>195432453</v>
      </c>
      <c r="DY13" s="163"/>
      <c r="DZ13" s="608"/>
      <c r="EA13" s="608"/>
      <c r="EB13" s="609"/>
    </row>
    <row r="14" spans="1:132" hidden="1" x14ac:dyDescent="0.3">
      <c r="A14" s="155" t="s">
        <v>384</v>
      </c>
      <c r="B14" s="155"/>
      <c r="C14" s="155"/>
      <c r="D14" s="155"/>
      <c r="E14" s="155"/>
      <c r="F14" s="85"/>
      <c r="G14" s="86"/>
      <c r="H14" s="86"/>
      <c r="I14" s="202"/>
      <c r="J14" s="202"/>
      <c r="K14" s="202"/>
      <c r="L14" s="202"/>
      <c r="M14" s="202"/>
      <c r="N14" s="202"/>
      <c r="O14" s="203"/>
      <c r="P14" s="204"/>
      <c r="Q14" s="205"/>
      <c r="R14" s="205"/>
      <c r="S14" s="205"/>
      <c r="T14" s="205"/>
      <c r="U14" s="205"/>
      <c r="V14" s="205"/>
      <c r="W14" s="205"/>
      <c r="X14" s="205"/>
      <c r="Y14" s="205"/>
      <c r="Z14" s="205"/>
      <c r="AA14" s="205"/>
      <c r="AB14" s="205"/>
      <c r="AC14" s="205"/>
      <c r="AD14" s="205"/>
      <c r="AE14" s="205"/>
      <c r="AF14" s="205"/>
      <c r="AG14" s="205"/>
      <c r="AH14" s="205"/>
      <c r="AI14" s="205"/>
      <c r="AJ14" s="205"/>
      <c r="AK14" s="205"/>
      <c r="AL14" s="205"/>
      <c r="AM14" s="205"/>
      <c r="AN14" s="205"/>
      <c r="AO14" s="205"/>
      <c r="AP14" s="205"/>
      <c r="AQ14" s="205"/>
      <c r="AR14" s="205"/>
      <c r="AS14" s="205"/>
      <c r="AT14" s="205"/>
      <c r="AU14" s="205"/>
      <c r="AV14" s="205"/>
      <c r="AW14" s="205"/>
      <c r="AX14" s="205"/>
      <c r="AY14" s="205"/>
      <c r="AZ14" s="205"/>
      <c r="BA14" s="205"/>
      <c r="BB14" s="205"/>
      <c r="BC14" s="205"/>
      <c r="BD14" s="205"/>
      <c r="BE14" s="205"/>
      <c r="BF14" s="205"/>
      <c r="BG14" s="205"/>
      <c r="BH14" s="205"/>
      <c r="BI14" s="205"/>
      <c r="BJ14" s="205"/>
      <c r="BK14" s="206"/>
      <c r="BL14" s="205"/>
      <c r="BM14" s="206"/>
      <c r="BN14" s="205"/>
      <c r="BO14" s="205"/>
      <c r="BP14" s="205"/>
      <c r="BQ14" s="205"/>
      <c r="BR14" s="205"/>
      <c r="BS14" s="205"/>
      <c r="BT14" s="205"/>
      <c r="BU14" s="205"/>
      <c r="BV14" s="205"/>
      <c r="BW14" s="205"/>
      <c r="BX14" s="205"/>
      <c r="BY14" s="205"/>
      <c r="BZ14" s="205"/>
      <c r="CA14" s="205"/>
      <c r="CB14" s="205"/>
      <c r="CC14" s="205"/>
      <c r="CD14" s="205"/>
      <c r="CE14" s="205"/>
      <c r="CF14" s="205"/>
      <c r="CG14" s="205"/>
      <c r="CH14" s="205"/>
      <c r="CI14" s="205"/>
      <c r="CJ14" s="205"/>
      <c r="CK14" s="205"/>
      <c r="CL14" s="205"/>
      <c r="CM14" s="205"/>
      <c r="CN14" s="205"/>
      <c r="CO14" s="205"/>
      <c r="CP14" s="205"/>
      <c r="CQ14" s="205"/>
      <c r="CR14" s="205"/>
      <c r="CS14" s="205"/>
      <c r="CT14" s="205"/>
      <c r="CU14" s="205"/>
      <c r="CV14" s="205"/>
      <c r="CW14" s="205"/>
      <c r="CX14" s="205"/>
      <c r="CY14" s="205"/>
      <c r="CZ14" s="205"/>
      <c r="DA14" s="205"/>
      <c r="DB14" s="205"/>
      <c r="DC14" s="205"/>
      <c r="DD14" s="205"/>
      <c r="DE14" s="205"/>
      <c r="DF14" s="205"/>
      <c r="DG14" s="205"/>
      <c r="DH14" s="205"/>
      <c r="DI14" s="205"/>
      <c r="DJ14" s="205"/>
      <c r="DK14" s="205"/>
      <c r="DL14" s="205"/>
      <c r="DM14" s="205"/>
      <c r="DN14" s="205"/>
      <c r="DO14" s="205"/>
      <c r="DP14" s="205"/>
      <c r="DQ14" s="205"/>
      <c r="DR14" s="205"/>
      <c r="DS14" s="206"/>
      <c r="DT14" s="206"/>
      <c r="DU14" s="206"/>
      <c r="DV14" s="50"/>
      <c r="DW14" s="324"/>
      <c r="DX14" s="325"/>
      <c r="DY14" s="174"/>
    </row>
    <row r="15" spans="1:132" ht="52" hidden="1" x14ac:dyDescent="0.3">
      <c r="A15" s="19">
        <v>1</v>
      </c>
      <c r="B15" s="40" t="s">
        <v>15</v>
      </c>
      <c r="C15" s="381" t="s">
        <v>70</v>
      </c>
      <c r="D15" s="40" t="s">
        <v>524</v>
      </c>
      <c r="E15" s="10" t="s">
        <v>1175</v>
      </c>
      <c r="F15" s="40" t="s">
        <v>12</v>
      </c>
      <c r="G15" s="43">
        <v>1</v>
      </c>
      <c r="H15" s="43">
        <v>10</v>
      </c>
      <c r="I15" s="347">
        <v>7688001</v>
      </c>
      <c r="J15" s="347">
        <f>I15*G15*H15</f>
        <v>76880010</v>
      </c>
      <c r="K15" s="347"/>
      <c r="L15" s="347"/>
      <c r="M15" s="347"/>
      <c r="N15" s="347"/>
      <c r="O15" s="348"/>
      <c r="P15" s="409"/>
      <c r="Q15" s="46"/>
      <c r="R15" s="46"/>
      <c r="S15" s="46"/>
      <c r="T15" s="46"/>
      <c r="U15" s="46"/>
      <c r="V15" s="46"/>
      <c r="W15" s="46"/>
      <c r="X15" s="46"/>
      <c r="Y15" s="46"/>
      <c r="Z15" s="46"/>
      <c r="AA15" s="46"/>
      <c r="AB15" s="46"/>
      <c r="AC15" s="46"/>
      <c r="AD15" s="46"/>
      <c r="AE15" s="46"/>
      <c r="AF15" s="46"/>
      <c r="AG15" s="46"/>
      <c r="AH15" s="46"/>
      <c r="AI15" s="46"/>
      <c r="AJ15" s="46"/>
      <c r="AK15" s="46"/>
      <c r="AL15" s="46"/>
      <c r="AM15" s="46"/>
      <c r="AN15" s="46"/>
      <c r="AO15" s="46"/>
      <c r="AP15" s="46"/>
      <c r="AQ15" s="46"/>
      <c r="AR15" s="46"/>
      <c r="AS15" s="46"/>
      <c r="AT15" s="46"/>
      <c r="AU15" s="46"/>
      <c r="AV15" s="46"/>
      <c r="AW15" s="46"/>
      <c r="AX15" s="46"/>
      <c r="AY15" s="46"/>
      <c r="AZ15" s="46"/>
      <c r="BA15" s="46"/>
      <c r="BB15" s="46"/>
      <c r="BC15" s="46"/>
      <c r="BD15" s="46"/>
      <c r="BE15" s="46"/>
      <c r="BF15" s="46"/>
      <c r="BG15" s="46"/>
      <c r="BH15" s="46"/>
      <c r="BI15" s="46"/>
      <c r="BJ15" s="46"/>
      <c r="BK15" s="350"/>
      <c r="BL15" s="46"/>
      <c r="BM15" s="350"/>
      <c r="BN15" s="46"/>
      <c r="BO15" s="46"/>
      <c r="BP15" s="46"/>
      <c r="BQ15" s="46"/>
      <c r="BR15" s="46"/>
      <c r="BS15" s="46"/>
      <c r="BT15" s="46"/>
      <c r="BU15" s="46"/>
      <c r="BV15" s="46"/>
      <c r="BW15" s="46"/>
      <c r="BX15" s="46"/>
      <c r="BY15" s="46"/>
      <c r="BZ15" s="46"/>
      <c r="CA15" s="46"/>
      <c r="CB15" s="46"/>
      <c r="CC15" s="46"/>
      <c r="CD15" s="46"/>
      <c r="CE15" s="46"/>
      <c r="CF15" s="46"/>
      <c r="CG15" s="46"/>
      <c r="CH15" s="46"/>
      <c r="CI15" s="46"/>
      <c r="CJ15" s="46"/>
      <c r="CK15" s="46"/>
      <c r="CL15" s="46"/>
      <c r="CM15" s="46"/>
      <c r="CN15" s="46"/>
      <c r="CO15" s="46"/>
      <c r="CP15" s="46"/>
      <c r="CQ15" s="46"/>
      <c r="CR15" s="46"/>
      <c r="CS15" s="46"/>
      <c r="CT15" s="46"/>
      <c r="CU15" s="46"/>
      <c r="CV15" s="46"/>
      <c r="CW15" s="46"/>
      <c r="CX15" s="46"/>
      <c r="CY15" s="46"/>
      <c r="CZ15" s="46"/>
      <c r="DA15" s="46"/>
      <c r="DB15" s="46"/>
      <c r="DC15" s="46"/>
      <c r="DD15" s="46"/>
      <c r="DE15" s="46"/>
      <c r="DF15" s="46"/>
      <c r="DG15" s="46"/>
      <c r="DH15" s="46"/>
      <c r="DI15" s="46"/>
      <c r="DJ15" s="46"/>
      <c r="DK15" s="46"/>
      <c r="DL15" s="46"/>
      <c r="DM15" s="46"/>
      <c r="DN15" s="46"/>
      <c r="DO15" s="46"/>
      <c r="DP15" s="46"/>
      <c r="DQ15" s="46"/>
      <c r="DR15" s="46"/>
      <c r="DS15" s="350"/>
      <c r="DT15" s="350"/>
      <c r="DU15" s="350"/>
      <c r="DV15" s="380"/>
      <c r="DW15" s="374">
        <f>I15</f>
        <v>7688001</v>
      </c>
      <c r="DX15" s="65">
        <f>+ROUND(DW15*G15*H15,0)</f>
        <v>76880010</v>
      </c>
      <c r="DY15" s="362" t="s">
        <v>323</v>
      </c>
    </row>
    <row r="16" spans="1:132" ht="79" hidden="1" customHeight="1" x14ac:dyDescent="0.3">
      <c r="A16" s="19">
        <v>2</v>
      </c>
      <c r="B16" s="9" t="s">
        <v>15</v>
      </c>
      <c r="C16" s="93" t="s">
        <v>70</v>
      </c>
      <c r="D16" s="9" t="s">
        <v>16</v>
      </c>
      <c r="E16" s="10" t="s">
        <v>1175</v>
      </c>
      <c r="F16" s="9" t="s">
        <v>14</v>
      </c>
      <c r="G16" s="11">
        <v>1</v>
      </c>
      <c r="H16" s="11">
        <v>10</v>
      </c>
      <c r="I16" s="340">
        <v>7688001</v>
      </c>
      <c r="J16" s="340">
        <f>I16*G16*H16</f>
        <v>76880010</v>
      </c>
      <c r="K16" s="340"/>
      <c r="L16" s="340"/>
      <c r="M16" s="340"/>
      <c r="N16" s="340"/>
      <c r="O16" s="341"/>
      <c r="P16" s="410"/>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343"/>
      <c r="BL16" s="25"/>
      <c r="BM16" s="343"/>
      <c r="BN16" s="25"/>
      <c r="BO16" s="25"/>
      <c r="BP16" s="25"/>
      <c r="BQ16" s="25"/>
      <c r="BR16" s="25"/>
      <c r="BS16" s="25"/>
      <c r="BT16" s="25"/>
      <c r="BU16" s="25"/>
      <c r="BV16" s="25"/>
      <c r="BW16" s="25"/>
      <c r="BX16" s="25"/>
      <c r="BY16" s="25"/>
      <c r="BZ16" s="25"/>
      <c r="CA16" s="25"/>
      <c r="CB16" s="25"/>
      <c r="CC16" s="25"/>
      <c r="CD16" s="25"/>
      <c r="CE16" s="25"/>
      <c r="CF16" s="25"/>
      <c r="CG16" s="25"/>
      <c r="CH16" s="25"/>
      <c r="CI16" s="25"/>
      <c r="CJ16" s="25"/>
      <c r="CK16" s="25"/>
      <c r="CL16" s="25"/>
      <c r="CM16" s="25"/>
      <c r="CN16" s="25"/>
      <c r="CO16" s="25"/>
      <c r="CP16" s="25"/>
      <c r="CQ16" s="25"/>
      <c r="CR16" s="25"/>
      <c r="CS16" s="25"/>
      <c r="CT16" s="25"/>
      <c r="CU16" s="25"/>
      <c r="CV16" s="25"/>
      <c r="CW16" s="25"/>
      <c r="CX16" s="25"/>
      <c r="CY16" s="25"/>
      <c r="CZ16" s="25"/>
      <c r="DA16" s="25"/>
      <c r="DB16" s="25"/>
      <c r="DC16" s="25"/>
      <c r="DD16" s="25"/>
      <c r="DE16" s="25"/>
      <c r="DF16" s="25"/>
      <c r="DG16" s="25"/>
      <c r="DH16" s="25"/>
      <c r="DI16" s="25"/>
      <c r="DJ16" s="25"/>
      <c r="DK16" s="25"/>
      <c r="DL16" s="25"/>
      <c r="DM16" s="25"/>
      <c r="DN16" s="25"/>
      <c r="DO16" s="25"/>
      <c r="DP16" s="25"/>
      <c r="DQ16" s="25"/>
      <c r="DR16" s="25"/>
      <c r="DS16" s="343"/>
      <c r="DT16" s="343"/>
      <c r="DU16" s="343"/>
      <c r="DV16" s="12"/>
      <c r="DW16" s="371">
        <f>I16</f>
        <v>7688001</v>
      </c>
      <c r="DX16" s="13">
        <f>+ROUND(DW16*G16*H16,0)</f>
        <v>76880010</v>
      </c>
      <c r="DY16" s="161" t="s">
        <v>323</v>
      </c>
    </row>
    <row r="17" spans="1:132" ht="52" hidden="1" x14ac:dyDescent="0.3">
      <c r="A17" s="19">
        <v>3</v>
      </c>
      <c r="B17" s="9" t="s">
        <v>15</v>
      </c>
      <c r="C17" s="91" t="s">
        <v>101</v>
      </c>
      <c r="D17" s="20" t="s">
        <v>418</v>
      </c>
      <c r="E17" s="10" t="s">
        <v>1175</v>
      </c>
      <c r="F17" s="19" t="s">
        <v>14</v>
      </c>
      <c r="G17" s="21">
        <v>1</v>
      </c>
      <c r="H17" s="11">
        <v>10</v>
      </c>
      <c r="I17" s="340">
        <v>7688000</v>
      </c>
      <c r="J17" s="340">
        <f>I17*G17*H17</f>
        <v>76880000</v>
      </c>
      <c r="K17" s="340"/>
      <c r="L17" s="340"/>
      <c r="M17" s="340"/>
      <c r="N17" s="340"/>
      <c r="O17" s="341"/>
      <c r="P17" s="342"/>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343"/>
      <c r="BL17" s="25"/>
      <c r="BM17" s="343"/>
      <c r="BN17" s="25"/>
      <c r="BO17" s="25"/>
      <c r="BP17" s="25"/>
      <c r="BQ17" s="25"/>
      <c r="BR17" s="25"/>
      <c r="BS17" s="25"/>
      <c r="BT17" s="25"/>
      <c r="BU17" s="25"/>
      <c r="BV17" s="25"/>
      <c r="BW17" s="25"/>
      <c r="BX17" s="25"/>
      <c r="BY17" s="25"/>
      <c r="BZ17" s="25"/>
      <c r="CA17" s="25"/>
      <c r="CB17" s="25"/>
      <c r="CC17" s="25"/>
      <c r="CD17" s="25"/>
      <c r="CE17" s="25"/>
      <c r="CF17" s="25"/>
      <c r="CG17" s="25"/>
      <c r="CH17" s="25"/>
      <c r="CI17" s="25"/>
      <c r="CJ17" s="25"/>
      <c r="CK17" s="25"/>
      <c r="CL17" s="25"/>
      <c r="CM17" s="25"/>
      <c r="CN17" s="25"/>
      <c r="CO17" s="25"/>
      <c r="CP17" s="25"/>
      <c r="CQ17" s="25"/>
      <c r="CR17" s="25"/>
      <c r="CS17" s="25"/>
      <c r="CT17" s="25"/>
      <c r="CU17" s="25"/>
      <c r="CV17" s="25"/>
      <c r="CW17" s="25"/>
      <c r="CX17" s="25"/>
      <c r="CY17" s="25"/>
      <c r="CZ17" s="25"/>
      <c r="DA17" s="25"/>
      <c r="DB17" s="25"/>
      <c r="DC17" s="25"/>
      <c r="DD17" s="25"/>
      <c r="DE17" s="25"/>
      <c r="DF17" s="25"/>
      <c r="DG17" s="25"/>
      <c r="DH17" s="25"/>
      <c r="DI17" s="25"/>
      <c r="DJ17" s="25"/>
      <c r="DK17" s="25"/>
      <c r="DL17" s="25"/>
      <c r="DM17" s="25"/>
      <c r="DN17" s="25"/>
      <c r="DO17" s="25"/>
      <c r="DP17" s="25"/>
      <c r="DQ17" s="25"/>
      <c r="DR17" s="25"/>
      <c r="DS17" s="13"/>
      <c r="DT17" s="13"/>
      <c r="DU17" s="13"/>
      <c r="DV17" s="17"/>
      <c r="DW17" s="371">
        <f>I17</f>
        <v>7688000</v>
      </c>
      <c r="DX17" s="13">
        <f>+ROUND(DW17*G17*H17,0)</f>
        <v>76880000</v>
      </c>
      <c r="DY17" s="161" t="s">
        <v>323</v>
      </c>
    </row>
    <row r="18" spans="1:132" ht="78" hidden="1" x14ac:dyDescent="0.3">
      <c r="A18" s="19">
        <v>4</v>
      </c>
      <c r="B18" s="9" t="s">
        <v>15</v>
      </c>
      <c r="C18" s="93" t="s">
        <v>70</v>
      </c>
      <c r="D18" s="9" t="s">
        <v>419</v>
      </c>
      <c r="E18" s="10" t="s">
        <v>1175</v>
      </c>
      <c r="F18" s="9" t="s">
        <v>14</v>
      </c>
      <c r="G18" s="11">
        <v>2</v>
      </c>
      <c r="H18" s="11">
        <v>10</v>
      </c>
      <c r="I18" s="340">
        <f>3100001+((12/24)*(3500000-3100001))</f>
        <v>3300000.5</v>
      </c>
      <c r="J18" s="340">
        <f>I18*G18*H18</f>
        <v>66000010</v>
      </c>
      <c r="K18" s="340"/>
      <c r="L18" s="340"/>
      <c r="M18" s="340"/>
      <c r="N18" s="340"/>
      <c r="O18" s="341"/>
      <c r="P18" s="410"/>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343"/>
      <c r="BL18" s="25"/>
      <c r="BM18" s="343"/>
      <c r="BN18" s="25"/>
      <c r="BO18" s="25"/>
      <c r="BP18" s="25"/>
      <c r="BQ18" s="25"/>
      <c r="BR18" s="25"/>
      <c r="BS18" s="25"/>
      <c r="BT18" s="25"/>
      <c r="BU18" s="25"/>
      <c r="BV18" s="25"/>
      <c r="BW18" s="25"/>
      <c r="BX18" s="25"/>
      <c r="BY18" s="25"/>
      <c r="BZ18" s="25"/>
      <c r="CA18" s="25"/>
      <c r="CB18" s="25"/>
      <c r="CC18" s="25"/>
      <c r="CD18" s="25"/>
      <c r="CE18" s="25"/>
      <c r="CF18" s="25"/>
      <c r="CG18" s="25"/>
      <c r="CH18" s="25"/>
      <c r="CI18" s="25"/>
      <c r="CJ18" s="25"/>
      <c r="CK18" s="25"/>
      <c r="CL18" s="25"/>
      <c r="CM18" s="25"/>
      <c r="CN18" s="25"/>
      <c r="CO18" s="25"/>
      <c r="CP18" s="25"/>
      <c r="CQ18" s="25"/>
      <c r="CR18" s="25"/>
      <c r="CS18" s="25"/>
      <c r="CT18" s="25"/>
      <c r="CU18" s="25"/>
      <c r="CV18" s="25"/>
      <c r="CW18" s="25"/>
      <c r="CX18" s="25"/>
      <c r="CY18" s="25"/>
      <c r="CZ18" s="25"/>
      <c r="DA18" s="25"/>
      <c r="DB18" s="25"/>
      <c r="DC18" s="25"/>
      <c r="DD18" s="25"/>
      <c r="DE18" s="25"/>
      <c r="DF18" s="25"/>
      <c r="DG18" s="25"/>
      <c r="DH18" s="25"/>
      <c r="DI18" s="25"/>
      <c r="DJ18" s="25"/>
      <c r="DK18" s="25"/>
      <c r="DL18" s="25"/>
      <c r="DM18" s="25"/>
      <c r="DN18" s="25"/>
      <c r="DO18" s="25"/>
      <c r="DP18" s="25"/>
      <c r="DQ18" s="25"/>
      <c r="DR18" s="25"/>
      <c r="DS18" s="343"/>
      <c r="DT18" s="343"/>
      <c r="DU18" s="343"/>
      <c r="DV18" s="12"/>
      <c r="DW18" s="371">
        <f>I18</f>
        <v>3300000.5</v>
      </c>
      <c r="DX18" s="13">
        <f>+ROUND(DW18*G18*H18,0)</f>
        <v>66000010</v>
      </c>
      <c r="DY18" s="161" t="s">
        <v>323</v>
      </c>
    </row>
    <row r="19" spans="1:132" ht="78" hidden="1" x14ac:dyDescent="0.3">
      <c r="A19" s="19">
        <v>5</v>
      </c>
      <c r="B19" s="14" t="s">
        <v>15</v>
      </c>
      <c r="C19" s="382" t="s">
        <v>70</v>
      </c>
      <c r="D19" s="14" t="s">
        <v>420</v>
      </c>
      <c r="E19" s="10" t="s">
        <v>1175</v>
      </c>
      <c r="F19" s="14" t="s">
        <v>14</v>
      </c>
      <c r="G19" s="15">
        <v>2</v>
      </c>
      <c r="H19" s="15">
        <v>10</v>
      </c>
      <c r="I19" s="411">
        <v>2063001</v>
      </c>
      <c r="J19" s="411">
        <f>I19*G19*H19</f>
        <v>41260020</v>
      </c>
      <c r="K19" s="411"/>
      <c r="L19" s="411"/>
      <c r="M19" s="411"/>
      <c r="N19" s="411"/>
      <c r="O19" s="412"/>
      <c r="P19" s="413"/>
      <c r="Q19" s="58"/>
      <c r="R19" s="58"/>
      <c r="S19" s="58"/>
      <c r="T19" s="58"/>
      <c r="U19" s="58"/>
      <c r="V19" s="58"/>
      <c r="W19" s="58"/>
      <c r="X19" s="58"/>
      <c r="Y19" s="58"/>
      <c r="Z19" s="58"/>
      <c r="AA19" s="58"/>
      <c r="AB19" s="58"/>
      <c r="AC19" s="58"/>
      <c r="AD19" s="58"/>
      <c r="AE19" s="58"/>
      <c r="AF19" s="58"/>
      <c r="AG19" s="58"/>
      <c r="AH19" s="58"/>
      <c r="AI19" s="58"/>
      <c r="AJ19" s="58"/>
      <c r="AK19" s="58"/>
      <c r="AL19" s="58"/>
      <c r="AM19" s="58"/>
      <c r="AN19" s="58"/>
      <c r="AO19" s="58"/>
      <c r="AP19" s="58"/>
      <c r="AQ19" s="58"/>
      <c r="AR19" s="58"/>
      <c r="AS19" s="58"/>
      <c r="AT19" s="58"/>
      <c r="AU19" s="58"/>
      <c r="AV19" s="58"/>
      <c r="AW19" s="58"/>
      <c r="AX19" s="58"/>
      <c r="AY19" s="58"/>
      <c r="AZ19" s="58"/>
      <c r="BA19" s="58"/>
      <c r="BB19" s="58"/>
      <c r="BC19" s="58"/>
      <c r="BD19" s="58"/>
      <c r="BE19" s="58"/>
      <c r="BF19" s="58"/>
      <c r="BG19" s="58"/>
      <c r="BH19" s="58"/>
      <c r="BI19" s="58"/>
      <c r="BJ19" s="58"/>
      <c r="BK19" s="414"/>
      <c r="BL19" s="58"/>
      <c r="BM19" s="414"/>
      <c r="BN19" s="58"/>
      <c r="BO19" s="58"/>
      <c r="BP19" s="58"/>
      <c r="BQ19" s="58"/>
      <c r="BR19" s="58"/>
      <c r="BS19" s="58"/>
      <c r="BT19" s="58"/>
      <c r="BU19" s="58"/>
      <c r="BV19" s="58"/>
      <c r="BW19" s="58"/>
      <c r="BX19" s="58"/>
      <c r="BY19" s="58"/>
      <c r="BZ19" s="58"/>
      <c r="CA19" s="58"/>
      <c r="CB19" s="58"/>
      <c r="CC19" s="58"/>
      <c r="CD19" s="58"/>
      <c r="CE19" s="58"/>
      <c r="CF19" s="58"/>
      <c r="CG19" s="58"/>
      <c r="CH19" s="58"/>
      <c r="CI19" s="58"/>
      <c r="CJ19" s="58"/>
      <c r="CK19" s="58"/>
      <c r="CL19" s="58"/>
      <c r="CM19" s="58"/>
      <c r="CN19" s="58"/>
      <c r="CO19" s="58"/>
      <c r="CP19" s="58"/>
      <c r="CQ19" s="58"/>
      <c r="CR19" s="58"/>
      <c r="CS19" s="58"/>
      <c r="CT19" s="58"/>
      <c r="CU19" s="58"/>
      <c r="CV19" s="58"/>
      <c r="CW19" s="58"/>
      <c r="CX19" s="58"/>
      <c r="CY19" s="58"/>
      <c r="CZ19" s="58"/>
      <c r="DA19" s="58"/>
      <c r="DB19" s="58"/>
      <c r="DC19" s="58"/>
      <c r="DD19" s="58"/>
      <c r="DE19" s="58"/>
      <c r="DF19" s="58"/>
      <c r="DG19" s="58"/>
      <c r="DH19" s="58"/>
      <c r="DI19" s="58"/>
      <c r="DJ19" s="58"/>
      <c r="DK19" s="58"/>
      <c r="DL19" s="58"/>
      <c r="DM19" s="58"/>
      <c r="DN19" s="58"/>
      <c r="DO19" s="58"/>
      <c r="DP19" s="58"/>
      <c r="DQ19" s="58"/>
      <c r="DR19" s="58"/>
      <c r="DS19" s="414"/>
      <c r="DT19" s="414"/>
      <c r="DU19" s="414"/>
      <c r="DV19" s="16"/>
      <c r="DW19" s="371">
        <f>I136</f>
        <v>1812869.5652173914</v>
      </c>
      <c r="DX19" s="73">
        <f>+ROUND(DW19*G19*H19,0)</f>
        <v>36257391</v>
      </c>
      <c r="DY19" s="162" t="s">
        <v>323</v>
      </c>
    </row>
    <row r="20" spans="1:132" s="63" customFormat="1" hidden="1" x14ac:dyDescent="0.3">
      <c r="A20" s="66" t="s">
        <v>350</v>
      </c>
      <c r="B20" s="66"/>
      <c r="C20" s="66"/>
      <c r="D20" s="66"/>
      <c r="E20" s="66"/>
      <c r="F20" s="67"/>
      <c r="G20" s="67"/>
      <c r="H20" s="67"/>
      <c r="I20" s="214"/>
      <c r="J20" s="214"/>
      <c r="K20" s="214"/>
      <c r="L20" s="214"/>
      <c r="M20" s="214"/>
      <c r="N20" s="214"/>
      <c r="O20" s="215"/>
      <c r="P20" s="215"/>
      <c r="Q20" s="215"/>
      <c r="R20" s="215"/>
      <c r="S20" s="215"/>
      <c r="T20" s="215"/>
      <c r="U20" s="215"/>
      <c r="V20" s="215"/>
      <c r="W20" s="215"/>
      <c r="X20" s="215"/>
      <c r="Y20" s="215"/>
      <c r="Z20" s="215"/>
      <c r="AA20" s="215"/>
      <c r="AB20" s="215"/>
      <c r="AC20" s="215"/>
      <c r="AD20" s="215"/>
      <c r="AE20" s="215"/>
      <c r="AF20" s="215"/>
      <c r="AG20" s="215"/>
      <c r="AH20" s="215"/>
      <c r="AI20" s="215"/>
      <c r="AJ20" s="215"/>
      <c r="AK20" s="215"/>
      <c r="AL20" s="215"/>
      <c r="AM20" s="215"/>
      <c r="AN20" s="215"/>
      <c r="AO20" s="215"/>
      <c r="AP20" s="215"/>
      <c r="AQ20" s="215"/>
      <c r="AR20" s="215"/>
      <c r="AS20" s="215"/>
      <c r="AT20" s="215"/>
      <c r="AU20" s="215"/>
      <c r="AV20" s="215"/>
      <c r="AW20" s="215"/>
      <c r="AX20" s="215"/>
      <c r="AY20" s="215"/>
      <c r="AZ20" s="215"/>
      <c r="BA20" s="215"/>
      <c r="BB20" s="215"/>
      <c r="BC20" s="215"/>
      <c r="BD20" s="215"/>
      <c r="BE20" s="215"/>
      <c r="BF20" s="215"/>
      <c r="BG20" s="215"/>
      <c r="BH20" s="215"/>
      <c r="BI20" s="215"/>
      <c r="BJ20" s="215"/>
      <c r="BK20" s="215"/>
      <c r="BL20" s="216"/>
      <c r="BM20" s="215"/>
      <c r="BN20" s="216"/>
      <c r="BO20" s="216"/>
      <c r="BP20" s="216"/>
      <c r="BQ20" s="216"/>
      <c r="BR20" s="216"/>
      <c r="BS20" s="216"/>
      <c r="BT20" s="216"/>
      <c r="BU20" s="216"/>
      <c r="BV20" s="216"/>
      <c r="BW20" s="216"/>
      <c r="BX20" s="216"/>
      <c r="BY20" s="216"/>
      <c r="BZ20" s="216"/>
      <c r="CA20" s="216"/>
      <c r="CB20" s="216"/>
      <c r="CC20" s="216"/>
      <c r="CD20" s="216"/>
      <c r="CE20" s="216"/>
      <c r="CF20" s="216"/>
      <c r="CG20" s="216"/>
      <c r="CH20" s="216"/>
      <c r="CI20" s="216"/>
      <c r="CJ20" s="216"/>
      <c r="CK20" s="216"/>
      <c r="CL20" s="216"/>
      <c r="CM20" s="216"/>
      <c r="CN20" s="216"/>
      <c r="CO20" s="216"/>
      <c r="CP20" s="216"/>
      <c r="CQ20" s="216"/>
      <c r="CR20" s="216"/>
      <c r="CS20" s="216"/>
      <c r="CT20" s="216"/>
      <c r="CU20" s="216"/>
      <c r="CV20" s="216"/>
      <c r="CW20" s="216"/>
      <c r="CX20" s="216"/>
      <c r="CY20" s="216"/>
      <c r="CZ20" s="216"/>
      <c r="DA20" s="216"/>
      <c r="DB20" s="216"/>
      <c r="DC20" s="216"/>
      <c r="DD20" s="216"/>
      <c r="DE20" s="216"/>
      <c r="DF20" s="216"/>
      <c r="DG20" s="216"/>
      <c r="DH20" s="216"/>
      <c r="DI20" s="216"/>
      <c r="DJ20" s="216"/>
      <c r="DK20" s="216"/>
      <c r="DL20" s="216"/>
      <c r="DM20" s="216"/>
      <c r="DN20" s="216"/>
      <c r="DO20" s="216"/>
      <c r="DP20" s="216"/>
      <c r="DQ20" s="216"/>
      <c r="DR20" s="216"/>
      <c r="DS20" s="215"/>
      <c r="DT20" s="215"/>
      <c r="DU20" s="215"/>
      <c r="DV20" s="68"/>
      <c r="DW20" s="69">
        <f>SUM(DW15:DW19)</f>
        <v>28176872.065217391</v>
      </c>
      <c r="DX20" s="69">
        <f>SUM(DX15:DX19)</f>
        <v>332897421</v>
      </c>
      <c r="DY20" s="165"/>
      <c r="DZ20" s="609"/>
      <c r="EA20" s="609"/>
      <c r="EB20" s="609"/>
    </row>
    <row r="21" spans="1:132" ht="117" hidden="1" x14ac:dyDescent="0.3">
      <c r="A21" s="415">
        <v>6</v>
      </c>
      <c r="B21" s="433" t="s">
        <v>15</v>
      </c>
      <c r="C21" s="433" t="s">
        <v>349</v>
      </c>
      <c r="D21" s="433" t="s">
        <v>348</v>
      </c>
      <c r="E21" s="434" t="s">
        <v>461</v>
      </c>
      <c r="F21" s="433" t="s">
        <v>28</v>
      </c>
      <c r="G21" s="435">
        <v>1</v>
      </c>
      <c r="H21" s="435"/>
      <c r="I21" s="436"/>
      <c r="J21" s="436"/>
      <c r="K21" s="436"/>
      <c r="L21" s="436"/>
      <c r="M21" s="436"/>
      <c r="N21" s="436"/>
      <c r="O21" s="437"/>
      <c r="P21" s="438"/>
      <c r="Q21" s="439"/>
      <c r="R21" s="439"/>
      <c r="S21" s="439"/>
      <c r="T21" s="439"/>
      <c r="U21" s="439"/>
      <c r="V21" s="439"/>
      <c r="W21" s="439"/>
      <c r="X21" s="439"/>
      <c r="Y21" s="439"/>
      <c r="Z21" s="439"/>
      <c r="AA21" s="439"/>
      <c r="AB21" s="439"/>
      <c r="AC21" s="439"/>
      <c r="AD21" s="439"/>
      <c r="AE21" s="439"/>
      <c r="AF21" s="439"/>
      <c r="AG21" s="439"/>
      <c r="AH21" s="439"/>
      <c r="AI21" s="439"/>
      <c r="AJ21" s="439"/>
      <c r="AK21" s="439"/>
      <c r="AL21" s="439"/>
      <c r="AM21" s="439"/>
      <c r="AN21" s="439"/>
      <c r="AO21" s="439"/>
      <c r="AP21" s="439"/>
      <c r="AQ21" s="439"/>
      <c r="AR21" s="439"/>
      <c r="AS21" s="439"/>
      <c r="AT21" s="439"/>
      <c r="AU21" s="439"/>
      <c r="AV21" s="439"/>
      <c r="AW21" s="439"/>
      <c r="AX21" s="439"/>
      <c r="AY21" s="439"/>
      <c r="AZ21" s="439"/>
      <c r="BA21" s="439"/>
      <c r="BB21" s="439"/>
      <c r="BC21" s="439"/>
      <c r="BD21" s="439"/>
      <c r="BE21" s="439"/>
      <c r="BF21" s="439"/>
      <c r="BG21" s="439"/>
      <c r="BH21" s="439"/>
      <c r="BI21" s="439"/>
      <c r="BJ21" s="439"/>
      <c r="BK21" s="440"/>
      <c r="BL21" s="439"/>
      <c r="BM21" s="440"/>
      <c r="BN21" s="439"/>
      <c r="BO21" s="439"/>
      <c r="BP21" s="439"/>
      <c r="BQ21" s="439"/>
      <c r="BR21" s="439"/>
      <c r="BS21" s="439"/>
      <c r="BT21" s="439"/>
      <c r="BU21" s="439"/>
      <c r="BV21" s="439"/>
      <c r="BW21" s="439"/>
      <c r="BX21" s="439"/>
      <c r="BY21" s="439"/>
      <c r="BZ21" s="439"/>
      <c r="CA21" s="439"/>
      <c r="CB21" s="439"/>
      <c r="CC21" s="439"/>
      <c r="CD21" s="439"/>
      <c r="CE21" s="439"/>
      <c r="CF21" s="439"/>
      <c r="CG21" s="439"/>
      <c r="CH21" s="439"/>
      <c r="CI21" s="439"/>
      <c r="CJ21" s="439"/>
      <c r="CK21" s="439"/>
      <c r="CL21" s="439"/>
      <c r="CM21" s="439"/>
      <c r="CN21" s="439"/>
      <c r="CO21" s="439"/>
      <c r="CP21" s="439"/>
      <c r="CQ21" s="439"/>
      <c r="CR21" s="439"/>
      <c r="CS21" s="439"/>
      <c r="CT21" s="439"/>
      <c r="CU21" s="439"/>
      <c r="CV21" s="439"/>
      <c r="CW21" s="441"/>
      <c r="CX21" s="439"/>
      <c r="CY21" s="441"/>
      <c r="CZ21" s="439"/>
      <c r="DA21" s="439"/>
      <c r="DB21" s="439"/>
      <c r="DC21" s="441"/>
      <c r="DD21" s="439"/>
      <c r="DE21" s="439"/>
      <c r="DF21" s="439"/>
      <c r="DG21" s="439"/>
      <c r="DH21" s="439"/>
      <c r="DI21" s="439"/>
      <c r="DJ21" s="439"/>
      <c r="DK21" s="439"/>
      <c r="DL21" s="439"/>
      <c r="DM21" s="439"/>
      <c r="DN21" s="439"/>
      <c r="DO21" s="439"/>
      <c r="DP21" s="439"/>
      <c r="DQ21" s="439"/>
      <c r="DR21" s="439"/>
      <c r="DS21" s="440"/>
      <c r="DT21" s="440"/>
      <c r="DU21" s="440"/>
      <c r="DV21" s="442"/>
      <c r="DW21" s="443">
        <v>28483450.199999802</v>
      </c>
      <c r="DX21" s="444">
        <f>+DW21</f>
        <v>28483450.199999802</v>
      </c>
      <c r="DY21" s="445" t="s">
        <v>526</v>
      </c>
      <c r="DZ21" s="610"/>
      <c r="EB21" s="610"/>
    </row>
    <row r="22" spans="1:132" s="63" customFormat="1" hidden="1" x14ac:dyDescent="0.3">
      <c r="A22" s="66" t="s">
        <v>351</v>
      </c>
      <c r="B22" s="66"/>
      <c r="C22" s="66"/>
      <c r="D22" s="66"/>
      <c r="E22" s="66"/>
      <c r="F22" s="67"/>
      <c r="G22" s="67"/>
      <c r="H22" s="67"/>
      <c r="I22" s="214"/>
      <c r="J22" s="214"/>
      <c r="K22" s="214"/>
      <c r="L22" s="214"/>
      <c r="M22" s="214"/>
      <c r="N22" s="214"/>
      <c r="O22" s="215"/>
      <c r="P22" s="215"/>
      <c r="Q22" s="215"/>
      <c r="R22" s="215"/>
      <c r="S22" s="215"/>
      <c r="T22" s="215"/>
      <c r="U22" s="215"/>
      <c r="V22" s="215"/>
      <c r="W22" s="215"/>
      <c r="X22" s="215"/>
      <c r="Y22" s="215"/>
      <c r="Z22" s="215"/>
      <c r="AA22" s="215"/>
      <c r="AB22" s="215"/>
      <c r="AC22" s="215"/>
      <c r="AD22" s="215"/>
      <c r="AE22" s="215"/>
      <c r="AF22" s="215"/>
      <c r="AG22" s="215"/>
      <c r="AH22" s="215"/>
      <c r="AI22" s="215"/>
      <c r="AJ22" s="215"/>
      <c r="AK22" s="215"/>
      <c r="AL22" s="215"/>
      <c r="AM22" s="215"/>
      <c r="AN22" s="215"/>
      <c r="AO22" s="215"/>
      <c r="AP22" s="215"/>
      <c r="AQ22" s="215"/>
      <c r="AR22" s="215"/>
      <c r="AS22" s="215"/>
      <c r="AT22" s="215"/>
      <c r="AU22" s="215"/>
      <c r="AV22" s="215"/>
      <c r="AW22" s="215"/>
      <c r="AX22" s="215"/>
      <c r="AY22" s="215"/>
      <c r="AZ22" s="215"/>
      <c r="BA22" s="215"/>
      <c r="BB22" s="215"/>
      <c r="BC22" s="215"/>
      <c r="BD22" s="215"/>
      <c r="BE22" s="215"/>
      <c r="BF22" s="215"/>
      <c r="BG22" s="215"/>
      <c r="BH22" s="215"/>
      <c r="BI22" s="215"/>
      <c r="BJ22" s="215"/>
      <c r="BK22" s="215"/>
      <c r="BL22" s="216"/>
      <c r="BM22" s="215"/>
      <c r="BN22" s="216"/>
      <c r="BO22" s="216"/>
      <c r="BP22" s="216"/>
      <c r="BQ22" s="216"/>
      <c r="BR22" s="216"/>
      <c r="BS22" s="216"/>
      <c r="BT22" s="216"/>
      <c r="BU22" s="216"/>
      <c r="BV22" s="216"/>
      <c r="BW22" s="216"/>
      <c r="BX22" s="216"/>
      <c r="BY22" s="216"/>
      <c r="BZ22" s="216"/>
      <c r="CA22" s="216"/>
      <c r="CB22" s="216"/>
      <c r="CC22" s="216"/>
      <c r="CD22" s="216"/>
      <c r="CE22" s="216"/>
      <c r="CF22" s="216"/>
      <c r="CG22" s="216"/>
      <c r="CH22" s="216"/>
      <c r="CI22" s="216"/>
      <c r="CJ22" s="216"/>
      <c r="CK22" s="216"/>
      <c r="CL22" s="216"/>
      <c r="CM22" s="216"/>
      <c r="CN22" s="216"/>
      <c r="CO22" s="216"/>
      <c r="CP22" s="216"/>
      <c r="CQ22" s="216"/>
      <c r="CR22" s="216"/>
      <c r="CS22" s="216"/>
      <c r="CT22" s="216"/>
      <c r="CU22" s="216"/>
      <c r="CV22" s="216"/>
      <c r="CW22" s="216"/>
      <c r="CX22" s="216"/>
      <c r="CY22" s="216"/>
      <c r="CZ22" s="216"/>
      <c r="DA22" s="216"/>
      <c r="DB22" s="216"/>
      <c r="DC22" s="216"/>
      <c r="DD22" s="216"/>
      <c r="DE22" s="216"/>
      <c r="DF22" s="216"/>
      <c r="DG22" s="216"/>
      <c r="DH22" s="216"/>
      <c r="DI22" s="216"/>
      <c r="DJ22" s="216"/>
      <c r="DK22" s="216"/>
      <c r="DL22" s="216"/>
      <c r="DM22" s="216"/>
      <c r="DN22" s="216"/>
      <c r="DO22" s="216"/>
      <c r="DP22" s="216"/>
      <c r="DQ22" s="216"/>
      <c r="DR22" s="216"/>
      <c r="DS22" s="215"/>
      <c r="DT22" s="215"/>
      <c r="DU22" s="215"/>
      <c r="DV22" s="68"/>
      <c r="DW22" s="69">
        <f>+DW21</f>
        <v>28483450.199999802</v>
      </c>
      <c r="DX22" s="69">
        <f>+DX21</f>
        <v>28483450.199999802</v>
      </c>
      <c r="DY22" s="165"/>
      <c r="DZ22" s="609"/>
      <c r="EA22" s="609"/>
      <c r="EB22" s="609"/>
    </row>
    <row r="23" spans="1:132" ht="182" hidden="1" x14ac:dyDescent="0.3">
      <c r="A23" s="19">
        <v>7</v>
      </c>
      <c r="B23" s="40" t="s">
        <v>15</v>
      </c>
      <c r="C23" s="40" t="s">
        <v>71</v>
      </c>
      <c r="D23" s="40" t="s">
        <v>72</v>
      </c>
      <c r="E23" s="42" t="s">
        <v>108</v>
      </c>
      <c r="F23" s="70" t="s">
        <v>17</v>
      </c>
      <c r="G23" s="43">
        <v>150</v>
      </c>
      <c r="H23" s="43">
        <v>1</v>
      </c>
      <c r="I23" s="207"/>
      <c r="J23" s="207"/>
      <c r="K23" s="207"/>
      <c r="L23" s="207"/>
      <c r="M23" s="207"/>
      <c r="N23" s="207"/>
      <c r="O23" s="208"/>
      <c r="P23" s="217"/>
      <c r="Q23" s="209"/>
      <c r="R23" s="209"/>
      <c r="S23" s="209"/>
      <c r="T23" s="209"/>
      <c r="U23" s="209"/>
      <c r="V23" s="209"/>
      <c r="W23" s="209"/>
      <c r="X23" s="209"/>
      <c r="Y23" s="209"/>
      <c r="Z23" s="209"/>
      <c r="AA23" s="209"/>
      <c r="AB23" s="209"/>
      <c r="AC23" s="209"/>
      <c r="AD23" s="209"/>
      <c r="AE23" s="209"/>
      <c r="AF23" s="209"/>
      <c r="AG23" s="209"/>
      <c r="AH23" s="209"/>
      <c r="AI23" s="209"/>
      <c r="AJ23" s="209"/>
      <c r="AK23" s="209"/>
      <c r="AL23" s="209"/>
      <c r="AM23" s="209"/>
      <c r="AN23" s="209"/>
      <c r="AO23" s="209"/>
      <c r="AP23" s="209"/>
      <c r="AQ23" s="209"/>
      <c r="AR23" s="209"/>
      <c r="AS23" s="209"/>
      <c r="AT23" s="209"/>
      <c r="AU23" s="209"/>
      <c r="AV23" s="209"/>
      <c r="AW23" s="209"/>
      <c r="AX23" s="209"/>
      <c r="AY23" s="209"/>
      <c r="AZ23" s="209"/>
      <c r="BA23" s="209"/>
      <c r="BB23" s="209"/>
      <c r="BC23" s="209"/>
      <c r="BD23" s="209"/>
      <c r="BE23" s="209"/>
      <c r="BF23" s="209"/>
      <c r="BG23" s="209"/>
      <c r="BH23" s="209"/>
      <c r="BI23" s="209"/>
      <c r="BJ23" s="209"/>
      <c r="BK23" s="210"/>
      <c r="BL23" s="209"/>
      <c r="BM23" s="210"/>
      <c r="BN23" s="209"/>
      <c r="BO23" s="209"/>
      <c r="BP23" s="209"/>
      <c r="BQ23" s="209"/>
      <c r="BR23" s="209"/>
      <c r="BS23" s="209"/>
      <c r="BT23" s="209"/>
      <c r="BU23" s="209"/>
      <c r="BV23" s="209"/>
      <c r="BW23" s="209"/>
      <c r="BX23" s="209"/>
      <c r="BY23" s="209"/>
      <c r="BZ23" s="209"/>
      <c r="CA23" s="209"/>
      <c r="CB23" s="209"/>
      <c r="CC23" s="209"/>
      <c r="CD23" s="209"/>
      <c r="CE23" s="209"/>
      <c r="CF23" s="209"/>
      <c r="CG23" s="209"/>
      <c r="CH23" s="209"/>
      <c r="CI23" s="209"/>
      <c r="CJ23" s="209"/>
      <c r="CK23" s="209"/>
      <c r="CL23" s="209"/>
      <c r="CM23" s="209"/>
      <c r="CN23" s="209"/>
      <c r="CO23" s="208">
        <v>300000</v>
      </c>
      <c r="CP23" s="209">
        <f>CO23*G23</f>
        <v>45000000</v>
      </c>
      <c r="CQ23" s="209"/>
      <c r="CR23" s="209"/>
      <c r="CS23" s="33"/>
      <c r="CT23" s="46"/>
      <c r="CU23" s="218">
        <v>520000</v>
      </c>
      <c r="CV23" s="46">
        <f>CU23*G23</f>
        <v>78000000</v>
      </c>
      <c r="CW23" s="219"/>
      <c r="CX23" s="46"/>
      <c r="CY23" s="219">
        <v>450000</v>
      </c>
      <c r="CZ23" s="46">
        <f>CY23*G23*H23</f>
        <v>67500000</v>
      </c>
      <c r="DA23" s="46"/>
      <c r="DB23" s="46"/>
      <c r="DC23" s="219"/>
      <c r="DD23" s="46"/>
      <c r="DE23" s="46"/>
      <c r="DF23" s="46"/>
      <c r="DG23" s="46"/>
      <c r="DH23" s="46"/>
      <c r="DI23" s="46"/>
      <c r="DJ23" s="46"/>
      <c r="DK23" s="46"/>
      <c r="DL23" s="46"/>
      <c r="DM23" s="46"/>
      <c r="DN23" s="46"/>
      <c r="DO23" s="46"/>
      <c r="DP23" s="46"/>
      <c r="DQ23" s="46"/>
      <c r="DR23" s="46"/>
      <c r="DS23" s="65">
        <f>+MEDIAN(CO23,CU23,CY23)</f>
        <v>450000</v>
      </c>
      <c r="DT23" s="65">
        <f>+AVERAGE(CO23,CU23,CY23)</f>
        <v>423333.33333333331</v>
      </c>
      <c r="DU23" s="65">
        <f>+STDEV(CO23,CU23,CY23)</f>
        <v>112398.10200058248</v>
      </c>
      <c r="DV23" s="64">
        <f>DU23/DT23</f>
        <v>0.26550732756043105</v>
      </c>
      <c r="DW23" s="375">
        <f>+ROUNDUP(IF(DV23&lt;15%,DT23,DS23),0)</f>
        <v>450000</v>
      </c>
      <c r="DX23" s="65">
        <f t="shared" ref="DX23:DX32" si="0">+ROUND(DW23*G23*H23,0)</f>
        <v>67500000</v>
      </c>
      <c r="DY23" s="42" t="s">
        <v>322</v>
      </c>
      <c r="DZ23" s="610"/>
    </row>
    <row r="24" spans="1:132" ht="91" hidden="1" x14ac:dyDescent="0.3">
      <c r="A24" s="19">
        <v>8</v>
      </c>
      <c r="B24" s="9" t="s">
        <v>15</v>
      </c>
      <c r="C24" s="9" t="s">
        <v>71</v>
      </c>
      <c r="D24" s="9" t="s">
        <v>487</v>
      </c>
      <c r="E24" s="10" t="s">
        <v>109</v>
      </c>
      <c r="F24" s="19" t="s">
        <v>19</v>
      </c>
      <c r="G24" s="11">
        <v>150</v>
      </c>
      <c r="H24" s="11">
        <v>1</v>
      </c>
      <c r="I24" s="220"/>
      <c r="J24" s="220"/>
      <c r="K24" s="220"/>
      <c r="L24" s="220"/>
      <c r="M24" s="220"/>
      <c r="N24" s="220"/>
      <c r="O24" s="221">
        <v>15100</v>
      </c>
      <c r="P24" s="222">
        <f>O24*G24</f>
        <v>2265000</v>
      </c>
      <c r="Q24" s="52">
        <v>18963</v>
      </c>
      <c r="R24" s="223">
        <f>Q24*G24</f>
        <v>2844450</v>
      </c>
      <c r="S24" s="52">
        <v>16832</v>
      </c>
      <c r="T24" s="223">
        <f>S24*G24</f>
        <v>2524800</v>
      </c>
      <c r="U24" s="223"/>
      <c r="V24" s="223"/>
      <c r="W24" s="223"/>
      <c r="X24" s="223"/>
      <c r="Y24" s="223"/>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c r="BI24" s="32"/>
      <c r="BJ24" s="32"/>
      <c r="BK24" s="192"/>
      <c r="BL24" s="32"/>
      <c r="BM24" s="192"/>
      <c r="BN24" s="32"/>
      <c r="BO24" s="32"/>
      <c r="BP24" s="32"/>
      <c r="BQ24" s="32"/>
      <c r="BR24" s="32"/>
      <c r="BS24" s="32"/>
      <c r="BT24" s="32"/>
      <c r="BU24" s="32"/>
      <c r="BV24" s="32"/>
      <c r="BW24" s="32"/>
      <c r="BX24" s="32"/>
      <c r="BY24" s="32"/>
      <c r="BZ24" s="32"/>
      <c r="CA24" s="32"/>
      <c r="CB24" s="32"/>
      <c r="CC24" s="32"/>
      <c r="CD24" s="32"/>
      <c r="CE24" s="32"/>
      <c r="CF24" s="32"/>
      <c r="CG24" s="32"/>
      <c r="CH24" s="32"/>
      <c r="CI24" s="32"/>
      <c r="CJ24" s="32"/>
      <c r="CK24" s="32"/>
      <c r="CL24" s="32"/>
      <c r="CM24" s="32"/>
      <c r="CN24" s="32"/>
      <c r="CO24" s="32"/>
      <c r="CP24" s="32"/>
      <c r="CQ24" s="32"/>
      <c r="CR24" s="32"/>
      <c r="CS24" s="32"/>
      <c r="CT24" s="32"/>
      <c r="CU24" s="32"/>
      <c r="CV24" s="32"/>
      <c r="CW24" s="32"/>
      <c r="CX24" s="32"/>
      <c r="CY24" s="32"/>
      <c r="CZ24" s="32"/>
      <c r="DA24" s="32"/>
      <c r="DB24" s="32"/>
      <c r="DC24" s="32"/>
      <c r="DD24" s="32"/>
      <c r="DE24" s="32"/>
      <c r="DF24" s="32"/>
      <c r="DG24" s="32"/>
      <c r="DH24" s="32"/>
      <c r="DI24" s="32"/>
      <c r="DJ24" s="32"/>
      <c r="DK24" s="32"/>
      <c r="DL24" s="32"/>
      <c r="DM24" s="32"/>
      <c r="DN24" s="32"/>
      <c r="DO24" s="32"/>
      <c r="DP24" s="32"/>
      <c r="DQ24" s="32"/>
      <c r="DR24" s="32"/>
      <c r="DS24" s="13">
        <f>+MEDIAN(O24,Q24,S24)</f>
        <v>16832</v>
      </c>
      <c r="DT24" s="13">
        <f>+AVERAGE(O24,Q24,S24)</f>
        <v>16965</v>
      </c>
      <c r="DU24" s="13">
        <f>+STDEV(O24,Q24,S24)</f>
        <v>1934.9312649290671</v>
      </c>
      <c r="DV24" s="17">
        <f t="shared" ref="DV24:DV100" si="1">DU24/DT24</f>
        <v>0.11405430385670894</v>
      </c>
      <c r="DW24" s="373">
        <f t="shared" ref="DW24:DW100" si="2">+ROUNDUP(IF(DV24&lt;15%,DT24,DS24),0)</f>
        <v>16965</v>
      </c>
      <c r="DX24" s="13">
        <f t="shared" si="0"/>
        <v>2544750</v>
      </c>
      <c r="DY24" s="10" t="s">
        <v>308</v>
      </c>
      <c r="EA24" s="611"/>
    </row>
    <row r="25" spans="1:132" ht="52" hidden="1" x14ac:dyDescent="0.3">
      <c r="A25" s="19">
        <v>9</v>
      </c>
      <c r="B25" s="9" t="s">
        <v>15</v>
      </c>
      <c r="C25" s="9" t="s">
        <v>71</v>
      </c>
      <c r="D25" s="9" t="s">
        <v>500</v>
      </c>
      <c r="E25" s="10" t="s">
        <v>73</v>
      </c>
      <c r="F25" s="19" t="s">
        <v>19</v>
      </c>
      <c r="G25" s="11">
        <v>150</v>
      </c>
      <c r="H25" s="11">
        <v>1</v>
      </c>
      <c r="I25" s="191"/>
      <c r="J25" s="191"/>
      <c r="K25" s="191"/>
      <c r="L25" s="191"/>
      <c r="M25" s="191"/>
      <c r="N25" s="191"/>
      <c r="O25" s="211"/>
      <c r="P25" s="212"/>
      <c r="Q25" s="25">
        <v>14900</v>
      </c>
      <c r="R25" s="223">
        <f>Q25*G25</f>
        <v>2235000</v>
      </c>
      <c r="S25" s="25">
        <v>16523</v>
      </c>
      <c r="T25" s="223">
        <f>S25*G25</f>
        <v>2478450</v>
      </c>
      <c r="U25" s="223"/>
      <c r="V25" s="223"/>
      <c r="W25" s="223"/>
      <c r="X25" s="223"/>
      <c r="Y25" s="223"/>
      <c r="Z25" s="32"/>
      <c r="AA25" s="32"/>
      <c r="AB25" s="32"/>
      <c r="AC25" s="32"/>
      <c r="AD25" s="32"/>
      <c r="AE25" s="32"/>
      <c r="AF25" s="32"/>
      <c r="AG25" s="32"/>
      <c r="AH25" s="32"/>
      <c r="AI25" s="32"/>
      <c r="AJ25" s="32"/>
      <c r="AK25" s="32"/>
      <c r="AL25" s="32"/>
      <c r="AM25" s="32"/>
      <c r="AN25" s="32"/>
      <c r="AO25" s="32"/>
      <c r="AP25" s="32"/>
      <c r="AQ25" s="32"/>
      <c r="AR25" s="32"/>
      <c r="AS25" s="32"/>
      <c r="AT25" s="32"/>
      <c r="AU25" s="32"/>
      <c r="AV25" s="32"/>
      <c r="AW25" s="32"/>
      <c r="AX25" s="32"/>
      <c r="AY25" s="32"/>
      <c r="AZ25" s="32"/>
      <c r="BA25" s="32"/>
      <c r="BB25" s="32"/>
      <c r="BC25" s="32"/>
      <c r="BD25" s="32"/>
      <c r="BE25" s="32"/>
      <c r="BF25" s="32"/>
      <c r="BG25" s="32"/>
      <c r="BH25" s="32"/>
      <c r="BI25" s="32"/>
      <c r="BJ25" s="32"/>
      <c r="BK25" s="192"/>
      <c r="BL25" s="32"/>
      <c r="BM25" s="192"/>
      <c r="BN25" s="32"/>
      <c r="BO25" s="32"/>
      <c r="BP25" s="32"/>
      <c r="BQ25" s="32"/>
      <c r="BR25" s="32"/>
      <c r="BS25" s="32"/>
      <c r="BT25" s="32"/>
      <c r="BU25" s="32"/>
      <c r="BV25" s="32"/>
      <c r="BW25" s="32"/>
      <c r="BX25" s="32"/>
      <c r="BY25" s="32"/>
      <c r="BZ25" s="32"/>
      <c r="CA25" s="32"/>
      <c r="CB25" s="32"/>
      <c r="CC25" s="32"/>
      <c r="CD25" s="32"/>
      <c r="CE25" s="32"/>
      <c r="CF25" s="32"/>
      <c r="CG25" s="32"/>
      <c r="CH25" s="32"/>
      <c r="CI25" s="32"/>
      <c r="CJ25" s="32"/>
      <c r="CK25" s="32"/>
      <c r="CL25" s="32"/>
      <c r="CM25" s="32"/>
      <c r="CN25" s="32"/>
      <c r="CO25" s="32"/>
      <c r="CP25" s="32"/>
      <c r="CQ25" s="32"/>
      <c r="CR25" s="32"/>
      <c r="CS25" s="32"/>
      <c r="CT25" s="32"/>
      <c r="CU25" s="32"/>
      <c r="CV25" s="32"/>
      <c r="CW25" s="32"/>
      <c r="CX25" s="32"/>
      <c r="CY25" s="32"/>
      <c r="CZ25" s="32"/>
      <c r="DA25" s="32"/>
      <c r="DB25" s="32"/>
      <c r="DC25" s="32"/>
      <c r="DD25" s="32"/>
      <c r="DE25" s="32"/>
      <c r="DF25" s="32"/>
      <c r="DG25" s="32"/>
      <c r="DH25" s="32"/>
      <c r="DI25" s="32"/>
      <c r="DJ25" s="32"/>
      <c r="DK25" s="32"/>
      <c r="DL25" s="32"/>
      <c r="DM25" s="32"/>
      <c r="DN25" s="32"/>
      <c r="DO25" s="32"/>
      <c r="DP25" s="32"/>
      <c r="DQ25" s="32"/>
      <c r="DR25" s="32"/>
      <c r="DS25" s="13">
        <f>+MEDIAN(Q25,S25)</f>
        <v>15711.5</v>
      </c>
      <c r="DT25" s="13">
        <f>+AVERAGE(Q25,S25)</f>
        <v>15711.5</v>
      </c>
      <c r="DU25" s="13">
        <f>+STDEV(Q25,S25)</f>
        <v>1147.6343058657667</v>
      </c>
      <c r="DV25" s="17">
        <f t="shared" si="1"/>
        <v>7.3044222758219562E-2</v>
      </c>
      <c r="DW25" s="373">
        <f t="shared" si="2"/>
        <v>15712</v>
      </c>
      <c r="DX25" s="13">
        <f t="shared" si="0"/>
        <v>2356800</v>
      </c>
      <c r="DY25" s="10" t="s">
        <v>308</v>
      </c>
    </row>
    <row r="26" spans="1:132" ht="52" hidden="1" x14ac:dyDescent="0.3">
      <c r="A26" s="19">
        <v>10</v>
      </c>
      <c r="B26" s="9" t="s">
        <v>15</v>
      </c>
      <c r="C26" s="9" t="s">
        <v>71</v>
      </c>
      <c r="D26" s="9" t="s">
        <v>74</v>
      </c>
      <c r="E26" s="10" t="s">
        <v>75</v>
      </c>
      <c r="F26" s="19" t="s">
        <v>19</v>
      </c>
      <c r="G26" s="11">
        <v>150</v>
      </c>
      <c r="H26" s="11">
        <v>1</v>
      </c>
      <c r="I26" s="191"/>
      <c r="J26" s="191"/>
      <c r="K26" s="191"/>
      <c r="L26" s="191"/>
      <c r="M26" s="191"/>
      <c r="N26" s="191"/>
      <c r="O26" s="211"/>
      <c r="P26" s="21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c r="BI26" s="32"/>
      <c r="BJ26" s="32"/>
      <c r="BK26" s="192"/>
      <c r="BL26" s="32"/>
      <c r="BM26" s="192"/>
      <c r="BN26" s="32"/>
      <c r="BO26" s="32"/>
      <c r="BP26" s="32"/>
      <c r="BQ26" s="32"/>
      <c r="BR26" s="32"/>
      <c r="BS26" s="32"/>
      <c r="BT26" s="32"/>
      <c r="BU26" s="32"/>
      <c r="BV26" s="32"/>
      <c r="BW26" s="32"/>
      <c r="BX26" s="32"/>
      <c r="BY26" s="32"/>
      <c r="BZ26" s="32"/>
      <c r="CA26" s="32"/>
      <c r="CB26" s="32"/>
      <c r="CC26" s="32"/>
      <c r="CD26" s="32"/>
      <c r="CE26" s="32"/>
      <c r="CF26" s="32"/>
      <c r="CG26" s="32"/>
      <c r="CH26" s="32"/>
      <c r="CI26" s="32"/>
      <c r="CJ26" s="32"/>
      <c r="CK26" s="32"/>
      <c r="CL26" s="32"/>
      <c r="CM26" s="32"/>
      <c r="CN26" s="32"/>
      <c r="CO26" s="224">
        <v>45000</v>
      </c>
      <c r="CP26" s="32">
        <f>CO26*G26</f>
        <v>6750000</v>
      </c>
      <c r="CQ26" s="225"/>
      <c r="CR26" s="32"/>
      <c r="CS26" s="28">
        <v>40000</v>
      </c>
      <c r="CT26" s="25">
        <f>CS26*G26</f>
        <v>6000000</v>
      </c>
      <c r="CU26" s="225"/>
      <c r="CV26" s="25"/>
      <c r="CW26" s="226"/>
      <c r="CX26" s="25"/>
      <c r="CY26" s="226"/>
      <c r="CZ26" s="25"/>
      <c r="DA26" s="25"/>
      <c r="DB26" s="25"/>
      <c r="DC26" s="226"/>
      <c r="DD26" s="25"/>
      <c r="DE26" s="25"/>
      <c r="DF26" s="25"/>
      <c r="DG26" s="25"/>
      <c r="DH26" s="25"/>
      <c r="DI26" s="25"/>
      <c r="DJ26" s="25"/>
      <c r="DK26" s="25"/>
      <c r="DL26" s="25"/>
      <c r="DM26" s="25"/>
      <c r="DN26" s="25"/>
      <c r="DO26" s="25"/>
      <c r="DP26" s="25"/>
      <c r="DQ26" s="25"/>
      <c r="DR26" s="25"/>
      <c r="DS26" s="13">
        <f>+MEDIAN(CO26,CS26)</f>
        <v>42500</v>
      </c>
      <c r="DT26" s="13">
        <f>+AVERAGE(CO26,CS26)</f>
        <v>42500</v>
      </c>
      <c r="DU26" s="13">
        <f>+STDEV(CO26,CS26)</f>
        <v>3535.5339059327375</v>
      </c>
      <c r="DV26" s="17">
        <f t="shared" si="1"/>
        <v>8.3189033080770289E-2</v>
      </c>
      <c r="DW26" s="373">
        <f t="shared" si="2"/>
        <v>42500</v>
      </c>
      <c r="DX26" s="13">
        <f t="shared" si="0"/>
        <v>6375000</v>
      </c>
      <c r="DY26" s="10" t="s">
        <v>448</v>
      </c>
    </row>
    <row r="27" spans="1:132" ht="65" hidden="1" x14ac:dyDescent="0.3">
      <c r="A27" s="19">
        <v>11</v>
      </c>
      <c r="B27" s="9" t="s">
        <v>15</v>
      </c>
      <c r="C27" s="9" t="s">
        <v>71</v>
      </c>
      <c r="D27" s="9" t="s">
        <v>115</v>
      </c>
      <c r="E27" s="10" t="s">
        <v>114</v>
      </c>
      <c r="F27" s="19" t="s">
        <v>19</v>
      </c>
      <c r="G27" s="11">
        <v>150</v>
      </c>
      <c r="H27" s="11">
        <v>1</v>
      </c>
      <c r="I27" s="191"/>
      <c r="J27" s="191"/>
      <c r="K27" s="191"/>
      <c r="L27" s="191"/>
      <c r="M27" s="191"/>
      <c r="N27" s="191"/>
      <c r="O27" s="211"/>
      <c r="P27" s="21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32"/>
      <c r="AX27" s="32"/>
      <c r="AY27" s="32"/>
      <c r="AZ27" s="32"/>
      <c r="BA27" s="32"/>
      <c r="BB27" s="32"/>
      <c r="BC27" s="32"/>
      <c r="BD27" s="32"/>
      <c r="BE27" s="32"/>
      <c r="BF27" s="32"/>
      <c r="BG27" s="32"/>
      <c r="BH27" s="32"/>
      <c r="BI27" s="32"/>
      <c r="BJ27" s="32"/>
      <c r="BK27" s="192"/>
      <c r="BL27" s="32"/>
      <c r="BM27" s="192"/>
      <c r="BN27" s="32"/>
      <c r="BO27" s="32"/>
      <c r="BP27" s="32"/>
      <c r="BQ27" s="32"/>
      <c r="BR27" s="32"/>
      <c r="BS27" s="32"/>
      <c r="BT27" s="32"/>
      <c r="BU27" s="32"/>
      <c r="BV27" s="32"/>
      <c r="BW27" s="32"/>
      <c r="BX27" s="32"/>
      <c r="BY27" s="32"/>
      <c r="BZ27" s="32"/>
      <c r="CA27" s="32"/>
      <c r="CB27" s="32"/>
      <c r="CC27" s="32"/>
      <c r="CD27" s="32"/>
      <c r="CE27" s="32"/>
      <c r="CF27" s="32"/>
      <c r="CG27" s="32"/>
      <c r="CH27" s="32"/>
      <c r="CI27" s="32"/>
      <c r="CJ27" s="32"/>
      <c r="CK27" s="32"/>
      <c r="CL27" s="32"/>
      <c r="CM27" s="32"/>
      <c r="CN27" s="32"/>
      <c r="CO27" s="224">
        <v>45000</v>
      </c>
      <c r="CP27" s="32">
        <f>CO27*G27</f>
        <v>6750000</v>
      </c>
      <c r="CQ27" s="225">
        <v>65000</v>
      </c>
      <c r="CR27" s="32">
        <f>CQ27*G27</f>
        <v>9750000</v>
      </c>
      <c r="CS27" s="224">
        <v>45000</v>
      </c>
      <c r="CT27" s="25">
        <f>CS27*G27</f>
        <v>6750000</v>
      </c>
      <c r="CU27" s="225">
        <v>45000</v>
      </c>
      <c r="CV27" s="25">
        <f>CU27*G27*H27</f>
        <v>6750000</v>
      </c>
      <c r="CW27" s="227"/>
      <c r="CX27" s="25"/>
      <c r="CY27" s="227"/>
      <c r="CZ27" s="25"/>
      <c r="DA27" s="25"/>
      <c r="DB27" s="25"/>
      <c r="DC27" s="227"/>
      <c r="DD27" s="25"/>
      <c r="DE27" s="25"/>
      <c r="DF27" s="25"/>
      <c r="DG27" s="25"/>
      <c r="DH27" s="25"/>
      <c r="DI27" s="25"/>
      <c r="DJ27" s="25"/>
      <c r="DK27" s="25"/>
      <c r="DL27" s="25"/>
      <c r="DM27" s="25"/>
      <c r="DN27" s="25"/>
      <c r="DO27" s="25"/>
      <c r="DP27" s="25"/>
      <c r="DQ27" s="25"/>
      <c r="DR27" s="25"/>
      <c r="DS27" s="13">
        <f>+MEDIAN(CO27,CQ27,CS27,CU27)</f>
        <v>45000</v>
      </c>
      <c r="DT27" s="13">
        <f>+AVERAGE(CO27,CQ27,CS27,CU27)</f>
        <v>50000</v>
      </c>
      <c r="DU27" s="13">
        <f>+STDEV(CO27,CQ27,CS27,CU27)</f>
        <v>10000</v>
      </c>
      <c r="DV27" s="17">
        <f t="shared" si="1"/>
        <v>0.2</v>
      </c>
      <c r="DW27" s="373">
        <f t="shared" si="2"/>
        <v>45000</v>
      </c>
      <c r="DX27" s="13">
        <f t="shared" si="0"/>
        <v>6750000</v>
      </c>
      <c r="DY27" s="10" t="s">
        <v>322</v>
      </c>
    </row>
    <row r="28" spans="1:132" ht="52" hidden="1" x14ac:dyDescent="0.3">
      <c r="A28" s="19">
        <v>12</v>
      </c>
      <c r="B28" s="9" t="s">
        <v>15</v>
      </c>
      <c r="C28" s="9" t="s">
        <v>71</v>
      </c>
      <c r="D28" s="9" t="s">
        <v>498</v>
      </c>
      <c r="E28" s="10" t="s">
        <v>472</v>
      </c>
      <c r="F28" s="19" t="s">
        <v>19</v>
      </c>
      <c r="G28" s="11">
        <v>150</v>
      </c>
      <c r="H28" s="11">
        <v>1</v>
      </c>
      <c r="I28" s="340"/>
      <c r="J28" s="340"/>
      <c r="K28" s="340"/>
      <c r="L28" s="340"/>
      <c r="M28" s="340"/>
      <c r="N28" s="340"/>
      <c r="O28" s="341"/>
      <c r="P28" s="342"/>
      <c r="Q28" s="25"/>
      <c r="R28" s="25"/>
      <c r="S28" s="25"/>
      <c r="T28" s="25"/>
      <c r="U28" s="25"/>
      <c r="V28" s="25"/>
      <c r="W28" s="25"/>
      <c r="X28" s="25"/>
      <c r="Y28" s="25"/>
      <c r="Z28" s="25"/>
      <c r="AA28" s="25"/>
      <c r="AB28" s="25"/>
      <c r="AC28" s="25"/>
      <c r="AD28" s="25"/>
      <c r="AE28" s="25"/>
      <c r="AF28" s="25"/>
      <c r="AG28" s="25"/>
      <c r="AH28" s="25"/>
      <c r="AI28" s="25"/>
      <c r="AJ28" s="25"/>
      <c r="AK28" s="25"/>
      <c r="AL28" s="25"/>
      <c r="AM28" s="25"/>
      <c r="AN28" s="25"/>
      <c r="AO28" s="25"/>
      <c r="AP28" s="25"/>
      <c r="AQ28" s="25"/>
      <c r="AR28" s="25"/>
      <c r="AS28" s="25"/>
      <c r="AT28" s="25"/>
      <c r="AU28" s="25"/>
      <c r="AV28" s="25"/>
      <c r="AW28" s="25"/>
      <c r="AX28" s="25"/>
      <c r="AY28" s="25"/>
      <c r="AZ28" s="25"/>
      <c r="BA28" s="25"/>
      <c r="BB28" s="25"/>
      <c r="BC28" s="25"/>
      <c r="BD28" s="25"/>
      <c r="BE28" s="25"/>
      <c r="BF28" s="25"/>
      <c r="BG28" s="25"/>
      <c r="BH28" s="25"/>
      <c r="BI28" s="25"/>
      <c r="BJ28" s="25"/>
      <c r="BK28" s="343"/>
      <c r="BL28" s="25"/>
      <c r="BM28" s="343"/>
      <c r="BN28" s="25"/>
      <c r="BO28" s="25"/>
      <c r="BP28" s="25"/>
      <c r="BQ28" s="25"/>
      <c r="BR28" s="25"/>
      <c r="BS28" s="25"/>
      <c r="BT28" s="25"/>
      <c r="BU28" s="25"/>
      <c r="BV28" s="25"/>
      <c r="BW28" s="25"/>
      <c r="BX28" s="25"/>
      <c r="BY28" s="25"/>
      <c r="BZ28" s="25"/>
      <c r="CA28" s="25"/>
      <c r="CB28" s="25"/>
      <c r="CC28" s="25"/>
      <c r="CD28" s="25"/>
      <c r="CE28" s="25"/>
      <c r="CF28" s="25"/>
      <c r="CG28" s="25"/>
      <c r="CH28" s="25"/>
      <c r="CI28" s="25"/>
      <c r="CJ28" s="25"/>
      <c r="CK28" s="25"/>
      <c r="CL28" s="25"/>
      <c r="CM28" s="25"/>
      <c r="CN28" s="25"/>
      <c r="CO28" s="28">
        <v>85000</v>
      </c>
      <c r="CP28" s="25">
        <f>CO28*G28</f>
        <v>12750000</v>
      </c>
      <c r="CQ28" s="344"/>
      <c r="CR28" s="25"/>
      <c r="CS28" s="228">
        <v>65000</v>
      </c>
      <c r="CT28" s="25">
        <f>CS28*G28</f>
        <v>9750000</v>
      </c>
      <c r="CU28" s="344"/>
      <c r="CV28" s="25"/>
      <c r="CW28" s="345"/>
      <c r="CX28" s="25"/>
      <c r="CY28" s="345">
        <v>100000</v>
      </c>
      <c r="CZ28" s="25">
        <f>CY28*G28*H28</f>
        <v>15000000</v>
      </c>
      <c r="DA28" s="25"/>
      <c r="DB28" s="25"/>
      <c r="DC28" s="345"/>
      <c r="DD28" s="25"/>
      <c r="DE28" s="25"/>
      <c r="DF28" s="25"/>
      <c r="DG28" s="25"/>
      <c r="DH28" s="25"/>
      <c r="DI28" s="25"/>
      <c r="DJ28" s="25"/>
      <c r="DK28" s="25"/>
      <c r="DL28" s="25"/>
      <c r="DM28" s="25"/>
      <c r="DN28" s="25"/>
      <c r="DO28" s="25"/>
      <c r="DP28" s="25"/>
      <c r="DQ28" s="25"/>
      <c r="DR28" s="25"/>
      <c r="DS28" s="13">
        <f>+MEDIAN(CO28,CS28,CY28)</f>
        <v>85000</v>
      </c>
      <c r="DT28" s="13">
        <f>+AVERAGE(CO28,CS28,CY28)</f>
        <v>83333.333333333328</v>
      </c>
      <c r="DU28" s="13">
        <f>+STDEV(CO28,CS28,CY28)</f>
        <v>17559.42292142125</v>
      </c>
      <c r="DV28" s="17">
        <f t="shared" si="1"/>
        <v>0.210713075057055</v>
      </c>
      <c r="DW28" s="373">
        <f t="shared" si="2"/>
        <v>85000</v>
      </c>
      <c r="DX28" s="13">
        <f t="shared" si="0"/>
        <v>12750000</v>
      </c>
      <c r="DY28" s="10" t="s">
        <v>322</v>
      </c>
    </row>
    <row r="29" spans="1:132" ht="185" hidden="1" customHeight="1" x14ac:dyDescent="0.3">
      <c r="A29" s="415">
        <v>13</v>
      </c>
      <c r="B29" s="416" t="s">
        <v>15</v>
      </c>
      <c r="C29" s="416" t="s">
        <v>71</v>
      </c>
      <c r="D29" s="417" t="s">
        <v>385</v>
      </c>
      <c r="E29" s="418" t="s">
        <v>528</v>
      </c>
      <c r="F29" s="419" t="s">
        <v>28</v>
      </c>
      <c r="G29" s="420">
        <v>1</v>
      </c>
      <c r="H29" s="420">
        <v>1</v>
      </c>
      <c r="I29" s="421"/>
      <c r="J29" s="421"/>
      <c r="K29" s="421"/>
      <c r="L29" s="421"/>
      <c r="M29" s="421"/>
      <c r="N29" s="421"/>
      <c r="O29" s="422"/>
      <c r="P29" s="423"/>
      <c r="Q29" s="424"/>
      <c r="R29" s="424"/>
      <c r="S29" s="424"/>
      <c r="T29" s="424"/>
      <c r="U29" s="424"/>
      <c r="V29" s="424"/>
      <c r="W29" s="424"/>
      <c r="X29" s="424"/>
      <c r="Y29" s="424"/>
      <c r="Z29" s="424"/>
      <c r="AA29" s="424"/>
      <c r="AB29" s="424"/>
      <c r="AC29" s="425"/>
      <c r="AD29" s="425"/>
      <c r="AE29" s="425"/>
      <c r="AF29" s="425"/>
      <c r="AG29" s="424"/>
      <c r="AH29" s="424"/>
      <c r="AI29" s="424"/>
      <c r="AJ29" s="424"/>
      <c r="AK29" s="424"/>
      <c r="AL29" s="424"/>
      <c r="AM29" s="424"/>
      <c r="AN29" s="424"/>
      <c r="AO29" s="424"/>
      <c r="AP29" s="424"/>
      <c r="AQ29" s="424"/>
      <c r="AR29" s="424"/>
      <c r="AS29" s="424"/>
      <c r="AT29" s="424"/>
      <c r="AU29" s="424"/>
      <c r="AV29" s="424"/>
      <c r="AW29" s="424"/>
      <c r="AX29" s="424"/>
      <c r="AY29" s="424"/>
      <c r="AZ29" s="424"/>
      <c r="BA29" s="424"/>
      <c r="BB29" s="424"/>
      <c r="BC29" s="424"/>
      <c r="BD29" s="424"/>
      <c r="BE29" s="424"/>
      <c r="BF29" s="424"/>
      <c r="BG29" s="424"/>
      <c r="BH29" s="424"/>
      <c r="BI29" s="424"/>
      <c r="BJ29" s="424"/>
      <c r="BK29" s="425"/>
      <c r="BL29" s="424"/>
      <c r="BM29" s="425"/>
      <c r="BN29" s="424"/>
      <c r="BO29" s="424"/>
      <c r="BP29" s="424"/>
      <c r="BQ29" s="424"/>
      <c r="BR29" s="424"/>
      <c r="BS29" s="424"/>
      <c r="BT29" s="424"/>
      <c r="BU29" s="424"/>
      <c r="BV29" s="424"/>
      <c r="BW29" s="424"/>
      <c r="BX29" s="424"/>
      <c r="BY29" s="424"/>
      <c r="BZ29" s="424"/>
      <c r="CA29" s="424"/>
      <c r="CB29" s="424"/>
      <c r="CC29" s="424"/>
      <c r="CD29" s="424"/>
      <c r="CE29" s="424"/>
      <c r="CF29" s="424"/>
      <c r="CG29" s="424"/>
      <c r="CH29" s="424"/>
      <c r="CI29" s="424"/>
      <c r="CJ29" s="424"/>
      <c r="CK29" s="424"/>
      <c r="CL29" s="424"/>
      <c r="CM29" s="424"/>
      <c r="CN29" s="424"/>
      <c r="CO29" s="424"/>
      <c r="CP29" s="424"/>
      <c r="CQ29" s="424"/>
      <c r="CR29" s="424"/>
      <c r="CS29" s="424"/>
      <c r="CT29" s="424"/>
      <c r="CU29" s="424"/>
      <c r="CV29" s="424"/>
      <c r="CW29" s="424"/>
      <c r="CX29" s="424"/>
      <c r="CY29" s="424"/>
      <c r="CZ29" s="424"/>
      <c r="DA29" s="424"/>
      <c r="DB29" s="424"/>
      <c r="DC29" s="424"/>
      <c r="DD29" s="424"/>
      <c r="DE29" s="424"/>
      <c r="DF29" s="424"/>
      <c r="DG29" s="424"/>
      <c r="DH29" s="424"/>
      <c r="DI29" s="424"/>
      <c r="DJ29" s="424"/>
      <c r="DK29" s="424"/>
      <c r="DL29" s="424"/>
      <c r="DM29" s="424"/>
      <c r="DN29" s="424"/>
      <c r="DO29" s="424"/>
      <c r="DP29" s="424"/>
      <c r="DQ29" s="424"/>
      <c r="DR29" s="424"/>
      <c r="DS29" s="426"/>
      <c r="DT29" s="426"/>
      <c r="DU29" s="426"/>
      <c r="DV29" s="427"/>
      <c r="DW29" s="428">
        <v>18760000</v>
      </c>
      <c r="DX29" s="428">
        <f t="shared" si="0"/>
        <v>18760000</v>
      </c>
      <c r="DY29" s="429" t="s">
        <v>446</v>
      </c>
    </row>
    <row r="30" spans="1:132" ht="182" hidden="1" x14ac:dyDescent="0.3">
      <c r="A30" s="133">
        <v>14</v>
      </c>
      <c r="B30" s="134" t="s">
        <v>15</v>
      </c>
      <c r="C30" s="134" t="s">
        <v>71</v>
      </c>
      <c r="D30" s="134" t="s">
        <v>76</v>
      </c>
      <c r="E30" s="132" t="s">
        <v>1144</v>
      </c>
      <c r="F30" s="133" t="s">
        <v>19</v>
      </c>
      <c r="G30" s="136">
        <v>150</v>
      </c>
      <c r="H30" s="136">
        <v>1</v>
      </c>
      <c r="I30" s="229"/>
      <c r="J30" s="229"/>
      <c r="K30" s="229"/>
      <c r="L30" s="229"/>
      <c r="M30" s="229"/>
      <c r="N30" s="229"/>
      <c r="O30" s="230"/>
      <c r="P30" s="231"/>
      <c r="Q30" s="150"/>
      <c r="R30" s="150"/>
      <c r="S30" s="150"/>
      <c r="T30" s="150"/>
      <c r="U30" s="150"/>
      <c r="V30" s="150"/>
      <c r="W30" s="150"/>
      <c r="X30" s="150"/>
      <c r="Y30" s="150"/>
      <c r="Z30" s="150"/>
      <c r="AA30" s="150"/>
      <c r="AB30" s="150"/>
      <c r="AC30" s="150"/>
      <c r="AD30" s="150"/>
      <c r="AE30" s="150"/>
      <c r="AF30" s="150"/>
      <c r="AG30" s="150"/>
      <c r="AH30" s="150"/>
      <c r="AI30" s="150"/>
      <c r="AJ30" s="150"/>
      <c r="AK30" s="150"/>
      <c r="AL30" s="150"/>
      <c r="AM30" s="150"/>
      <c r="AN30" s="150"/>
      <c r="AO30" s="150"/>
      <c r="AP30" s="150"/>
      <c r="AQ30" s="150"/>
      <c r="AR30" s="150"/>
      <c r="AS30" s="150"/>
      <c r="AT30" s="150"/>
      <c r="AU30" s="150"/>
      <c r="AV30" s="150"/>
      <c r="AW30" s="150"/>
      <c r="AX30" s="150"/>
      <c r="AY30" s="150"/>
      <c r="AZ30" s="150"/>
      <c r="BA30" s="150"/>
      <c r="BB30" s="150"/>
      <c r="BC30" s="150"/>
      <c r="BD30" s="150"/>
      <c r="BE30" s="150"/>
      <c r="BF30" s="150"/>
      <c r="BG30" s="150"/>
      <c r="BH30" s="150"/>
      <c r="BI30" s="150"/>
      <c r="BJ30" s="150"/>
      <c r="BK30" s="232"/>
      <c r="BL30" s="150"/>
      <c r="BM30" s="232"/>
      <c r="BN30" s="150"/>
      <c r="BO30" s="150"/>
      <c r="BP30" s="150"/>
      <c r="BQ30" s="150"/>
      <c r="BR30" s="150"/>
      <c r="BS30" s="150"/>
      <c r="BT30" s="150"/>
      <c r="BU30" s="150"/>
      <c r="BV30" s="150"/>
      <c r="BW30" s="150"/>
      <c r="BX30" s="150"/>
      <c r="BY30" s="150"/>
      <c r="BZ30" s="150"/>
      <c r="CA30" s="150"/>
      <c r="CB30" s="150"/>
      <c r="CC30" s="150"/>
      <c r="CD30" s="150"/>
      <c r="CE30" s="150"/>
      <c r="CF30" s="150"/>
      <c r="CG30" s="150"/>
      <c r="CH30" s="150"/>
      <c r="CI30" s="150"/>
      <c r="CJ30" s="150"/>
      <c r="CK30" s="150"/>
      <c r="CL30" s="150"/>
      <c r="CM30" s="150"/>
      <c r="CN30" s="150"/>
      <c r="CO30" s="150"/>
      <c r="CP30" s="150"/>
      <c r="CQ30" s="150"/>
      <c r="CR30" s="150"/>
      <c r="CS30" s="150"/>
      <c r="CT30" s="150"/>
      <c r="CU30" s="150"/>
      <c r="CV30" s="150"/>
      <c r="CW30" s="150"/>
      <c r="CX30" s="150"/>
      <c r="CY30" s="150"/>
      <c r="CZ30" s="150"/>
      <c r="DA30" s="150"/>
      <c r="DB30" s="150"/>
      <c r="DC30" s="150"/>
      <c r="DD30" s="150"/>
      <c r="DE30" s="150"/>
      <c r="DF30" s="150"/>
      <c r="DG30" s="150"/>
      <c r="DH30" s="150"/>
      <c r="DI30" s="150"/>
      <c r="DJ30" s="150"/>
      <c r="DK30" s="150"/>
      <c r="DL30" s="150"/>
      <c r="DM30" s="150"/>
      <c r="DN30" s="150"/>
      <c r="DO30" s="150"/>
      <c r="DP30" s="150"/>
      <c r="DQ30" s="150"/>
      <c r="DR30" s="150"/>
      <c r="DS30" s="146"/>
      <c r="DT30" s="146"/>
      <c r="DU30" s="146"/>
      <c r="DV30" s="138"/>
      <c r="DW30" s="273">
        <f>+DZ30+EB30</f>
        <v>378000</v>
      </c>
      <c r="DX30" s="273">
        <f t="shared" si="0"/>
        <v>56700000</v>
      </c>
      <c r="DY30" s="139" t="s">
        <v>1148</v>
      </c>
      <c r="DZ30" s="604">
        <v>300000</v>
      </c>
      <c r="EA30" s="604">
        <f>+DZ30*G30*H30</f>
        <v>45000000</v>
      </c>
      <c r="EB30" s="604">
        <f>+DZ30*26%</f>
        <v>78000</v>
      </c>
    </row>
    <row r="31" spans="1:132" ht="91" hidden="1" x14ac:dyDescent="0.3">
      <c r="A31" s="19">
        <v>15</v>
      </c>
      <c r="B31" s="9" t="s">
        <v>15</v>
      </c>
      <c r="C31" s="647" t="s">
        <v>71</v>
      </c>
      <c r="D31" s="9" t="s">
        <v>77</v>
      </c>
      <c r="E31" s="10" t="s">
        <v>1355</v>
      </c>
      <c r="F31" s="19" t="s">
        <v>19</v>
      </c>
      <c r="G31" s="11">
        <v>100</v>
      </c>
      <c r="H31" s="11">
        <v>1</v>
      </c>
      <c r="I31" s="649"/>
      <c r="J31" s="649"/>
      <c r="K31" s="649"/>
      <c r="L31" s="649"/>
      <c r="M31" s="649"/>
      <c r="N31" s="649"/>
      <c r="O31" s="650"/>
      <c r="P31" s="651"/>
      <c r="Q31" s="205"/>
      <c r="R31" s="205"/>
      <c r="S31" s="205"/>
      <c r="T31" s="205"/>
      <c r="U31" s="205"/>
      <c r="V31" s="205"/>
      <c r="W31" s="205"/>
      <c r="X31" s="205"/>
      <c r="Y31" s="205"/>
      <c r="Z31" s="205"/>
      <c r="AA31" s="205"/>
      <c r="AB31" s="205"/>
      <c r="AC31" s="205"/>
      <c r="AD31" s="205"/>
      <c r="AE31" s="205"/>
      <c r="AF31" s="205"/>
      <c r="AG31" s="205"/>
      <c r="AH31" s="205"/>
      <c r="AI31" s="205"/>
      <c r="AJ31" s="205"/>
      <c r="AK31" s="205"/>
      <c r="AL31" s="205"/>
      <c r="AM31" s="205"/>
      <c r="AN31" s="205"/>
      <c r="AO31" s="205"/>
      <c r="AP31" s="205"/>
      <c r="AQ31" s="205"/>
      <c r="AR31" s="205"/>
      <c r="AS31" s="205"/>
      <c r="AT31" s="205"/>
      <c r="AU31" s="205"/>
      <c r="AV31" s="205"/>
      <c r="AW31" s="205"/>
      <c r="AX31" s="205"/>
      <c r="AY31" s="205"/>
      <c r="AZ31" s="205"/>
      <c r="BA31" s="205"/>
      <c r="BB31" s="205"/>
      <c r="BC31" s="205"/>
      <c r="BD31" s="205"/>
      <c r="BE31" s="205"/>
      <c r="BF31" s="205"/>
      <c r="BG31" s="205"/>
      <c r="BH31" s="205"/>
      <c r="BI31" s="205"/>
      <c r="BJ31" s="205"/>
      <c r="BK31" s="206"/>
      <c r="BL31" s="205"/>
      <c r="BM31" s="206"/>
      <c r="BN31" s="205"/>
      <c r="BO31" s="205"/>
      <c r="BP31" s="205"/>
      <c r="BQ31" s="205"/>
      <c r="BR31" s="205"/>
      <c r="BS31" s="205"/>
      <c r="BT31" s="205"/>
      <c r="BU31" s="205"/>
      <c r="BV31" s="205"/>
      <c r="BW31" s="205"/>
      <c r="BX31" s="205"/>
      <c r="BY31" s="205"/>
      <c r="BZ31" s="205"/>
      <c r="CA31" s="205"/>
      <c r="CB31" s="205"/>
      <c r="CC31" s="205"/>
      <c r="CD31" s="205"/>
      <c r="CE31" s="205"/>
      <c r="CF31" s="205"/>
      <c r="CG31" s="205"/>
      <c r="CH31" s="205"/>
      <c r="CI31" s="205"/>
      <c r="CJ31" s="205"/>
      <c r="CK31" s="205"/>
      <c r="CL31" s="205"/>
      <c r="CM31" s="205"/>
      <c r="CN31" s="205"/>
      <c r="CO31" s="652">
        <v>300000</v>
      </c>
      <c r="CP31" s="205">
        <f>CO31*G31</f>
        <v>30000000</v>
      </c>
      <c r="CQ31" s="653"/>
      <c r="CR31" s="205"/>
      <c r="CS31" s="654"/>
      <c r="CT31" s="205"/>
      <c r="CU31" s="653"/>
      <c r="CV31" s="205"/>
      <c r="CW31" s="655"/>
      <c r="CX31" s="205"/>
      <c r="CY31" s="655">
        <v>350000</v>
      </c>
      <c r="CZ31" s="205">
        <f>CY31*G31*H31</f>
        <v>35000000</v>
      </c>
      <c r="DA31" s="205"/>
      <c r="DB31" s="205"/>
      <c r="DC31" s="655"/>
      <c r="DD31" s="205"/>
      <c r="DE31" s="205"/>
      <c r="DF31" s="205"/>
      <c r="DG31" s="205"/>
      <c r="DH31" s="205"/>
      <c r="DI31" s="205"/>
      <c r="DJ31" s="205"/>
      <c r="DK31" s="205"/>
      <c r="DL31" s="205"/>
      <c r="DM31" s="205"/>
      <c r="DN31" s="205"/>
      <c r="DO31" s="205"/>
      <c r="DP31" s="205"/>
      <c r="DQ31" s="205"/>
      <c r="DR31" s="205"/>
      <c r="DS31" s="656">
        <f>+MEDIAN(CO31,CY31)</f>
        <v>325000</v>
      </c>
      <c r="DT31" s="656">
        <f>+AVERAGE(CO31,CY31)</f>
        <v>325000</v>
      </c>
      <c r="DU31" s="656">
        <f>+STDEV(CO31,CY31)</f>
        <v>35355.33905932738</v>
      </c>
      <c r="DV31" s="657">
        <f t="shared" si="1"/>
        <v>0.10878565864408425</v>
      </c>
      <c r="DW31" s="662">
        <f t="shared" si="2"/>
        <v>325000</v>
      </c>
      <c r="DX31" s="13">
        <f t="shared" si="0"/>
        <v>32500000</v>
      </c>
      <c r="DY31" s="10" t="s">
        <v>448</v>
      </c>
    </row>
    <row r="32" spans="1:132" ht="182" hidden="1" x14ac:dyDescent="0.3">
      <c r="A32" s="133">
        <v>16</v>
      </c>
      <c r="B32" s="141" t="s">
        <v>15</v>
      </c>
      <c r="C32" s="141" t="s">
        <v>71</v>
      </c>
      <c r="D32" s="141" t="s">
        <v>517</v>
      </c>
      <c r="E32" s="142" t="s">
        <v>1335</v>
      </c>
      <c r="F32" s="140" t="s">
        <v>19</v>
      </c>
      <c r="G32" s="143">
        <v>100</v>
      </c>
      <c r="H32" s="143">
        <v>1</v>
      </c>
      <c r="I32" s="234"/>
      <c r="J32" s="234"/>
      <c r="K32" s="234"/>
      <c r="L32" s="234"/>
      <c r="M32" s="234"/>
      <c r="N32" s="234"/>
      <c r="O32" s="235"/>
      <c r="P32" s="236"/>
      <c r="Q32" s="237"/>
      <c r="R32" s="237"/>
      <c r="S32" s="237"/>
      <c r="T32" s="237"/>
      <c r="U32" s="237"/>
      <c r="V32" s="237"/>
      <c r="W32" s="237"/>
      <c r="X32" s="237"/>
      <c r="Y32" s="237"/>
      <c r="Z32" s="237"/>
      <c r="AA32" s="237"/>
      <c r="AB32" s="237"/>
      <c r="AC32" s="237"/>
      <c r="AD32" s="237"/>
      <c r="AE32" s="237"/>
      <c r="AF32" s="237"/>
      <c r="AG32" s="237"/>
      <c r="AH32" s="237"/>
      <c r="AI32" s="237"/>
      <c r="AJ32" s="237"/>
      <c r="AK32" s="237"/>
      <c r="AL32" s="237"/>
      <c r="AM32" s="237"/>
      <c r="AN32" s="237"/>
      <c r="AO32" s="237"/>
      <c r="AP32" s="237"/>
      <c r="AQ32" s="237"/>
      <c r="AR32" s="237"/>
      <c r="AS32" s="237"/>
      <c r="AT32" s="237"/>
      <c r="AU32" s="237"/>
      <c r="AV32" s="237"/>
      <c r="AW32" s="237"/>
      <c r="AX32" s="237"/>
      <c r="AY32" s="237"/>
      <c r="AZ32" s="237"/>
      <c r="BA32" s="237"/>
      <c r="BB32" s="237"/>
      <c r="BC32" s="237"/>
      <c r="BD32" s="237"/>
      <c r="BE32" s="237"/>
      <c r="BF32" s="237"/>
      <c r="BG32" s="237"/>
      <c r="BH32" s="237"/>
      <c r="BI32" s="237"/>
      <c r="BJ32" s="237"/>
      <c r="BK32" s="238"/>
      <c r="BL32" s="237"/>
      <c r="BM32" s="238"/>
      <c r="BN32" s="237"/>
      <c r="BO32" s="237"/>
      <c r="BP32" s="237"/>
      <c r="BQ32" s="237"/>
      <c r="BR32" s="237"/>
      <c r="BS32" s="237"/>
      <c r="BT32" s="237"/>
      <c r="BU32" s="237"/>
      <c r="BV32" s="237"/>
      <c r="BW32" s="237"/>
      <c r="BX32" s="237"/>
      <c r="BY32" s="237"/>
      <c r="BZ32" s="237"/>
      <c r="CA32" s="237"/>
      <c r="CB32" s="237"/>
      <c r="CC32" s="237"/>
      <c r="CD32" s="237"/>
      <c r="CE32" s="237"/>
      <c r="CF32" s="237"/>
      <c r="CG32" s="237"/>
      <c r="CH32" s="237"/>
      <c r="CI32" s="237"/>
      <c r="CJ32" s="237"/>
      <c r="CK32" s="237"/>
      <c r="CL32" s="237"/>
      <c r="CM32" s="237"/>
      <c r="CN32" s="237"/>
      <c r="CO32" s="237"/>
      <c r="CP32" s="237"/>
      <c r="CQ32" s="237"/>
      <c r="CR32" s="237"/>
      <c r="CS32" s="237"/>
      <c r="CT32" s="237"/>
      <c r="CU32" s="237"/>
      <c r="CV32" s="237"/>
      <c r="CW32" s="237"/>
      <c r="CX32" s="237"/>
      <c r="CY32" s="237"/>
      <c r="CZ32" s="237"/>
      <c r="DA32" s="237"/>
      <c r="DB32" s="237"/>
      <c r="DC32" s="237"/>
      <c r="DD32" s="237"/>
      <c r="DE32" s="237"/>
      <c r="DF32" s="237"/>
      <c r="DG32" s="237"/>
      <c r="DH32" s="237"/>
      <c r="DI32" s="237"/>
      <c r="DJ32" s="237"/>
      <c r="DK32" s="237"/>
      <c r="DL32" s="237"/>
      <c r="DM32" s="237"/>
      <c r="DN32" s="237"/>
      <c r="DO32" s="237"/>
      <c r="DP32" s="237"/>
      <c r="DQ32" s="237"/>
      <c r="DR32" s="237"/>
      <c r="DS32" s="145"/>
      <c r="DT32" s="145"/>
      <c r="DU32" s="145"/>
      <c r="DV32" s="144"/>
      <c r="DW32" s="273">
        <f>+DZ32+EB32</f>
        <v>756000</v>
      </c>
      <c r="DX32" s="145">
        <f t="shared" si="0"/>
        <v>75600000</v>
      </c>
      <c r="DY32" s="139" t="s">
        <v>1149</v>
      </c>
      <c r="DZ32" s="604">
        <v>600000</v>
      </c>
      <c r="EA32" s="604">
        <f>+DZ32*G32*H32</f>
        <v>60000000</v>
      </c>
      <c r="EB32" s="604">
        <f>+DZ32*26%</f>
        <v>156000</v>
      </c>
    </row>
    <row r="33" spans="1:132" s="63" customFormat="1" ht="21" hidden="1" customHeight="1" x14ac:dyDescent="0.3">
      <c r="A33" s="66" t="s">
        <v>352</v>
      </c>
      <c r="B33" s="66"/>
      <c r="C33" s="66"/>
      <c r="D33" s="66"/>
      <c r="E33" s="66"/>
      <c r="F33" s="67"/>
      <c r="G33" s="67"/>
      <c r="H33" s="67"/>
      <c r="I33" s="214"/>
      <c r="J33" s="214"/>
      <c r="K33" s="214"/>
      <c r="L33" s="214"/>
      <c r="M33" s="214"/>
      <c r="N33" s="214"/>
      <c r="O33" s="215"/>
      <c r="P33" s="215"/>
      <c r="Q33" s="215"/>
      <c r="R33" s="215"/>
      <c r="S33" s="215"/>
      <c r="T33" s="215"/>
      <c r="U33" s="215"/>
      <c r="V33" s="215"/>
      <c r="W33" s="215"/>
      <c r="X33" s="215"/>
      <c r="Y33" s="215"/>
      <c r="Z33" s="215"/>
      <c r="AA33" s="215"/>
      <c r="AB33" s="215"/>
      <c r="AC33" s="215"/>
      <c r="AD33" s="215"/>
      <c r="AE33" s="215"/>
      <c r="AF33" s="215"/>
      <c r="AG33" s="215"/>
      <c r="AH33" s="215"/>
      <c r="AI33" s="215"/>
      <c r="AJ33" s="215"/>
      <c r="AK33" s="215"/>
      <c r="AL33" s="215"/>
      <c r="AM33" s="215"/>
      <c r="AN33" s="215"/>
      <c r="AO33" s="215"/>
      <c r="AP33" s="215"/>
      <c r="AQ33" s="215"/>
      <c r="AR33" s="215"/>
      <c r="AS33" s="215"/>
      <c r="AT33" s="215"/>
      <c r="AU33" s="215"/>
      <c r="AV33" s="215"/>
      <c r="AW33" s="215"/>
      <c r="AX33" s="215"/>
      <c r="AY33" s="215"/>
      <c r="AZ33" s="215"/>
      <c r="BA33" s="215"/>
      <c r="BB33" s="215"/>
      <c r="BC33" s="215"/>
      <c r="BD33" s="215"/>
      <c r="BE33" s="215"/>
      <c r="BF33" s="215"/>
      <c r="BG33" s="215"/>
      <c r="BH33" s="215"/>
      <c r="BI33" s="215"/>
      <c r="BJ33" s="215"/>
      <c r="BK33" s="215"/>
      <c r="BL33" s="216"/>
      <c r="BM33" s="215"/>
      <c r="BN33" s="216"/>
      <c r="BO33" s="216"/>
      <c r="BP33" s="216"/>
      <c r="BQ33" s="216"/>
      <c r="BR33" s="216"/>
      <c r="BS33" s="216"/>
      <c r="BT33" s="216"/>
      <c r="BU33" s="216"/>
      <c r="BV33" s="216"/>
      <c r="BW33" s="216"/>
      <c r="BX33" s="216"/>
      <c r="BY33" s="216"/>
      <c r="BZ33" s="216"/>
      <c r="CA33" s="216"/>
      <c r="CB33" s="216"/>
      <c r="CC33" s="216"/>
      <c r="CD33" s="216"/>
      <c r="CE33" s="216"/>
      <c r="CF33" s="216"/>
      <c r="CG33" s="216"/>
      <c r="CH33" s="216"/>
      <c r="CI33" s="216"/>
      <c r="CJ33" s="216"/>
      <c r="CK33" s="216"/>
      <c r="CL33" s="216"/>
      <c r="CM33" s="216"/>
      <c r="CN33" s="216"/>
      <c r="CO33" s="216"/>
      <c r="CP33" s="216"/>
      <c r="CQ33" s="216"/>
      <c r="CR33" s="216"/>
      <c r="CS33" s="216"/>
      <c r="CT33" s="216"/>
      <c r="CU33" s="216"/>
      <c r="CV33" s="216"/>
      <c r="CW33" s="216"/>
      <c r="CX33" s="216"/>
      <c r="CY33" s="216"/>
      <c r="CZ33" s="216"/>
      <c r="DA33" s="216"/>
      <c r="DB33" s="216"/>
      <c r="DC33" s="216"/>
      <c r="DD33" s="216"/>
      <c r="DE33" s="216"/>
      <c r="DF33" s="216"/>
      <c r="DG33" s="216"/>
      <c r="DH33" s="216"/>
      <c r="DI33" s="216"/>
      <c r="DJ33" s="216"/>
      <c r="DK33" s="216"/>
      <c r="DL33" s="216"/>
      <c r="DM33" s="216"/>
      <c r="DN33" s="216"/>
      <c r="DO33" s="216"/>
      <c r="DP33" s="216"/>
      <c r="DQ33" s="216"/>
      <c r="DR33" s="216"/>
      <c r="DS33" s="215"/>
      <c r="DT33" s="215"/>
      <c r="DU33" s="215"/>
      <c r="DV33" s="68"/>
      <c r="DW33" s="69">
        <f>SUM(DW23:DW32)</f>
        <v>20874177</v>
      </c>
      <c r="DX33" s="69">
        <f>SUM(DX23:DX32)</f>
        <v>281836550</v>
      </c>
      <c r="DY33" s="165"/>
      <c r="DZ33" s="609"/>
      <c r="EA33" s="609"/>
      <c r="EB33" s="609"/>
    </row>
    <row r="34" spans="1:132" ht="117" hidden="1" x14ac:dyDescent="0.3">
      <c r="A34" s="19">
        <v>17</v>
      </c>
      <c r="B34" s="40" t="s">
        <v>15</v>
      </c>
      <c r="C34" s="40" t="s">
        <v>18</v>
      </c>
      <c r="D34" s="40" t="s">
        <v>72</v>
      </c>
      <c r="E34" s="42" t="s">
        <v>338</v>
      </c>
      <c r="F34" s="70" t="s">
        <v>19</v>
      </c>
      <c r="G34" s="43">
        <v>100</v>
      </c>
      <c r="H34" s="43">
        <v>1</v>
      </c>
      <c r="I34" s="207"/>
      <c r="J34" s="207"/>
      <c r="K34" s="207"/>
      <c r="L34" s="207"/>
      <c r="M34" s="207"/>
      <c r="N34" s="207"/>
      <c r="O34" s="208"/>
      <c r="P34" s="217"/>
      <c r="Q34" s="209"/>
      <c r="R34" s="209"/>
      <c r="S34" s="209"/>
      <c r="T34" s="209"/>
      <c r="U34" s="209"/>
      <c r="V34" s="209"/>
      <c r="W34" s="209"/>
      <c r="X34" s="209"/>
      <c r="Y34" s="209"/>
      <c r="Z34" s="209"/>
      <c r="AA34" s="209"/>
      <c r="AB34" s="209"/>
      <c r="AC34" s="209"/>
      <c r="AD34" s="209"/>
      <c r="AE34" s="209"/>
      <c r="AF34" s="209"/>
      <c r="AG34" s="209"/>
      <c r="AH34" s="209"/>
      <c r="AI34" s="209"/>
      <c r="AJ34" s="209"/>
      <c r="AK34" s="209"/>
      <c r="AL34" s="209"/>
      <c r="AM34" s="209"/>
      <c r="AN34" s="209"/>
      <c r="AO34" s="209"/>
      <c r="AP34" s="209"/>
      <c r="AQ34" s="209"/>
      <c r="AR34" s="209"/>
      <c r="AS34" s="209"/>
      <c r="AT34" s="209"/>
      <c r="AU34" s="209"/>
      <c r="AV34" s="209"/>
      <c r="AW34" s="209"/>
      <c r="AX34" s="209"/>
      <c r="AY34" s="209"/>
      <c r="AZ34" s="209"/>
      <c r="BA34" s="209"/>
      <c r="BB34" s="209"/>
      <c r="BC34" s="209"/>
      <c r="BD34" s="209"/>
      <c r="BE34" s="209"/>
      <c r="BF34" s="209"/>
      <c r="BG34" s="209"/>
      <c r="BH34" s="209"/>
      <c r="BI34" s="209"/>
      <c r="BJ34" s="209"/>
      <c r="BK34" s="210"/>
      <c r="BL34" s="209"/>
      <c r="BM34" s="210"/>
      <c r="BN34" s="209"/>
      <c r="BO34" s="209"/>
      <c r="BP34" s="209"/>
      <c r="BQ34" s="209"/>
      <c r="BR34" s="209"/>
      <c r="BS34" s="209"/>
      <c r="BT34" s="209"/>
      <c r="BU34" s="209"/>
      <c r="BV34" s="209"/>
      <c r="BW34" s="209"/>
      <c r="BX34" s="209"/>
      <c r="BY34" s="209"/>
      <c r="BZ34" s="209"/>
      <c r="CA34" s="209"/>
      <c r="CB34" s="209"/>
      <c r="CC34" s="209"/>
      <c r="CD34" s="209"/>
      <c r="CE34" s="209"/>
      <c r="CF34" s="209"/>
      <c r="CG34" s="209"/>
      <c r="CH34" s="209"/>
      <c r="CI34" s="209"/>
      <c r="CJ34" s="209"/>
      <c r="CK34" s="209"/>
      <c r="CL34" s="209"/>
      <c r="CM34" s="209"/>
      <c r="CN34" s="209"/>
      <c r="CO34" s="239">
        <v>300000</v>
      </c>
      <c r="CP34" s="209">
        <f>CO34*G34</f>
        <v>30000000</v>
      </c>
      <c r="CQ34" s="218">
        <v>450000</v>
      </c>
      <c r="CR34" s="209">
        <f>CQ34*G34*H34</f>
        <v>45000000</v>
      </c>
      <c r="CS34" s="33"/>
      <c r="CT34" s="46"/>
      <c r="CU34" s="218">
        <v>430000</v>
      </c>
      <c r="CV34" s="46">
        <f>CU34*G34</f>
        <v>43000000</v>
      </c>
      <c r="CW34" s="219"/>
      <c r="CX34" s="46"/>
      <c r="CY34" s="219">
        <v>450000</v>
      </c>
      <c r="CZ34" s="46">
        <f>CY34*G34*H34</f>
        <v>45000000</v>
      </c>
      <c r="DA34" s="46"/>
      <c r="DB34" s="46"/>
      <c r="DC34" s="219"/>
      <c r="DD34" s="46"/>
      <c r="DE34" s="46"/>
      <c r="DF34" s="46"/>
      <c r="DG34" s="46"/>
      <c r="DH34" s="46"/>
      <c r="DI34" s="46"/>
      <c r="DJ34" s="46"/>
      <c r="DK34" s="46"/>
      <c r="DL34" s="46"/>
      <c r="DM34" s="46"/>
      <c r="DN34" s="46"/>
      <c r="DO34" s="46"/>
      <c r="DP34" s="46"/>
      <c r="DQ34" s="46"/>
      <c r="DR34" s="46"/>
      <c r="DS34" s="65">
        <f>+MEDIAN(CO34,CQ34,CU34,CY34)</f>
        <v>440000</v>
      </c>
      <c r="DT34" s="65">
        <f>+AVERAGE(CO34,CQ34,CU34,CY34)</f>
        <v>407500</v>
      </c>
      <c r="DU34" s="65">
        <f>+STDEV(CO34,CQ34,CU34,CY34)</f>
        <v>72284.161474004795</v>
      </c>
      <c r="DV34" s="64">
        <f t="shared" si="1"/>
        <v>0.1773844453349811</v>
      </c>
      <c r="DW34" s="375">
        <f t="shared" si="2"/>
        <v>440000</v>
      </c>
      <c r="DX34" s="65">
        <f t="shared" ref="DX34:DX40" si="3">+ROUND(DW34*G34*H34,0)</f>
        <v>44000000</v>
      </c>
      <c r="DY34" s="42" t="s">
        <v>322</v>
      </c>
    </row>
    <row r="35" spans="1:132" ht="65" hidden="1" x14ac:dyDescent="0.3">
      <c r="A35" s="19">
        <v>18</v>
      </c>
      <c r="B35" s="9" t="s">
        <v>15</v>
      </c>
      <c r="C35" s="648" t="s">
        <v>18</v>
      </c>
      <c r="D35" s="9" t="s">
        <v>490</v>
      </c>
      <c r="E35" s="10" t="s">
        <v>1345</v>
      </c>
      <c r="F35" s="19" t="s">
        <v>78</v>
      </c>
      <c r="G35" s="11">
        <v>5</v>
      </c>
      <c r="H35" s="11">
        <v>1</v>
      </c>
      <c r="I35" s="649"/>
      <c r="J35" s="649"/>
      <c r="K35" s="649"/>
      <c r="L35" s="649"/>
      <c r="M35" s="649"/>
      <c r="N35" s="649"/>
      <c r="O35" s="650"/>
      <c r="P35" s="651"/>
      <c r="Q35" s="205"/>
      <c r="R35" s="205"/>
      <c r="S35" s="205"/>
      <c r="T35" s="205"/>
      <c r="U35" s="205"/>
      <c r="V35" s="205"/>
      <c r="W35" s="205"/>
      <c r="X35" s="205"/>
      <c r="Y35" s="205"/>
      <c r="Z35" s="205"/>
      <c r="AA35" s="205"/>
      <c r="AB35" s="205"/>
      <c r="AC35" s="205"/>
      <c r="AD35" s="205"/>
      <c r="AE35" s="205"/>
      <c r="AF35" s="205"/>
      <c r="AG35" s="205"/>
      <c r="AH35" s="205"/>
      <c r="AI35" s="205"/>
      <c r="AJ35" s="205"/>
      <c r="AK35" s="205"/>
      <c r="AL35" s="205"/>
      <c r="AM35" s="205"/>
      <c r="AN35" s="205"/>
      <c r="AO35" s="205"/>
      <c r="AP35" s="205"/>
      <c r="AQ35" s="205"/>
      <c r="AR35" s="205"/>
      <c r="AS35" s="205"/>
      <c r="AT35" s="205"/>
      <c r="AU35" s="205"/>
      <c r="AV35" s="205"/>
      <c r="AW35" s="205"/>
      <c r="AX35" s="205"/>
      <c r="AY35" s="205"/>
      <c r="AZ35" s="205"/>
      <c r="BA35" s="205"/>
      <c r="BB35" s="205"/>
      <c r="BC35" s="205"/>
      <c r="BD35" s="205"/>
      <c r="BE35" s="205"/>
      <c r="BF35" s="205"/>
      <c r="BG35" s="205"/>
      <c r="BH35" s="205"/>
      <c r="BI35" s="205"/>
      <c r="BJ35" s="205"/>
      <c r="BK35" s="206"/>
      <c r="BL35" s="205"/>
      <c r="BM35" s="206"/>
      <c r="BN35" s="205"/>
      <c r="BO35" s="205"/>
      <c r="BP35" s="205"/>
      <c r="BQ35" s="205"/>
      <c r="BR35" s="205"/>
      <c r="BS35" s="205"/>
      <c r="BT35" s="205"/>
      <c r="BU35" s="205"/>
      <c r="BV35" s="205"/>
      <c r="BW35" s="205"/>
      <c r="BX35" s="205"/>
      <c r="BY35" s="205"/>
      <c r="BZ35" s="205"/>
      <c r="CA35" s="205"/>
      <c r="CB35" s="205"/>
      <c r="CC35" s="205"/>
      <c r="CD35" s="205"/>
      <c r="CE35" s="205"/>
      <c r="CF35" s="205"/>
      <c r="CG35" s="205"/>
      <c r="CH35" s="205"/>
      <c r="CI35" s="205"/>
      <c r="CJ35" s="205"/>
      <c r="CK35" s="205"/>
      <c r="CL35" s="205"/>
      <c r="CM35" s="205"/>
      <c r="CN35" s="205"/>
      <c r="CO35" s="652"/>
      <c r="CP35" s="205"/>
      <c r="CQ35" s="653">
        <v>120000</v>
      </c>
      <c r="CR35" s="205">
        <f>CQ35*G35*H35</f>
        <v>600000</v>
      </c>
      <c r="CS35" s="654"/>
      <c r="CT35" s="205"/>
      <c r="CU35" s="653">
        <v>80000</v>
      </c>
      <c r="CV35" s="205">
        <f>CU35*G35</f>
        <v>400000</v>
      </c>
      <c r="CW35" s="655"/>
      <c r="CX35" s="205"/>
      <c r="CY35" s="655">
        <v>110000</v>
      </c>
      <c r="CZ35" s="205">
        <f>CY35*G35*H35</f>
        <v>550000</v>
      </c>
      <c r="DA35" s="205"/>
      <c r="DB35" s="205"/>
      <c r="DC35" s="655"/>
      <c r="DD35" s="205"/>
      <c r="DE35" s="205"/>
      <c r="DF35" s="205"/>
      <c r="DG35" s="205"/>
      <c r="DH35" s="205"/>
      <c r="DI35" s="205"/>
      <c r="DJ35" s="205"/>
      <c r="DK35" s="205"/>
      <c r="DL35" s="205"/>
      <c r="DM35" s="205"/>
      <c r="DN35" s="205"/>
      <c r="DO35" s="205"/>
      <c r="DP35" s="205"/>
      <c r="DQ35" s="205"/>
      <c r="DR35" s="205"/>
      <c r="DS35" s="656">
        <f>+MEDIAN(CQ35,CU35,CY35)</f>
        <v>110000</v>
      </c>
      <c r="DT35" s="656">
        <f>+AVERAGE(CQ35,CU35,CY35)</f>
        <v>103333.33333333333</v>
      </c>
      <c r="DU35" s="656">
        <f>+STDEV(CQ35,CU35,CY35)</f>
        <v>20816.659994661342</v>
      </c>
      <c r="DV35" s="657">
        <f t="shared" si="1"/>
        <v>0.20145154833543236</v>
      </c>
      <c r="DW35" s="662">
        <f t="shared" si="2"/>
        <v>110000</v>
      </c>
      <c r="DX35" s="13">
        <f t="shared" si="3"/>
        <v>550000</v>
      </c>
      <c r="DY35" s="10" t="s">
        <v>322</v>
      </c>
    </row>
    <row r="36" spans="1:132" ht="91" hidden="1" x14ac:dyDescent="0.3">
      <c r="A36" s="19">
        <v>19</v>
      </c>
      <c r="B36" s="9" t="s">
        <v>15</v>
      </c>
      <c r="C36" s="9" t="s">
        <v>18</v>
      </c>
      <c r="D36" s="9" t="s">
        <v>487</v>
      </c>
      <c r="E36" s="10" t="s">
        <v>109</v>
      </c>
      <c r="F36" s="19" t="s">
        <v>19</v>
      </c>
      <c r="G36" s="11">
        <v>100</v>
      </c>
      <c r="H36" s="11">
        <v>1</v>
      </c>
      <c r="I36" s="220"/>
      <c r="J36" s="220"/>
      <c r="K36" s="220"/>
      <c r="L36" s="220"/>
      <c r="M36" s="220"/>
      <c r="N36" s="220"/>
      <c r="O36" s="221">
        <v>15100</v>
      </c>
      <c r="P36" s="222">
        <f>O36*G36</f>
        <v>1510000</v>
      </c>
      <c r="Q36" s="52">
        <v>18963</v>
      </c>
      <c r="R36" s="223">
        <f>Q36*G36</f>
        <v>1896300</v>
      </c>
      <c r="S36" s="52">
        <v>16832</v>
      </c>
      <c r="T36" s="223">
        <f>S36*G36</f>
        <v>1683200</v>
      </c>
      <c r="U36" s="223"/>
      <c r="V36" s="223"/>
      <c r="W36" s="223"/>
      <c r="X36" s="223"/>
      <c r="Y36" s="223"/>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c r="BI36" s="32"/>
      <c r="BJ36" s="32"/>
      <c r="BK36" s="192"/>
      <c r="BL36" s="32"/>
      <c r="BM36" s="192"/>
      <c r="BN36" s="32"/>
      <c r="BO36" s="32"/>
      <c r="BP36" s="32"/>
      <c r="BQ36" s="32"/>
      <c r="BR36" s="32"/>
      <c r="BS36" s="32"/>
      <c r="BT36" s="32"/>
      <c r="BU36" s="32"/>
      <c r="BV36" s="32"/>
      <c r="BW36" s="32"/>
      <c r="BX36" s="32"/>
      <c r="BY36" s="32"/>
      <c r="BZ36" s="32"/>
      <c r="CA36" s="32"/>
      <c r="CB36" s="32"/>
      <c r="CC36" s="32"/>
      <c r="CD36" s="32"/>
      <c r="CE36" s="32"/>
      <c r="CF36" s="32"/>
      <c r="CG36" s="32"/>
      <c r="CH36" s="32"/>
      <c r="CI36" s="32"/>
      <c r="CJ36" s="32"/>
      <c r="CK36" s="32"/>
      <c r="CL36" s="32"/>
      <c r="CM36" s="32"/>
      <c r="CN36" s="32"/>
      <c r="CO36" s="32"/>
      <c r="CP36" s="32"/>
      <c r="CQ36" s="32"/>
      <c r="CR36" s="32"/>
      <c r="CS36" s="32"/>
      <c r="CT36" s="32"/>
      <c r="CU36" s="32"/>
      <c r="CV36" s="32"/>
      <c r="CW36" s="32"/>
      <c r="CX36" s="32"/>
      <c r="CY36" s="32"/>
      <c r="CZ36" s="32"/>
      <c r="DA36" s="32"/>
      <c r="DB36" s="32"/>
      <c r="DC36" s="32"/>
      <c r="DD36" s="32"/>
      <c r="DE36" s="32"/>
      <c r="DF36" s="32"/>
      <c r="DG36" s="32"/>
      <c r="DH36" s="32"/>
      <c r="DI36" s="32"/>
      <c r="DJ36" s="32"/>
      <c r="DK36" s="32"/>
      <c r="DL36" s="32"/>
      <c r="DM36" s="32"/>
      <c r="DN36" s="32"/>
      <c r="DO36" s="32"/>
      <c r="DP36" s="32"/>
      <c r="DQ36" s="32"/>
      <c r="DR36" s="32"/>
      <c r="DS36" s="13">
        <f>+MEDIAN(O36,Q36,S36)</f>
        <v>16832</v>
      </c>
      <c r="DT36" s="13">
        <f>+AVERAGE(O36,Q36,S36)</f>
        <v>16965</v>
      </c>
      <c r="DU36" s="13">
        <f>+STDEV(O36,Q36,S36)</f>
        <v>1934.9312649290671</v>
      </c>
      <c r="DV36" s="17">
        <f>DU36/DT36</f>
        <v>0.11405430385670894</v>
      </c>
      <c r="DW36" s="373">
        <f>+ROUNDUP(IF(DV36&lt;15%,DT36,DS36),0)</f>
        <v>16965</v>
      </c>
      <c r="DX36" s="13">
        <f t="shared" si="3"/>
        <v>1696500</v>
      </c>
      <c r="DY36" s="10" t="s">
        <v>308</v>
      </c>
    </row>
    <row r="37" spans="1:132" ht="52" hidden="1" x14ac:dyDescent="0.3">
      <c r="A37" s="19">
        <v>20</v>
      </c>
      <c r="B37" s="9" t="s">
        <v>15</v>
      </c>
      <c r="C37" s="9" t="s">
        <v>18</v>
      </c>
      <c r="D37" s="9" t="s">
        <v>500</v>
      </c>
      <c r="E37" s="10" t="s">
        <v>73</v>
      </c>
      <c r="F37" s="19" t="s">
        <v>19</v>
      </c>
      <c r="G37" s="11">
        <v>100</v>
      </c>
      <c r="H37" s="11">
        <v>1</v>
      </c>
      <c r="I37" s="191"/>
      <c r="J37" s="191"/>
      <c r="K37" s="191"/>
      <c r="L37" s="191"/>
      <c r="M37" s="191"/>
      <c r="N37" s="191"/>
      <c r="O37" s="211"/>
      <c r="P37" s="212"/>
      <c r="Q37" s="25">
        <v>14900</v>
      </c>
      <c r="R37" s="223">
        <f>Q37*G37</f>
        <v>1490000</v>
      </c>
      <c r="S37" s="25">
        <v>16523</v>
      </c>
      <c r="T37" s="223">
        <f>S37*G37</f>
        <v>1652300</v>
      </c>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192"/>
      <c r="BL37" s="32"/>
      <c r="BM37" s="192"/>
      <c r="BN37" s="32"/>
      <c r="BO37" s="32"/>
      <c r="BP37" s="32"/>
      <c r="BQ37" s="32"/>
      <c r="BR37" s="32"/>
      <c r="BS37" s="32"/>
      <c r="BT37" s="32"/>
      <c r="BU37" s="32"/>
      <c r="BV37" s="32"/>
      <c r="BW37" s="32"/>
      <c r="BX37" s="32"/>
      <c r="BY37" s="32"/>
      <c r="BZ37" s="32"/>
      <c r="CA37" s="32"/>
      <c r="CB37" s="32"/>
      <c r="CC37" s="32"/>
      <c r="CD37" s="32"/>
      <c r="CE37" s="32"/>
      <c r="CF37" s="32"/>
      <c r="CG37" s="32"/>
      <c r="CH37" s="32"/>
      <c r="CI37" s="32"/>
      <c r="CJ37" s="32"/>
      <c r="CK37" s="32"/>
      <c r="CL37" s="32"/>
      <c r="CM37" s="32"/>
      <c r="CN37" s="32"/>
      <c r="CO37" s="32"/>
      <c r="CP37" s="32"/>
      <c r="CQ37" s="32"/>
      <c r="CR37" s="32"/>
      <c r="CS37" s="32"/>
      <c r="CT37" s="32"/>
      <c r="CU37" s="32"/>
      <c r="CV37" s="32"/>
      <c r="CW37" s="32"/>
      <c r="CX37" s="32"/>
      <c r="CY37" s="32"/>
      <c r="CZ37" s="32"/>
      <c r="DA37" s="32"/>
      <c r="DB37" s="32"/>
      <c r="DC37" s="32"/>
      <c r="DD37" s="32"/>
      <c r="DE37" s="32"/>
      <c r="DF37" s="32"/>
      <c r="DG37" s="32"/>
      <c r="DH37" s="32"/>
      <c r="DI37" s="32"/>
      <c r="DJ37" s="32"/>
      <c r="DK37" s="32"/>
      <c r="DL37" s="32"/>
      <c r="DM37" s="32"/>
      <c r="DN37" s="32"/>
      <c r="DO37" s="32"/>
      <c r="DP37" s="32"/>
      <c r="DQ37" s="32"/>
      <c r="DR37" s="32"/>
      <c r="DS37" s="13">
        <f>+MEDIAN(Q37,S37)</f>
        <v>15711.5</v>
      </c>
      <c r="DT37" s="13">
        <f>+AVERAGE(Q37,S37)</f>
        <v>15711.5</v>
      </c>
      <c r="DU37" s="13">
        <f>+STDEV(Q37,S37)</f>
        <v>1147.6343058657667</v>
      </c>
      <c r="DV37" s="17">
        <f t="shared" si="1"/>
        <v>7.3044222758219562E-2</v>
      </c>
      <c r="DW37" s="373">
        <f t="shared" si="2"/>
        <v>15712</v>
      </c>
      <c r="DX37" s="13">
        <f t="shared" si="3"/>
        <v>1571200</v>
      </c>
      <c r="DY37" s="10" t="s">
        <v>308</v>
      </c>
    </row>
    <row r="38" spans="1:132" ht="43.5" hidden="1" customHeight="1" x14ac:dyDescent="0.3">
      <c r="A38" s="19">
        <v>21</v>
      </c>
      <c r="B38" s="9" t="s">
        <v>15</v>
      </c>
      <c r="C38" s="9" t="s">
        <v>18</v>
      </c>
      <c r="D38" s="9" t="s">
        <v>498</v>
      </c>
      <c r="E38" s="10" t="s">
        <v>472</v>
      </c>
      <c r="F38" s="19" t="s">
        <v>19</v>
      </c>
      <c r="G38" s="11">
        <v>100</v>
      </c>
      <c r="H38" s="11">
        <v>1</v>
      </c>
      <c r="I38" s="191"/>
      <c r="J38" s="191"/>
      <c r="K38" s="191"/>
      <c r="L38" s="191"/>
      <c r="M38" s="191"/>
      <c r="N38" s="191"/>
      <c r="O38" s="211"/>
      <c r="P38" s="21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192"/>
      <c r="BL38" s="32"/>
      <c r="BM38" s="192"/>
      <c r="BN38" s="32"/>
      <c r="BO38" s="32"/>
      <c r="BP38" s="32"/>
      <c r="BQ38" s="32"/>
      <c r="BR38" s="32"/>
      <c r="BS38" s="32"/>
      <c r="BT38" s="32"/>
      <c r="BU38" s="32"/>
      <c r="BV38" s="32"/>
      <c r="BW38" s="32"/>
      <c r="BX38" s="32"/>
      <c r="BY38" s="32"/>
      <c r="BZ38" s="32"/>
      <c r="CA38" s="32"/>
      <c r="CB38" s="32"/>
      <c r="CC38" s="32"/>
      <c r="CD38" s="32"/>
      <c r="CE38" s="32"/>
      <c r="CF38" s="32"/>
      <c r="CG38" s="32"/>
      <c r="CH38" s="32"/>
      <c r="CI38" s="32"/>
      <c r="CJ38" s="32"/>
      <c r="CK38" s="32"/>
      <c r="CL38" s="32"/>
      <c r="CM38" s="32"/>
      <c r="CN38" s="32"/>
      <c r="CO38" s="211">
        <v>85000</v>
      </c>
      <c r="CP38" s="32">
        <f>CO38*G38</f>
        <v>8500000</v>
      </c>
      <c r="CQ38" s="225"/>
      <c r="CR38" s="32"/>
      <c r="CS38" s="28">
        <v>65000</v>
      </c>
      <c r="CT38" s="25">
        <f>CS38*G38</f>
        <v>6500000</v>
      </c>
      <c r="CU38" s="225"/>
      <c r="CV38" s="25"/>
      <c r="CW38" s="227"/>
      <c r="CX38" s="25"/>
      <c r="CY38" s="227">
        <v>100000</v>
      </c>
      <c r="CZ38" s="25">
        <f>CY38*G38*H38</f>
        <v>10000000</v>
      </c>
      <c r="DA38" s="25"/>
      <c r="DB38" s="25"/>
      <c r="DC38" s="227"/>
      <c r="DD38" s="25"/>
      <c r="DE38" s="25"/>
      <c r="DF38" s="25"/>
      <c r="DG38" s="25"/>
      <c r="DH38" s="25"/>
      <c r="DI38" s="25"/>
      <c r="DJ38" s="25"/>
      <c r="DK38" s="25"/>
      <c r="DL38" s="25"/>
      <c r="DM38" s="25"/>
      <c r="DN38" s="25"/>
      <c r="DO38" s="25"/>
      <c r="DP38" s="25"/>
      <c r="DQ38" s="25"/>
      <c r="DR38" s="25"/>
      <c r="DS38" s="13">
        <f>+MEDIAN(CO38,CS38,CY38)</f>
        <v>85000</v>
      </c>
      <c r="DT38" s="13">
        <f>+AVERAGE(CO38,CS38,CY38)</f>
        <v>83333.333333333328</v>
      </c>
      <c r="DU38" s="13">
        <f>+STDEV(CO38,CS38,CY38)</f>
        <v>17559.42292142125</v>
      </c>
      <c r="DV38" s="17">
        <f>DU38/DT38</f>
        <v>0.210713075057055</v>
      </c>
      <c r="DW38" s="373">
        <f t="shared" si="2"/>
        <v>85000</v>
      </c>
      <c r="DX38" s="13">
        <f t="shared" si="3"/>
        <v>8500000</v>
      </c>
      <c r="DY38" s="10" t="s">
        <v>322</v>
      </c>
    </row>
    <row r="39" spans="1:132" ht="182" hidden="1" x14ac:dyDescent="0.3">
      <c r="A39" s="415">
        <v>22</v>
      </c>
      <c r="B39" s="416" t="s">
        <v>15</v>
      </c>
      <c r="C39" s="134" t="s">
        <v>18</v>
      </c>
      <c r="D39" s="417" t="s">
        <v>385</v>
      </c>
      <c r="E39" s="418" t="s">
        <v>529</v>
      </c>
      <c r="F39" s="419" t="s">
        <v>28</v>
      </c>
      <c r="G39" s="420">
        <v>1</v>
      </c>
      <c r="H39" s="420">
        <v>1</v>
      </c>
      <c r="I39" s="421"/>
      <c r="J39" s="421"/>
      <c r="K39" s="421"/>
      <c r="L39" s="421"/>
      <c r="M39" s="421"/>
      <c r="N39" s="421"/>
      <c r="O39" s="422"/>
      <c r="P39" s="423"/>
      <c r="Q39" s="424"/>
      <c r="R39" s="424"/>
      <c r="S39" s="424"/>
      <c r="T39" s="424"/>
      <c r="U39" s="424"/>
      <c r="V39" s="424"/>
      <c r="W39" s="424"/>
      <c r="X39" s="424"/>
      <c r="Y39" s="424"/>
      <c r="Z39" s="424"/>
      <c r="AA39" s="424"/>
      <c r="AB39" s="424"/>
      <c r="AC39" s="424"/>
      <c r="AD39" s="424"/>
      <c r="AE39" s="424"/>
      <c r="AF39" s="424"/>
      <c r="AG39" s="424"/>
      <c r="AH39" s="424"/>
      <c r="AI39" s="424"/>
      <c r="AJ39" s="424"/>
      <c r="AK39" s="424"/>
      <c r="AL39" s="424"/>
      <c r="AM39" s="424"/>
      <c r="AN39" s="424"/>
      <c r="AO39" s="424"/>
      <c r="AP39" s="424"/>
      <c r="AQ39" s="424"/>
      <c r="AR39" s="424"/>
      <c r="AS39" s="424"/>
      <c r="AT39" s="424"/>
      <c r="AU39" s="424"/>
      <c r="AV39" s="424"/>
      <c r="AW39" s="424"/>
      <c r="AX39" s="424"/>
      <c r="AY39" s="424"/>
      <c r="AZ39" s="424"/>
      <c r="BA39" s="424"/>
      <c r="BB39" s="424"/>
      <c r="BC39" s="424"/>
      <c r="BD39" s="424"/>
      <c r="BE39" s="424"/>
      <c r="BF39" s="424"/>
      <c r="BG39" s="424"/>
      <c r="BH39" s="424"/>
      <c r="BI39" s="424"/>
      <c r="BJ39" s="424"/>
      <c r="BK39" s="425"/>
      <c r="BL39" s="424"/>
      <c r="BM39" s="425"/>
      <c r="BN39" s="424"/>
      <c r="BO39" s="424"/>
      <c r="BP39" s="424"/>
      <c r="BQ39" s="424"/>
      <c r="BR39" s="424"/>
      <c r="BS39" s="424"/>
      <c r="BT39" s="424"/>
      <c r="BU39" s="424"/>
      <c r="BV39" s="424"/>
      <c r="BW39" s="424"/>
      <c r="BX39" s="424"/>
      <c r="BY39" s="424"/>
      <c r="BZ39" s="424"/>
      <c r="CA39" s="424"/>
      <c r="CB39" s="424"/>
      <c r="CC39" s="424"/>
      <c r="CD39" s="424"/>
      <c r="CE39" s="424"/>
      <c r="CF39" s="424"/>
      <c r="CG39" s="424"/>
      <c r="CH39" s="424"/>
      <c r="CI39" s="424"/>
      <c r="CJ39" s="424"/>
      <c r="CK39" s="424"/>
      <c r="CL39" s="424"/>
      <c r="CM39" s="424"/>
      <c r="CN39" s="424"/>
      <c r="CO39" s="424"/>
      <c r="CP39" s="424"/>
      <c r="CQ39" s="424"/>
      <c r="CR39" s="424"/>
      <c r="CS39" s="424"/>
      <c r="CT39" s="424"/>
      <c r="CU39" s="424"/>
      <c r="CV39" s="424"/>
      <c r="CW39" s="424"/>
      <c r="CX39" s="424"/>
      <c r="CY39" s="424"/>
      <c r="CZ39" s="424"/>
      <c r="DA39" s="424"/>
      <c r="DB39" s="424"/>
      <c r="DC39" s="424"/>
      <c r="DD39" s="424"/>
      <c r="DE39" s="424"/>
      <c r="DF39" s="424"/>
      <c r="DG39" s="424"/>
      <c r="DH39" s="424"/>
      <c r="DI39" s="424"/>
      <c r="DJ39" s="424"/>
      <c r="DK39" s="424"/>
      <c r="DL39" s="424"/>
      <c r="DM39" s="424"/>
      <c r="DN39" s="424"/>
      <c r="DO39" s="424"/>
      <c r="DP39" s="424"/>
      <c r="DQ39" s="424"/>
      <c r="DR39" s="424"/>
      <c r="DS39" s="426"/>
      <c r="DT39" s="426"/>
      <c r="DU39" s="426"/>
      <c r="DV39" s="427"/>
      <c r="DW39" s="428">
        <v>16080000.000000002</v>
      </c>
      <c r="DX39" s="428">
        <f t="shared" si="3"/>
        <v>16080000</v>
      </c>
      <c r="DY39" s="429" t="s">
        <v>446</v>
      </c>
    </row>
    <row r="40" spans="1:132" ht="182" hidden="1" x14ac:dyDescent="0.3">
      <c r="A40" s="133">
        <v>23</v>
      </c>
      <c r="B40" s="141" t="s">
        <v>15</v>
      </c>
      <c r="C40" s="141" t="s">
        <v>18</v>
      </c>
      <c r="D40" s="141" t="s">
        <v>76</v>
      </c>
      <c r="E40" s="142" t="s">
        <v>421</v>
      </c>
      <c r="F40" s="140" t="s">
        <v>19</v>
      </c>
      <c r="G40" s="143">
        <v>100</v>
      </c>
      <c r="H40" s="143">
        <v>1</v>
      </c>
      <c r="I40" s="234"/>
      <c r="J40" s="234"/>
      <c r="K40" s="234"/>
      <c r="L40" s="234"/>
      <c r="M40" s="234"/>
      <c r="N40" s="234"/>
      <c r="O40" s="235"/>
      <c r="P40" s="236"/>
      <c r="Q40" s="237"/>
      <c r="R40" s="237"/>
      <c r="S40" s="237"/>
      <c r="T40" s="237"/>
      <c r="U40" s="237"/>
      <c r="V40" s="237"/>
      <c r="W40" s="237"/>
      <c r="X40" s="237"/>
      <c r="Y40" s="237"/>
      <c r="Z40" s="237"/>
      <c r="AA40" s="237"/>
      <c r="AB40" s="237"/>
      <c r="AC40" s="237"/>
      <c r="AD40" s="237"/>
      <c r="AE40" s="237"/>
      <c r="AF40" s="237"/>
      <c r="AG40" s="237"/>
      <c r="AH40" s="237"/>
      <c r="AI40" s="237"/>
      <c r="AJ40" s="237"/>
      <c r="AK40" s="237"/>
      <c r="AL40" s="237"/>
      <c r="AM40" s="237"/>
      <c r="AN40" s="237"/>
      <c r="AO40" s="237"/>
      <c r="AP40" s="237"/>
      <c r="AQ40" s="237"/>
      <c r="AR40" s="237"/>
      <c r="AS40" s="237"/>
      <c r="AT40" s="237"/>
      <c r="AU40" s="237"/>
      <c r="AV40" s="237"/>
      <c r="AW40" s="237"/>
      <c r="AX40" s="237"/>
      <c r="AY40" s="237"/>
      <c r="AZ40" s="237"/>
      <c r="BA40" s="237"/>
      <c r="BB40" s="237"/>
      <c r="BC40" s="237"/>
      <c r="BD40" s="237"/>
      <c r="BE40" s="237"/>
      <c r="BF40" s="237"/>
      <c r="BG40" s="237"/>
      <c r="BH40" s="237"/>
      <c r="BI40" s="237"/>
      <c r="BJ40" s="237"/>
      <c r="BK40" s="238"/>
      <c r="BL40" s="237"/>
      <c r="BM40" s="238"/>
      <c r="BN40" s="237"/>
      <c r="BO40" s="237"/>
      <c r="BP40" s="237"/>
      <c r="BQ40" s="237"/>
      <c r="BR40" s="237"/>
      <c r="BS40" s="237"/>
      <c r="BT40" s="237"/>
      <c r="BU40" s="237"/>
      <c r="BV40" s="237"/>
      <c r="BW40" s="237"/>
      <c r="BX40" s="237"/>
      <c r="BY40" s="237"/>
      <c r="BZ40" s="237"/>
      <c r="CA40" s="237"/>
      <c r="CB40" s="237"/>
      <c r="CC40" s="237"/>
      <c r="CD40" s="237"/>
      <c r="CE40" s="237"/>
      <c r="CF40" s="237"/>
      <c r="CG40" s="237"/>
      <c r="CH40" s="237"/>
      <c r="CI40" s="237"/>
      <c r="CJ40" s="237"/>
      <c r="CK40" s="237"/>
      <c r="CL40" s="237"/>
      <c r="CM40" s="237"/>
      <c r="CN40" s="237"/>
      <c r="CO40" s="237"/>
      <c r="CP40" s="237"/>
      <c r="CQ40" s="237"/>
      <c r="CR40" s="237"/>
      <c r="CS40" s="237"/>
      <c r="CT40" s="237"/>
      <c r="CU40" s="237"/>
      <c r="CV40" s="237"/>
      <c r="CW40" s="237"/>
      <c r="CX40" s="237"/>
      <c r="CY40" s="237"/>
      <c r="CZ40" s="237"/>
      <c r="DA40" s="237"/>
      <c r="DB40" s="237"/>
      <c r="DC40" s="237"/>
      <c r="DD40" s="237"/>
      <c r="DE40" s="237"/>
      <c r="DF40" s="237"/>
      <c r="DG40" s="237"/>
      <c r="DH40" s="237"/>
      <c r="DI40" s="237"/>
      <c r="DJ40" s="237"/>
      <c r="DK40" s="237"/>
      <c r="DL40" s="237"/>
      <c r="DM40" s="237"/>
      <c r="DN40" s="237"/>
      <c r="DO40" s="237"/>
      <c r="DP40" s="237"/>
      <c r="DQ40" s="237"/>
      <c r="DR40" s="237"/>
      <c r="DS40" s="145"/>
      <c r="DT40" s="145"/>
      <c r="DU40" s="145"/>
      <c r="DV40" s="144"/>
      <c r="DW40" s="320">
        <f>+DZ40+EB40</f>
        <v>378000</v>
      </c>
      <c r="DX40" s="320">
        <f t="shared" si="3"/>
        <v>37800000</v>
      </c>
      <c r="DY40" s="139" t="s">
        <v>1148</v>
      </c>
      <c r="DZ40" s="604">
        <v>300000</v>
      </c>
      <c r="EA40" s="604">
        <f>+DZ40*G40*H40</f>
        <v>30000000</v>
      </c>
      <c r="EB40" s="604">
        <f>+DZ40*26%</f>
        <v>78000</v>
      </c>
    </row>
    <row r="41" spans="1:132" s="63" customFormat="1" ht="20.149999999999999" hidden="1" customHeight="1" x14ac:dyDescent="0.3">
      <c r="A41" s="66" t="s">
        <v>353</v>
      </c>
      <c r="B41" s="66"/>
      <c r="C41" s="66"/>
      <c r="D41" s="66"/>
      <c r="E41" s="66"/>
      <c r="F41" s="67"/>
      <c r="G41" s="67"/>
      <c r="H41" s="67"/>
      <c r="I41" s="214"/>
      <c r="J41" s="214"/>
      <c r="K41" s="214"/>
      <c r="L41" s="214"/>
      <c r="M41" s="214"/>
      <c r="N41" s="214"/>
      <c r="O41" s="215"/>
      <c r="P41" s="215"/>
      <c r="Q41" s="215"/>
      <c r="R41" s="215"/>
      <c r="S41" s="215"/>
      <c r="T41" s="215"/>
      <c r="U41" s="215"/>
      <c r="V41" s="215"/>
      <c r="W41" s="215"/>
      <c r="X41" s="215"/>
      <c r="Y41" s="215"/>
      <c r="Z41" s="215"/>
      <c r="AA41" s="215"/>
      <c r="AB41" s="215"/>
      <c r="AC41" s="215"/>
      <c r="AD41" s="215"/>
      <c r="AE41" s="215"/>
      <c r="AF41" s="215"/>
      <c r="AG41" s="215"/>
      <c r="AH41" s="215"/>
      <c r="AI41" s="215"/>
      <c r="AJ41" s="215"/>
      <c r="AK41" s="215"/>
      <c r="AL41" s="215"/>
      <c r="AM41" s="215"/>
      <c r="AN41" s="215"/>
      <c r="AO41" s="215"/>
      <c r="AP41" s="215"/>
      <c r="AQ41" s="215"/>
      <c r="AR41" s="215"/>
      <c r="AS41" s="215"/>
      <c r="AT41" s="215"/>
      <c r="AU41" s="215"/>
      <c r="AV41" s="215"/>
      <c r="AW41" s="215"/>
      <c r="AX41" s="215"/>
      <c r="AY41" s="215"/>
      <c r="AZ41" s="215"/>
      <c r="BA41" s="215"/>
      <c r="BB41" s="215"/>
      <c r="BC41" s="215"/>
      <c r="BD41" s="215"/>
      <c r="BE41" s="215"/>
      <c r="BF41" s="215"/>
      <c r="BG41" s="215"/>
      <c r="BH41" s="215"/>
      <c r="BI41" s="215"/>
      <c r="BJ41" s="215"/>
      <c r="BK41" s="215"/>
      <c r="BL41" s="216"/>
      <c r="BM41" s="215"/>
      <c r="BN41" s="216"/>
      <c r="BO41" s="216"/>
      <c r="BP41" s="216"/>
      <c r="BQ41" s="216"/>
      <c r="BR41" s="216"/>
      <c r="BS41" s="216"/>
      <c r="BT41" s="216"/>
      <c r="BU41" s="216"/>
      <c r="BV41" s="216"/>
      <c r="BW41" s="216"/>
      <c r="BX41" s="216"/>
      <c r="BY41" s="216"/>
      <c r="BZ41" s="216"/>
      <c r="CA41" s="216"/>
      <c r="CB41" s="216"/>
      <c r="CC41" s="216"/>
      <c r="CD41" s="216"/>
      <c r="CE41" s="216"/>
      <c r="CF41" s="216"/>
      <c r="CG41" s="216"/>
      <c r="CH41" s="216"/>
      <c r="CI41" s="216"/>
      <c r="CJ41" s="216"/>
      <c r="CK41" s="216"/>
      <c r="CL41" s="216"/>
      <c r="CM41" s="216"/>
      <c r="CN41" s="216"/>
      <c r="CO41" s="216"/>
      <c r="CP41" s="216"/>
      <c r="CQ41" s="216"/>
      <c r="CR41" s="216"/>
      <c r="CS41" s="216"/>
      <c r="CT41" s="216"/>
      <c r="CU41" s="216"/>
      <c r="CV41" s="216"/>
      <c r="CW41" s="216"/>
      <c r="CX41" s="216"/>
      <c r="CY41" s="216"/>
      <c r="CZ41" s="216"/>
      <c r="DA41" s="216"/>
      <c r="DB41" s="216"/>
      <c r="DC41" s="216"/>
      <c r="DD41" s="216"/>
      <c r="DE41" s="216"/>
      <c r="DF41" s="216"/>
      <c r="DG41" s="216"/>
      <c r="DH41" s="216"/>
      <c r="DI41" s="216"/>
      <c r="DJ41" s="216"/>
      <c r="DK41" s="216"/>
      <c r="DL41" s="216"/>
      <c r="DM41" s="216"/>
      <c r="DN41" s="216"/>
      <c r="DO41" s="216"/>
      <c r="DP41" s="216"/>
      <c r="DQ41" s="216"/>
      <c r="DR41" s="216"/>
      <c r="DS41" s="215"/>
      <c r="DT41" s="215"/>
      <c r="DU41" s="215"/>
      <c r="DV41" s="68"/>
      <c r="DW41" s="69">
        <f>SUM(DW34:DW40)</f>
        <v>17125677</v>
      </c>
      <c r="DX41" s="69">
        <f>SUM(DX34:DX40)</f>
        <v>110197700</v>
      </c>
      <c r="DY41" s="165"/>
      <c r="DZ41" s="609"/>
      <c r="EA41" s="609"/>
      <c r="EB41" s="609"/>
    </row>
    <row r="42" spans="1:132" ht="65" hidden="1" x14ac:dyDescent="0.3">
      <c r="A42" s="19">
        <v>24</v>
      </c>
      <c r="B42" s="40" t="s">
        <v>15</v>
      </c>
      <c r="C42" s="40" t="s">
        <v>80</v>
      </c>
      <c r="D42" s="40" t="s">
        <v>234</v>
      </c>
      <c r="E42" s="75" t="s">
        <v>233</v>
      </c>
      <c r="F42" s="41" t="s">
        <v>473</v>
      </c>
      <c r="G42" s="43">
        <v>1</v>
      </c>
      <c r="H42" s="43">
        <v>1</v>
      </c>
      <c r="I42" s="207"/>
      <c r="J42" s="207"/>
      <c r="K42" s="207"/>
      <c r="L42" s="207"/>
      <c r="M42" s="207"/>
      <c r="N42" s="207"/>
      <c r="O42" s="208"/>
      <c r="P42" s="217"/>
      <c r="Q42" s="209"/>
      <c r="R42" s="209"/>
      <c r="S42" s="209"/>
      <c r="T42" s="209"/>
      <c r="U42" s="209"/>
      <c r="V42" s="209"/>
      <c r="W42" s="209"/>
      <c r="X42" s="209"/>
      <c r="Y42" s="209"/>
      <c r="Z42" s="209"/>
      <c r="AA42" s="209"/>
      <c r="AB42" s="209"/>
      <c r="AC42" s="209"/>
      <c r="AD42" s="209"/>
      <c r="AE42" s="209"/>
      <c r="AF42" s="209"/>
      <c r="AG42" s="209"/>
      <c r="AH42" s="209"/>
      <c r="AI42" s="209"/>
      <c r="AJ42" s="209"/>
      <c r="AK42" s="209">
        <v>1750000</v>
      </c>
      <c r="AL42" s="209">
        <f>AK42*G42*H42</f>
        <v>1750000</v>
      </c>
      <c r="AM42" s="209">
        <f>1800000+(1800000*5.2%)</f>
        <v>1893600</v>
      </c>
      <c r="AN42" s="209">
        <f>AM42*G42*H42</f>
        <v>1893600</v>
      </c>
      <c r="AO42" s="209"/>
      <c r="AP42" s="209"/>
      <c r="AQ42" s="209"/>
      <c r="AR42" s="209"/>
      <c r="AS42" s="209"/>
      <c r="AT42" s="209"/>
      <c r="AU42" s="209"/>
      <c r="AV42" s="209"/>
      <c r="AW42" s="209"/>
      <c r="AX42" s="209"/>
      <c r="AY42" s="209"/>
      <c r="AZ42" s="209"/>
      <c r="BA42" s="210"/>
      <c r="BB42" s="210"/>
      <c r="BC42" s="209"/>
      <c r="BD42" s="209"/>
      <c r="BE42" s="209"/>
      <c r="BF42" s="209"/>
      <c r="BG42" s="209"/>
      <c r="BH42" s="209"/>
      <c r="BI42" s="209"/>
      <c r="BJ42" s="209"/>
      <c r="BK42" s="210"/>
      <c r="BL42" s="209"/>
      <c r="BM42" s="210"/>
      <c r="BN42" s="209"/>
      <c r="BO42" s="209"/>
      <c r="BP42" s="209"/>
      <c r="BQ42" s="209"/>
      <c r="BR42" s="209"/>
      <c r="BS42" s="209"/>
      <c r="BT42" s="209"/>
      <c r="BU42" s="209"/>
      <c r="BV42" s="209"/>
      <c r="BW42" s="209"/>
      <c r="BX42" s="209"/>
      <c r="BY42" s="209"/>
      <c r="BZ42" s="209"/>
      <c r="CA42" s="209"/>
      <c r="CB42" s="209"/>
      <c r="CC42" s="209"/>
      <c r="CD42" s="209"/>
      <c r="CE42" s="209"/>
      <c r="CF42" s="209"/>
      <c r="CG42" s="209"/>
      <c r="CH42" s="209"/>
      <c r="CI42" s="209"/>
      <c r="CJ42" s="209"/>
      <c r="CK42" s="209"/>
      <c r="CL42" s="209"/>
      <c r="CM42" s="209"/>
      <c r="CN42" s="209"/>
      <c r="CO42" s="209"/>
      <c r="CP42" s="209"/>
      <c r="CQ42" s="209"/>
      <c r="CR42" s="209"/>
      <c r="CS42" s="209"/>
      <c r="CT42" s="209"/>
      <c r="CU42" s="209"/>
      <c r="CV42" s="209"/>
      <c r="CW42" s="209"/>
      <c r="CX42" s="209"/>
      <c r="CY42" s="209"/>
      <c r="CZ42" s="209"/>
      <c r="DA42" s="209"/>
      <c r="DB42" s="209"/>
      <c r="DC42" s="209"/>
      <c r="DD42" s="209"/>
      <c r="DE42" s="209"/>
      <c r="DF42" s="209"/>
      <c r="DG42" s="209"/>
      <c r="DH42" s="209"/>
      <c r="DI42" s="209"/>
      <c r="DJ42" s="209"/>
      <c r="DK42" s="209"/>
      <c r="DL42" s="209"/>
      <c r="DM42" s="209"/>
      <c r="DN42" s="209"/>
      <c r="DO42" s="209"/>
      <c r="DP42" s="209"/>
      <c r="DQ42" s="209"/>
      <c r="DR42" s="209"/>
      <c r="DS42" s="65">
        <f>+MEDIAN(AK42,AM42)</f>
        <v>1821800</v>
      </c>
      <c r="DT42" s="65">
        <f>+AVERAGE(AK42,AM42)</f>
        <v>1821800</v>
      </c>
      <c r="DU42" s="65">
        <f>+STDEV(AK42,AM42)</f>
        <v>101540.53377838823</v>
      </c>
      <c r="DV42" s="64">
        <f t="shared" si="1"/>
        <v>5.5736378185524335E-2</v>
      </c>
      <c r="DW42" s="375">
        <f t="shared" si="2"/>
        <v>1821800</v>
      </c>
      <c r="DX42" s="65">
        <f>+ROUND(DW42*G42*H42,0)</f>
        <v>1821800</v>
      </c>
      <c r="DY42" s="42" t="s">
        <v>308</v>
      </c>
    </row>
    <row r="43" spans="1:132" ht="39" hidden="1" x14ac:dyDescent="0.3">
      <c r="A43" s="19">
        <v>25</v>
      </c>
      <c r="B43" s="9" t="s">
        <v>15</v>
      </c>
      <c r="C43" s="9" t="s">
        <v>80</v>
      </c>
      <c r="D43" s="9" t="s">
        <v>81</v>
      </c>
      <c r="E43" s="30" t="s">
        <v>1175</v>
      </c>
      <c r="F43" s="31" t="s">
        <v>240</v>
      </c>
      <c r="G43" s="11">
        <v>1</v>
      </c>
      <c r="H43" s="11">
        <v>1</v>
      </c>
      <c r="I43" s="191"/>
      <c r="J43" s="191"/>
      <c r="K43" s="191"/>
      <c r="L43" s="191"/>
      <c r="M43" s="191"/>
      <c r="N43" s="191"/>
      <c r="O43" s="211"/>
      <c r="P43" s="212"/>
      <c r="Q43" s="32"/>
      <c r="R43" s="32"/>
      <c r="S43" s="32"/>
      <c r="T43" s="32"/>
      <c r="U43" s="176"/>
      <c r="V43" s="176"/>
      <c r="W43" s="176"/>
      <c r="X43" s="176"/>
      <c r="Y43" s="176"/>
      <c r="Z43" s="32"/>
      <c r="AB43" s="32"/>
      <c r="AC43" s="32">
        <f>180000+(180000*5.2%)</f>
        <v>189360</v>
      </c>
      <c r="AD43" s="32">
        <f>AC43*G43*H43</f>
        <v>189360</v>
      </c>
      <c r="AE43" s="32"/>
      <c r="AF43" s="32"/>
      <c r="AG43" s="192"/>
      <c r="AH43" s="32"/>
      <c r="AI43" s="32">
        <f>300000+(300000*5.2%)</f>
        <v>315600</v>
      </c>
      <c r="AJ43" s="32">
        <f>AI43*G43*H43</f>
        <v>315600</v>
      </c>
      <c r="AK43" s="32"/>
      <c r="AL43" s="32"/>
      <c r="AM43" s="32"/>
      <c r="AN43" s="32"/>
      <c r="AO43" s="32"/>
      <c r="AP43" s="32"/>
      <c r="AQ43" s="32"/>
      <c r="AR43" s="32"/>
      <c r="AS43" s="32"/>
      <c r="AT43" s="32"/>
      <c r="AU43" s="32"/>
      <c r="AV43" s="32"/>
      <c r="AW43" s="32"/>
      <c r="AX43" s="32"/>
      <c r="AY43" s="32"/>
      <c r="AZ43" s="32"/>
      <c r="BA43" s="32">
        <f>194000+(194000*5.2%)</f>
        <v>204088</v>
      </c>
      <c r="BB43" s="32">
        <f>BA43*G43</f>
        <v>204088</v>
      </c>
      <c r="BC43" s="32"/>
      <c r="BD43" s="32"/>
      <c r="BE43" s="32"/>
      <c r="BF43" s="32"/>
      <c r="BG43" s="32"/>
      <c r="BH43" s="32"/>
      <c r="BI43" s="32"/>
      <c r="BJ43" s="32"/>
      <c r="BK43" s="192"/>
      <c r="BL43" s="32"/>
      <c r="BM43" s="192"/>
      <c r="BN43" s="32"/>
      <c r="BO43" s="32"/>
      <c r="BP43" s="32"/>
      <c r="BQ43" s="32"/>
      <c r="BR43" s="32"/>
      <c r="BS43" s="32"/>
      <c r="BT43" s="32"/>
      <c r="BU43" s="32"/>
      <c r="BV43" s="32"/>
      <c r="BW43" s="32"/>
      <c r="BX43" s="32"/>
      <c r="BY43" s="32"/>
      <c r="BZ43" s="32"/>
      <c r="CA43" s="32"/>
      <c r="CB43" s="32"/>
      <c r="CC43" s="32"/>
      <c r="CD43" s="32"/>
      <c r="CE43" s="32"/>
      <c r="CF43" s="32"/>
      <c r="CG43" s="32"/>
      <c r="CH43" s="32"/>
      <c r="CI43" s="32"/>
      <c r="CJ43" s="32"/>
      <c r="CK43" s="32"/>
      <c r="CL43" s="32"/>
      <c r="CM43" s="32"/>
      <c r="CN43" s="32"/>
      <c r="CO43" s="32"/>
      <c r="CP43" s="32"/>
      <c r="CQ43" s="32"/>
      <c r="CR43" s="32"/>
      <c r="CS43" s="32"/>
      <c r="CT43" s="32"/>
      <c r="CU43" s="32"/>
      <c r="CV43" s="32"/>
      <c r="CW43" s="32"/>
      <c r="CX43" s="32"/>
      <c r="CY43" s="32"/>
      <c r="CZ43" s="32"/>
      <c r="DA43" s="32"/>
      <c r="DB43" s="32"/>
      <c r="DC43" s="32"/>
      <c r="DD43" s="32"/>
      <c r="DE43" s="32"/>
      <c r="DF43" s="32"/>
      <c r="DG43" s="32"/>
      <c r="DH43" s="32"/>
      <c r="DI43" s="32"/>
      <c r="DJ43" s="32"/>
      <c r="DK43" s="32"/>
      <c r="DL43" s="32"/>
      <c r="DM43" s="32"/>
      <c r="DN43" s="32"/>
      <c r="DO43" s="32"/>
      <c r="DP43" s="32"/>
      <c r="DQ43" s="32"/>
      <c r="DR43" s="32"/>
      <c r="DS43" s="13">
        <f>+MEDIAN(AC43,AI43,BA43)</f>
        <v>204088</v>
      </c>
      <c r="DT43" s="13">
        <f>+AVERAGE(AC43,AI43,BA43)</f>
        <v>236349.33333333334</v>
      </c>
      <c r="DU43" s="13">
        <f>+STDEV(AC43,AI43,BA43)</f>
        <v>69027.020950735867</v>
      </c>
      <c r="DV43" s="17">
        <f t="shared" si="1"/>
        <v>0.29205506940603115</v>
      </c>
      <c r="DW43" s="373">
        <f t="shared" si="2"/>
        <v>204088</v>
      </c>
      <c r="DX43" s="13">
        <f>+ROUND(DW43*G43*H43,0)</f>
        <v>204088</v>
      </c>
      <c r="DY43" s="10" t="s">
        <v>309</v>
      </c>
    </row>
    <row r="44" spans="1:132" ht="96.65" hidden="1" customHeight="1" x14ac:dyDescent="0.3">
      <c r="A44" s="19">
        <v>26</v>
      </c>
      <c r="B44" s="9" t="s">
        <v>15</v>
      </c>
      <c r="C44" s="9" t="s">
        <v>80</v>
      </c>
      <c r="D44" s="9" t="s">
        <v>82</v>
      </c>
      <c r="E44" s="30" t="s">
        <v>354</v>
      </c>
      <c r="F44" s="34" t="s">
        <v>509</v>
      </c>
      <c r="G44" s="11">
        <v>1</v>
      </c>
      <c r="H44" s="11">
        <v>4</v>
      </c>
      <c r="I44" s="191"/>
      <c r="J44" s="191"/>
      <c r="K44" s="191"/>
      <c r="L44" s="191"/>
      <c r="M44" s="191"/>
      <c r="N44" s="191"/>
      <c r="O44" s="211"/>
      <c r="P44" s="212"/>
      <c r="Q44" s="32"/>
      <c r="R44" s="32"/>
      <c r="S44" s="32"/>
      <c r="T44" s="32"/>
      <c r="U44" s="32"/>
      <c r="V44" s="32"/>
      <c r="W44" s="32"/>
      <c r="X44" s="32"/>
      <c r="Y44" s="32"/>
      <c r="Z44" s="32"/>
      <c r="AA44" s="32"/>
      <c r="AB44" s="32"/>
      <c r="AC44" s="32"/>
      <c r="AD44" s="240"/>
      <c r="AE44" s="32"/>
      <c r="AF44" s="32"/>
      <c r="AH44" s="209"/>
      <c r="AI44" s="209"/>
      <c r="AJ44" s="209"/>
      <c r="AK44" s="209"/>
      <c r="AL44" s="209"/>
      <c r="AM44" s="209"/>
      <c r="AN44" s="209"/>
      <c r="AO44" s="209"/>
      <c r="AP44" s="209"/>
      <c r="AQ44" s="209"/>
      <c r="AR44" s="209"/>
      <c r="AS44" s="209"/>
      <c r="AT44" s="209"/>
      <c r="AU44" s="209"/>
      <c r="AV44" s="209"/>
      <c r="AW44" s="209"/>
      <c r="AX44" s="209"/>
      <c r="AY44" s="209"/>
      <c r="AZ44" s="209"/>
      <c r="BA44" s="32"/>
      <c r="BB44" s="209"/>
      <c r="BC44" s="209"/>
      <c r="BD44" s="209"/>
      <c r="BE44" s="209"/>
      <c r="BF44" s="209"/>
      <c r="BG44" s="209"/>
      <c r="BH44" s="209"/>
      <c r="BI44" s="209"/>
      <c r="BJ44" s="209"/>
      <c r="BK44" s="210"/>
      <c r="BL44" s="209"/>
      <c r="BM44" s="210"/>
      <c r="BN44" s="209"/>
      <c r="BO44" s="209"/>
      <c r="BP44" s="209"/>
      <c r="BQ44" s="209"/>
      <c r="BR44" s="209"/>
      <c r="BS44" s="209"/>
      <c r="BT44" s="209"/>
      <c r="BU44" s="209"/>
      <c r="BV44" s="209"/>
      <c r="BW44" s="209"/>
      <c r="BX44" s="209"/>
      <c r="BY44" s="209"/>
      <c r="BZ44" s="209"/>
      <c r="CA44" s="209"/>
      <c r="CB44" s="209"/>
      <c r="CC44" s="209"/>
      <c r="CD44" s="209"/>
      <c r="CE44" s="209"/>
      <c r="CF44" s="209"/>
      <c r="CG44" s="209"/>
      <c r="CH44" s="209"/>
      <c r="CI44" s="209"/>
      <c r="CJ44" s="209"/>
      <c r="CK44" s="209"/>
      <c r="CL44" s="209"/>
      <c r="CM44" s="209"/>
      <c r="CN44" s="209"/>
      <c r="CO44" s="359">
        <v>1400000</v>
      </c>
      <c r="CP44" s="209">
        <f>CO44*G44*H44</f>
        <v>5600000</v>
      </c>
      <c r="CQ44" s="225"/>
      <c r="CR44" s="209"/>
      <c r="CS44" s="33">
        <v>1500000</v>
      </c>
      <c r="CT44" s="25">
        <f>CS44*G44*H44</f>
        <v>6000000</v>
      </c>
      <c r="CU44" s="225"/>
      <c r="CV44" s="25"/>
      <c r="CW44" s="226"/>
      <c r="CX44" s="25"/>
      <c r="CY44" s="226"/>
      <c r="CZ44" s="25"/>
      <c r="DA44" s="25"/>
      <c r="DB44" s="25"/>
      <c r="DC44" s="226"/>
      <c r="DD44" s="25"/>
      <c r="DE44" s="25"/>
      <c r="DF44" s="25"/>
      <c r="DG44" s="25"/>
      <c r="DH44" s="25"/>
      <c r="DI44" s="25"/>
      <c r="DJ44" s="25"/>
      <c r="DK44" s="25"/>
      <c r="DL44" s="25"/>
      <c r="DM44" s="25"/>
      <c r="DN44" s="25"/>
      <c r="DO44" s="25"/>
      <c r="DP44" s="25"/>
      <c r="DQ44" s="25"/>
      <c r="DR44" s="25"/>
      <c r="DS44" s="13">
        <f>+MEDIAN(CO44,CS44)</f>
        <v>1450000</v>
      </c>
      <c r="DT44" s="13">
        <f>+AVERAGE(CO44,CS44)</f>
        <v>1450000</v>
      </c>
      <c r="DU44" s="13">
        <f>+STDEV(CO44,CS44)</f>
        <v>70710.67811865476</v>
      </c>
      <c r="DV44" s="17">
        <f t="shared" si="1"/>
        <v>4.8765984909417075E-2</v>
      </c>
      <c r="DW44" s="373">
        <f t="shared" si="2"/>
        <v>1450000</v>
      </c>
      <c r="DX44" s="13">
        <f>+ROUND(DW44*G44*H44,0)</f>
        <v>5800000</v>
      </c>
      <c r="DY44" s="10" t="s">
        <v>448</v>
      </c>
    </row>
    <row r="45" spans="1:132" ht="117" hidden="1" x14ac:dyDescent="0.3">
      <c r="A45" s="19">
        <v>27</v>
      </c>
      <c r="B45" s="9" t="s">
        <v>15</v>
      </c>
      <c r="C45" s="9" t="s">
        <v>80</v>
      </c>
      <c r="D45" s="9" t="s">
        <v>505</v>
      </c>
      <c r="E45" s="10" t="s">
        <v>23</v>
      </c>
      <c r="F45" s="27" t="s">
        <v>326</v>
      </c>
      <c r="G45" s="11">
        <v>1</v>
      </c>
      <c r="H45" s="11">
        <v>1</v>
      </c>
      <c r="I45" s="191"/>
      <c r="J45" s="191"/>
      <c r="K45" s="191"/>
      <c r="L45" s="191"/>
      <c r="M45" s="191"/>
      <c r="N45" s="191"/>
      <c r="O45" s="211"/>
      <c r="P45" s="212"/>
      <c r="Q45" s="32"/>
      <c r="R45" s="32"/>
      <c r="S45" s="32"/>
      <c r="T45" s="32"/>
      <c r="U45" s="32"/>
      <c r="V45" s="32"/>
      <c r="W45" s="32"/>
      <c r="X45" s="32"/>
      <c r="Y45" s="32"/>
      <c r="Z45" s="32"/>
      <c r="AA45" s="32">
        <v>3500000</v>
      </c>
      <c r="AB45" s="32">
        <f>AA45*H45</f>
        <v>3500000</v>
      </c>
      <c r="AC45" s="32"/>
      <c r="AE45" s="192"/>
      <c r="AF45" s="192"/>
      <c r="AG45" s="241">
        <v>3700000</v>
      </c>
      <c r="AH45" s="32">
        <f>AG45*G45*H45</f>
        <v>3700000</v>
      </c>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c r="BI45" s="32"/>
      <c r="BJ45" s="32"/>
      <c r="BK45" s="192"/>
      <c r="BL45" s="32"/>
      <c r="BM45" s="192"/>
      <c r="BN45" s="32"/>
      <c r="BO45" s="32"/>
      <c r="BP45" s="32"/>
      <c r="BQ45" s="32"/>
      <c r="BR45" s="32"/>
      <c r="BS45" s="32"/>
      <c r="BT45" s="32"/>
      <c r="BU45" s="32"/>
      <c r="BV45" s="32"/>
      <c r="BW45" s="32"/>
      <c r="BX45" s="32"/>
      <c r="BY45" s="32"/>
      <c r="BZ45" s="32"/>
      <c r="CA45" s="32"/>
      <c r="CB45" s="32"/>
      <c r="CC45" s="32"/>
      <c r="CD45" s="32"/>
      <c r="CE45" s="32"/>
      <c r="CF45" s="32"/>
      <c r="CG45" s="32"/>
      <c r="CH45" s="32"/>
      <c r="CI45" s="32"/>
      <c r="CJ45" s="32"/>
      <c r="CK45" s="32"/>
      <c r="CL45" s="32"/>
      <c r="CM45" s="32"/>
      <c r="CN45" s="32"/>
      <c r="CO45" s="32"/>
      <c r="CP45" s="32"/>
      <c r="CQ45" s="32"/>
      <c r="CR45" s="32"/>
      <c r="CS45" s="32"/>
      <c r="CT45" s="32"/>
      <c r="CU45" s="32"/>
      <c r="CV45" s="32"/>
      <c r="CW45" s="32"/>
      <c r="CX45" s="32"/>
      <c r="CY45" s="32"/>
      <c r="CZ45" s="32"/>
      <c r="DA45" s="32"/>
      <c r="DB45" s="32"/>
      <c r="DC45" s="32"/>
      <c r="DD45" s="32"/>
      <c r="DE45" s="32"/>
      <c r="DF45" s="32"/>
      <c r="DG45" s="32"/>
      <c r="DH45" s="32"/>
      <c r="DI45" s="32"/>
      <c r="DJ45" s="32"/>
      <c r="DK45" s="32"/>
      <c r="DL45" s="32"/>
      <c r="DM45" s="32"/>
      <c r="DN45" s="32"/>
      <c r="DO45" s="32"/>
      <c r="DP45" s="32"/>
      <c r="DQ45" s="32"/>
      <c r="DR45" s="32"/>
      <c r="DS45" s="13">
        <f>+MEDIAN(AA45,AG45)</f>
        <v>3600000</v>
      </c>
      <c r="DT45" s="13">
        <f>+AVERAGE(AA45,AG45)</f>
        <v>3600000</v>
      </c>
      <c r="DU45" s="13">
        <f>+STDEV(AA45,AG45)</f>
        <v>141421.35623730952</v>
      </c>
      <c r="DV45" s="17">
        <f t="shared" si="1"/>
        <v>3.9283710065919311E-2</v>
      </c>
      <c r="DW45" s="373">
        <f t="shared" si="2"/>
        <v>3600000</v>
      </c>
      <c r="DX45" s="13">
        <f>+ROUND(DW45*G45*H45,0)</f>
        <v>3600000</v>
      </c>
      <c r="DY45" s="10" t="s">
        <v>308</v>
      </c>
    </row>
    <row r="46" spans="1:132" ht="234" hidden="1" x14ac:dyDescent="0.3">
      <c r="A46" s="19">
        <v>28</v>
      </c>
      <c r="B46" s="14" t="s">
        <v>15</v>
      </c>
      <c r="C46" s="14" t="s">
        <v>80</v>
      </c>
      <c r="D46" s="14" t="s">
        <v>83</v>
      </c>
      <c r="E46" s="39" t="s">
        <v>84</v>
      </c>
      <c r="F46" s="37" t="s">
        <v>19</v>
      </c>
      <c r="G46" s="15">
        <v>300</v>
      </c>
      <c r="H46" s="15">
        <v>1</v>
      </c>
      <c r="I46" s="194"/>
      <c r="J46" s="194"/>
      <c r="K46" s="194"/>
      <c r="L46" s="194"/>
      <c r="M46" s="194"/>
      <c r="N46" s="194"/>
      <c r="O46" s="213"/>
      <c r="P46" s="242"/>
      <c r="Q46" s="197"/>
      <c r="R46" s="197"/>
      <c r="S46" s="197"/>
      <c r="T46" s="197"/>
      <c r="U46" s="197"/>
      <c r="V46" s="197"/>
      <c r="W46" s="197"/>
      <c r="X46" s="197"/>
      <c r="Y46" s="197"/>
      <c r="Z46" s="197"/>
      <c r="AA46" s="197"/>
      <c r="AB46" s="197"/>
      <c r="AC46" s="197"/>
      <c r="AD46" s="243"/>
      <c r="AE46" s="32"/>
      <c r="AF46" s="32"/>
      <c r="AH46" s="197"/>
      <c r="AI46" s="197"/>
      <c r="AJ46" s="197"/>
      <c r="AK46" s="197">
        <v>27000</v>
      </c>
      <c r="AL46" s="197">
        <f>AK46*G46</f>
        <v>8100000</v>
      </c>
      <c r="AM46" s="197">
        <f>18000+(18000*5.2%)</f>
        <v>18936</v>
      </c>
      <c r="AN46" s="197">
        <f>AM46*G46</f>
        <v>5680800</v>
      </c>
      <c r="AO46" s="197">
        <f>13400+(13400*5.2%)</f>
        <v>14096.8</v>
      </c>
      <c r="AP46" s="197">
        <f>AO46*G46</f>
        <v>4229040</v>
      </c>
      <c r="AQ46" s="197">
        <f>16900+(16900*5.2%)</f>
        <v>17778.8</v>
      </c>
      <c r="AR46" s="197">
        <f>AQ46*G46</f>
        <v>5333640</v>
      </c>
      <c r="AS46" s="197"/>
      <c r="AT46" s="197"/>
      <c r="AU46" s="197"/>
      <c r="AV46" s="197"/>
      <c r="AW46" s="197"/>
      <c r="AX46" s="197"/>
      <c r="AY46" s="197"/>
      <c r="AZ46" s="197"/>
      <c r="BA46" s="197"/>
      <c r="BB46" s="197"/>
      <c r="BC46" s="197"/>
      <c r="BD46" s="197"/>
      <c r="BE46" s="197"/>
      <c r="BF46" s="197"/>
      <c r="BG46" s="197"/>
      <c r="BH46" s="197"/>
      <c r="BI46" s="197"/>
      <c r="BJ46" s="197"/>
      <c r="BK46" s="195"/>
      <c r="BL46" s="197"/>
      <c r="BM46" s="195"/>
      <c r="BN46" s="197"/>
      <c r="BO46" s="197"/>
      <c r="BP46" s="197"/>
      <c r="BQ46" s="197"/>
      <c r="BR46" s="197"/>
      <c r="BS46" s="197"/>
      <c r="BT46" s="197"/>
      <c r="BU46" s="197"/>
      <c r="BV46" s="197"/>
      <c r="BW46" s="197"/>
      <c r="BX46" s="197"/>
      <c r="BY46" s="197"/>
      <c r="BZ46" s="197"/>
      <c r="CA46" s="197"/>
      <c r="CB46" s="197"/>
      <c r="CC46" s="197"/>
      <c r="CD46" s="197"/>
      <c r="CE46" s="197"/>
      <c r="CF46" s="197"/>
      <c r="CG46" s="197"/>
      <c r="CH46" s="197"/>
      <c r="CI46" s="197"/>
      <c r="CJ46" s="197"/>
      <c r="CK46" s="197"/>
      <c r="CL46" s="197"/>
      <c r="CM46" s="197"/>
      <c r="CN46" s="197"/>
      <c r="CO46" s="197"/>
      <c r="CP46" s="197"/>
      <c r="CQ46" s="197"/>
      <c r="CR46" s="197"/>
      <c r="CS46" s="197"/>
      <c r="CT46" s="197"/>
      <c r="CU46" s="197"/>
      <c r="CV46" s="197"/>
      <c r="CW46" s="197"/>
      <c r="CX46" s="197"/>
      <c r="CY46" s="197"/>
      <c r="CZ46" s="197"/>
      <c r="DA46" s="197"/>
      <c r="DB46" s="197"/>
      <c r="DC46" s="197"/>
      <c r="DD46" s="197"/>
      <c r="DE46" s="197"/>
      <c r="DF46" s="197"/>
      <c r="DG46" s="197"/>
      <c r="DH46" s="197"/>
      <c r="DI46" s="197"/>
      <c r="DJ46" s="197"/>
      <c r="DK46" s="197"/>
      <c r="DL46" s="197"/>
      <c r="DM46" s="197"/>
      <c r="DN46" s="197"/>
      <c r="DO46" s="197"/>
      <c r="DP46" s="197"/>
      <c r="DQ46" s="197"/>
      <c r="DR46" s="197"/>
      <c r="DS46" s="73">
        <f>+MEDIAN(AK46,AM46,AO46,AQ46)</f>
        <v>18357.400000000001</v>
      </c>
      <c r="DT46" s="73">
        <f>+AVERAGE(AK46,AM46,AO46,AQ46)</f>
        <v>19452.900000000001</v>
      </c>
      <c r="DU46" s="73">
        <f>+STDEV(AK46,AM46,AO46,AQ46)</f>
        <v>5438.0242135049912</v>
      </c>
      <c r="DV46" s="72">
        <f t="shared" si="1"/>
        <v>0.27954825313989129</v>
      </c>
      <c r="DW46" s="376">
        <f t="shared" si="2"/>
        <v>18358</v>
      </c>
      <c r="DX46" s="73">
        <f>+ROUND(DW46*G46*H46,0)</f>
        <v>5507400</v>
      </c>
      <c r="DY46" s="39" t="s">
        <v>309</v>
      </c>
    </row>
    <row r="47" spans="1:132" s="63" customFormat="1" ht="18" hidden="1" customHeight="1" x14ac:dyDescent="0.3">
      <c r="A47" s="66" t="s">
        <v>355</v>
      </c>
      <c r="B47" s="66"/>
      <c r="C47" s="66"/>
      <c r="D47" s="66"/>
      <c r="E47" s="66"/>
      <c r="F47" s="67"/>
      <c r="G47" s="67"/>
      <c r="H47" s="67"/>
      <c r="I47" s="214"/>
      <c r="J47" s="214"/>
      <c r="K47" s="214"/>
      <c r="L47" s="214"/>
      <c r="M47" s="214"/>
      <c r="N47" s="214"/>
      <c r="O47" s="215"/>
      <c r="P47" s="215"/>
      <c r="Q47" s="215"/>
      <c r="R47" s="215"/>
      <c r="S47" s="215"/>
      <c r="T47" s="215"/>
      <c r="U47" s="215"/>
      <c r="V47" s="215"/>
      <c r="W47" s="215"/>
      <c r="X47" s="215"/>
      <c r="Y47" s="215"/>
      <c r="Z47" s="215"/>
      <c r="AA47" s="215"/>
      <c r="AB47" s="215"/>
      <c r="AC47" s="215"/>
      <c r="AD47" s="215"/>
      <c r="AE47" s="215"/>
      <c r="AF47" s="215"/>
      <c r="AG47" s="215"/>
      <c r="AH47" s="215"/>
      <c r="AI47" s="215"/>
      <c r="AJ47" s="215"/>
      <c r="AK47" s="215"/>
      <c r="AL47" s="215"/>
      <c r="AM47" s="215"/>
      <c r="AN47" s="215"/>
      <c r="AO47" s="215"/>
      <c r="AP47" s="215"/>
      <c r="AQ47" s="215"/>
      <c r="AR47" s="215"/>
      <c r="AS47" s="215"/>
      <c r="AT47" s="215"/>
      <c r="AU47" s="215"/>
      <c r="AV47" s="215"/>
      <c r="AW47" s="215"/>
      <c r="AX47" s="215"/>
      <c r="AY47" s="215"/>
      <c r="AZ47" s="215"/>
      <c r="BA47" s="215"/>
      <c r="BB47" s="215"/>
      <c r="BC47" s="215"/>
      <c r="BD47" s="215"/>
      <c r="BE47" s="215"/>
      <c r="BF47" s="215"/>
      <c r="BG47" s="215"/>
      <c r="BH47" s="215"/>
      <c r="BI47" s="215"/>
      <c r="BJ47" s="215"/>
      <c r="BK47" s="215"/>
      <c r="BL47" s="216"/>
      <c r="BM47" s="215"/>
      <c r="BN47" s="216"/>
      <c r="BO47" s="216"/>
      <c r="BP47" s="216"/>
      <c r="BQ47" s="216"/>
      <c r="BR47" s="216"/>
      <c r="BS47" s="216"/>
      <c r="BT47" s="216"/>
      <c r="BU47" s="216"/>
      <c r="BV47" s="216"/>
      <c r="BW47" s="216"/>
      <c r="BX47" s="216"/>
      <c r="BY47" s="216"/>
      <c r="BZ47" s="216"/>
      <c r="CA47" s="216"/>
      <c r="CB47" s="216"/>
      <c r="CC47" s="216"/>
      <c r="CD47" s="216"/>
      <c r="CE47" s="216"/>
      <c r="CF47" s="216"/>
      <c r="CG47" s="216"/>
      <c r="CH47" s="216"/>
      <c r="CI47" s="216"/>
      <c r="CJ47" s="216"/>
      <c r="CK47" s="216"/>
      <c r="CL47" s="216"/>
      <c r="CM47" s="216"/>
      <c r="CN47" s="216"/>
      <c r="CO47" s="216"/>
      <c r="CP47" s="216"/>
      <c r="CQ47" s="216"/>
      <c r="CR47" s="216"/>
      <c r="CS47" s="216"/>
      <c r="CT47" s="216"/>
      <c r="CU47" s="216"/>
      <c r="CV47" s="216"/>
      <c r="CW47" s="216"/>
      <c r="CX47" s="216"/>
      <c r="CY47" s="216"/>
      <c r="CZ47" s="216"/>
      <c r="DA47" s="216"/>
      <c r="DB47" s="216"/>
      <c r="DC47" s="216"/>
      <c r="DD47" s="216"/>
      <c r="DE47" s="216"/>
      <c r="DF47" s="216"/>
      <c r="DG47" s="216"/>
      <c r="DH47" s="216"/>
      <c r="DI47" s="216"/>
      <c r="DJ47" s="216"/>
      <c r="DK47" s="216"/>
      <c r="DL47" s="216"/>
      <c r="DM47" s="216"/>
      <c r="DN47" s="216"/>
      <c r="DO47" s="216"/>
      <c r="DP47" s="216"/>
      <c r="DQ47" s="216"/>
      <c r="DR47" s="216"/>
      <c r="DS47" s="215"/>
      <c r="DT47" s="215"/>
      <c r="DU47" s="215"/>
      <c r="DV47" s="68"/>
      <c r="DW47" s="69">
        <f>SUM(DW42:DW46)</f>
        <v>7094246</v>
      </c>
      <c r="DX47" s="69">
        <f>SUM(DX42:DX46)</f>
        <v>16933288</v>
      </c>
      <c r="DY47" s="165"/>
      <c r="DZ47" s="609"/>
      <c r="EA47" s="609"/>
      <c r="EB47" s="609"/>
    </row>
    <row r="48" spans="1:132" ht="52" hidden="1" x14ac:dyDescent="0.3">
      <c r="A48" s="19">
        <v>29</v>
      </c>
      <c r="B48" s="40" t="s">
        <v>15</v>
      </c>
      <c r="C48" s="381" t="s">
        <v>85</v>
      </c>
      <c r="D48" s="40" t="s">
        <v>357</v>
      </c>
      <c r="E48" s="10" t="s">
        <v>1175</v>
      </c>
      <c r="F48" s="70" t="s">
        <v>14</v>
      </c>
      <c r="G48" s="43">
        <v>1</v>
      </c>
      <c r="H48" s="43">
        <v>2</v>
      </c>
      <c r="I48" s="399">
        <v>7688000</v>
      </c>
      <c r="J48" s="386">
        <f>I48*G48*H48</f>
        <v>15376000</v>
      </c>
      <c r="K48" s="386"/>
      <c r="L48" s="386"/>
      <c r="M48" s="386"/>
      <c r="N48" s="386"/>
      <c r="O48" s="387"/>
      <c r="P48" s="393"/>
      <c r="Q48" s="389"/>
      <c r="R48" s="389"/>
      <c r="S48" s="389"/>
      <c r="T48" s="389"/>
      <c r="U48" s="389"/>
      <c r="V48" s="389"/>
      <c r="W48" s="389"/>
      <c r="X48" s="389"/>
      <c r="Y48" s="389"/>
      <c r="Z48" s="389"/>
      <c r="AA48" s="389"/>
      <c r="AB48" s="389"/>
      <c r="AC48" s="389"/>
      <c r="AD48" s="389"/>
      <c r="AE48" s="97"/>
      <c r="AF48" s="97"/>
      <c r="AG48" s="306"/>
      <c r="AH48" s="97"/>
      <c r="AI48" s="389"/>
      <c r="AJ48" s="389"/>
      <c r="AK48" s="389"/>
      <c r="AL48" s="389"/>
      <c r="AM48" s="389"/>
      <c r="AN48" s="389"/>
      <c r="AO48" s="389"/>
      <c r="AP48" s="389"/>
      <c r="AQ48" s="389"/>
      <c r="AR48" s="389"/>
      <c r="AS48" s="389"/>
      <c r="AT48" s="389"/>
      <c r="AU48" s="389"/>
      <c r="AV48" s="389"/>
      <c r="AW48" s="389"/>
      <c r="AX48" s="389"/>
      <c r="AY48" s="389"/>
      <c r="AZ48" s="389"/>
      <c r="BA48" s="389"/>
      <c r="BB48" s="389"/>
      <c r="BC48" s="389"/>
      <c r="BD48" s="389"/>
      <c r="BE48" s="389"/>
      <c r="BF48" s="389"/>
      <c r="BG48" s="389"/>
      <c r="BH48" s="389"/>
      <c r="BI48" s="389"/>
      <c r="BJ48" s="389"/>
      <c r="BK48" s="390"/>
      <c r="BL48" s="389"/>
      <c r="BM48" s="390"/>
      <c r="BN48" s="389"/>
      <c r="BO48" s="389"/>
      <c r="BP48" s="389"/>
      <c r="BQ48" s="389"/>
      <c r="BR48" s="389"/>
      <c r="BS48" s="389"/>
      <c r="BT48" s="389"/>
      <c r="BU48" s="389"/>
      <c r="BV48" s="389"/>
      <c r="BW48" s="389"/>
      <c r="BX48" s="389"/>
      <c r="BY48" s="389"/>
      <c r="BZ48" s="389"/>
      <c r="CA48" s="389"/>
      <c r="CB48" s="389"/>
      <c r="CC48" s="389"/>
      <c r="CD48" s="389"/>
      <c r="CE48" s="389"/>
      <c r="CF48" s="389"/>
      <c r="CG48" s="389"/>
      <c r="CH48" s="389"/>
      <c r="CI48" s="389"/>
      <c r="CJ48" s="389"/>
      <c r="CK48" s="389"/>
      <c r="CL48" s="389"/>
      <c r="CM48" s="389"/>
      <c r="CN48" s="389"/>
      <c r="CO48" s="389"/>
      <c r="CP48" s="389"/>
      <c r="CQ48" s="389"/>
      <c r="CR48" s="389"/>
      <c r="CS48" s="389"/>
      <c r="CT48" s="389"/>
      <c r="CU48" s="389"/>
      <c r="CV48" s="389"/>
      <c r="CW48" s="389"/>
      <c r="CX48" s="389"/>
      <c r="CY48" s="389"/>
      <c r="CZ48" s="389"/>
      <c r="DA48" s="389"/>
      <c r="DB48" s="389"/>
      <c r="DC48" s="389"/>
      <c r="DD48" s="389"/>
      <c r="DE48" s="389"/>
      <c r="DF48" s="389"/>
      <c r="DG48" s="389"/>
      <c r="DH48" s="389"/>
      <c r="DI48" s="389"/>
      <c r="DJ48" s="389"/>
      <c r="DK48" s="389"/>
      <c r="DL48" s="389"/>
      <c r="DM48" s="389"/>
      <c r="DN48" s="389"/>
      <c r="DO48" s="389"/>
      <c r="DP48" s="389"/>
      <c r="DQ48" s="389"/>
      <c r="DR48" s="389"/>
      <c r="DS48" s="400"/>
      <c r="DT48" s="400"/>
      <c r="DU48" s="400"/>
      <c r="DV48" s="64"/>
      <c r="DW48" s="374">
        <f>I48</f>
        <v>7688000</v>
      </c>
      <c r="DX48" s="65">
        <f t="shared" ref="DX48:DX61" si="4">+ROUND(DW48*G48*H48,0)</f>
        <v>15376000</v>
      </c>
      <c r="DY48" s="362" t="s">
        <v>323</v>
      </c>
    </row>
    <row r="49" spans="1:132" ht="52" hidden="1" x14ac:dyDescent="0.3">
      <c r="A49" s="19">
        <v>30</v>
      </c>
      <c r="B49" s="9" t="s">
        <v>15</v>
      </c>
      <c r="C49" s="93" t="s">
        <v>85</v>
      </c>
      <c r="D49" s="9" t="s">
        <v>357</v>
      </c>
      <c r="E49" s="10" t="s">
        <v>1175</v>
      </c>
      <c r="F49" s="19" t="s">
        <v>14</v>
      </c>
      <c r="G49" s="11">
        <v>1</v>
      </c>
      <c r="H49" s="11">
        <v>1</v>
      </c>
      <c r="I49" s="401">
        <v>7688000</v>
      </c>
      <c r="J49" s="303">
        <f>I49*G49*H49</f>
        <v>7688000</v>
      </c>
      <c r="K49" s="303"/>
      <c r="L49" s="303"/>
      <c r="M49" s="303"/>
      <c r="N49" s="303"/>
      <c r="O49" s="304"/>
      <c r="P49" s="305"/>
      <c r="Q49" s="97"/>
      <c r="R49" s="97"/>
      <c r="S49" s="97"/>
      <c r="T49" s="97"/>
      <c r="U49" s="97"/>
      <c r="V49" s="97"/>
      <c r="W49" s="97"/>
      <c r="X49" s="97"/>
      <c r="Y49" s="97"/>
      <c r="Z49" s="97"/>
      <c r="AA49" s="97"/>
      <c r="AB49" s="97"/>
      <c r="AC49" s="97"/>
      <c r="AD49" s="97"/>
      <c r="AE49" s="97"/>
      <c r="AF49" s="97"/>
      <c r="AG49" s="306"/>
      <c r="AH49" s="97"/>
      <c r="AI49" s="97"/>
      <c r="AJ49" s="97"/>
      <c r="AK49" s="97"/>
      <c r="AL49" s="97"/>
      <c r="AM49" s="97"/>
      <c r="AN49" s="97"/>
      <c r="AO49" s="97"/>
      <c r="AP49" s="97"/>
      <c r="AQ49" s="97"/>
      <c r="AR49" s="97"/>
      <c r="AS49" s="97"/>
      <c r="AT49" s="97"/>
      <c r="AU49" s="97"/>
      <c r="AV49" s="97"/>
      <c r="AW49" s="97"/>
      <c r="AX49" s="97"/>
      <c r="AY49" s="97"/>
      <c r="AZ49" s="97"/>
      <c r="BA49" s="97"/>
      <c r="BB49" s="97"/>
      <c r="BC49" s="97"/>
      <c r="BD49" s="97"/>
      <c r="BE49" s="97"/>
      <c r="BF49" s="97"/>
      <c r="BG49" s="97"/>
      <c r="BH49" s="97"/>
      <c r="BI49" s="97"/>
      <c r="BJ49" s="97"/>
      <c r="BK49" s="306"/>
      <c r="BL49" s="97"/>
      <c r="BM49" s="306"/>
      <c r="BN49" s="97"/>
      <c r="BO49" s="97"/>
      <c r="BP49" s="97"/>
      <c r="BQ49" s="97"/>
      <c r="BR49" s="97"/>
      <c r="BS49" s="97"/>
      <c r="BT49" s="97"/>
      <c r="BU49" s="97"/>
      <c r="BV49" s="97"/>
      <c r="BW49" s="97"/>
      <c r="BX49" s="97"/>
      <c r="BY49" s="97"/>
      <c r="BZ49" s="97"/>
      <c r="CA49" s="97"/>
      <c r="CB49" s="97"/>
      <c r="CC49" s="97"/>
      <c r="CD49" s="97"/>
      <c r="CE49" s="97"/>
      <c r="CF49" s="97"/>
      <c r="CG49" s="97"/>
      <c r="CH49" s="97"/>
      <c r="CI49" s="97"/>
      <c r="CJ49" s="97"/>
      <c r="CK49" s="97"/>
      <c r="CL49" s="97"/>
      <c r="CM49" s="97"/>
      <c r="CN49" s="97"/>
      <c r="CO49" s="97"/>
      <c r="CP49" s="97"/>
      <c r="CQ49" s="308"/>
      <c r="CR49" s="97"/>
      <c r="CS49" s="308"/>
      <c r="CT49" s="97"/>
      <c r="CU49" s="307"/>
      <c r="CV49" s="97"/>
      <c r="CW49" s="97"/>
      <c r="CX49" s="97"/>
      <c r="CY49" s="97"/>
      <c r="CZ49" s="97"/>
      <c r="DA49" s="97"/>
      <c r="DB49" s="97"/>
      <c r="DC49" s="97"/>
      <c r="DD49" s="97"/>
      <c r="DE49" s="97"/>
      <c r="DF49" s="97"/>
      <c r="DG49" s="97"/>
      <c r="DH49" s="97"/>
      <c r="DI49" s="97"/>
      <c r="DJ49" s="97"/>
      <c r="DK49" s="97"/>
      <c r="DL49" s="97"/>
      <c r="DM49" s="97"/>
      <c r="DN49" s="97"/>
      <c r="DO49" s="97"/>
      <c r="DP49" s="97"/>
      <c r="DQ49" s="97"/>
      <c r="DR49" s="97"/>
      <c r="DS49" s="310"/>
      <c r="DT49" s="310"/>
      <c r="DU49" s="310"/>
      <c r="DV49" s="17"/>
      <c r="DW49" s="371">
        <f>I49</f>
        <v>7688000</v>
      </c>
      <c r="DX49" s="13">
        <f t="shared" si="4"/>
        <v>7688000</v>
      </c>
      <c r="DY49" s="161" t="s">
        <v>323</v>
      </c>
    </row>
    <row r="50" spans="1:132" ht="58" hidden="1" customHeight="1" x14ac:dyDescent="0.3">
      <c r="A50" s="19">
        <v>31</v>
      </c>
      <c r="B50" s="9" t="s">
        <v>15</v>
      </c>
      <c r="C50" s="93" t="s">
        <v>85</v>
      </c>
      <c r="D50" s="9" t="s">
        <v>357</v>
      </c>
      <c r="E50" s="10" t="s">
        <v>1175</v>
      </c>
      <c r="F50" s="19" t="s">
        <v>14</v>
      </c>
      <c r="G50" s="11">
        <v>1</v>
      </c>
      <c r="H50" s="11">
        <v>1</v>
      </c>
      <c r="I50" s="401">
        <v>7688000</v>
      </c>
      <c r="J50" s="303">
        <f>I50*G50*H50</f>
        <v>7688000</v>
      </c>
      <c r="K50" s="303"/>
      <c r="L50" s="303"/>
      <c r="M50" s="303"/>
      <c r="N50" s="303"/>
      <c r="O50" s="304"/>
      <c r="P50" s="305"/>
      <c r="Q50" s="97"/>
      <c r="R50" s="97"/>
      <c r="S50" s="97"/>
      <c r="T50" s="97"/>
      <c r="U50" s="97"/>
      <c r="V50" s="97"/>
      <c r="W50" s="97"/>
      <c r="X50" s="97"/>
      <c r="Y50" s="97"/>
      <c r="Z50" s="97"/>
      <c r="AA50" s="97"/>
      <c r="AB50" s="97"/>
      <c r="AC50" s="97"/>
      <c r="AD50" s="97"/>
      <c r="AE50" s="97"/>
      <c r="AF50" s="97"/>
      <c r="AG50" s="306"/>
      <c r="AH50" s="97"/>
      <c r="AI50" s="97"/>
      <c r="AJ50" s="97"/>
      <c r="AK50" s="97"/>
      <c r="AL50" s="97"/>
      <c r="AM50" s="97"/>
      <c r="AN50" s="97"/>
      <c r="AO50" s="97"/>
      <c r="AP50" s="97"/>
      <c r="AQ50" s="97"/>
      <c r="AR50" s="97"/>
      <c r="AS50" s="97"/>
      <c r="AT50" s="97"/>
      <c r="AU50" s="97"/>
      <c r="AV50" s="97"/>
      <c r="AW50" s="97"/>
      <c r="AX50" s="97"/>
      <c r="AY50" s="97"/>
      <c r="AZ50" s="97"/>
      <c r="BA50" s="97"/>
      <c r="BB50" s="97"/>
      <c r="BC50" s="97"/>
      <c r="BD50" s="97"/>
      <c r="BE50" s="97"/>
      <c r="BF50" s="97"/>
      <c r="BG50" s="97"/>
      <c r="BH50" s="97"/>
      <c r="BI50" s="97"/>
      <c r="BJ50" s="97"/>
      <c r="BK50" s="306"/>
      <c r="BL50" s="97"/>
      <c r="BM50" s="306"/>
      <c r="BN50" s="97"/>
      <c r="BO50" s="97"/>
      <c r="BP50" s="97"/>
      <c r="BQ50" s="97"/>
      <c r="BR50" s="97"/>
      <c r="BS50" s="97"/>
      <c r="BT50" s="97"/>
      <c r="BU50" s="97"/>
      <c r="BV50" s="97"/>
      <c r="BW50" s="97"/>
      <c r="BX50" s="97"/>
      <c r="BY50" s="97"/>
      <c r="BZ50" s="97"/>
      <c r="CA50" s="97"/>
      <c r="CB50" s="97"/>
      <c r="CC50" s="97"/>
      <c r="CD50" s="97"/>
      <c r="CE50" s="97"/>
      <c r="CF50" s="97"/>
      <c r="CG50" s="97"/>
      <c r="CH50" s="97"/>
      <c r="CI50" s="97"/>
      <c r="CJ50" s="97"/>
      <c r="CK50" s="97"/>
      <c r="CL50" s="97"/>
      <c r="CM50" s="97"/>
      <c r="CN50" s="97"/>
      <c r="CO50" s="97"/>
      <c r="CP50" s="97"/>
      <c r="CQ50" s="308"/>
      <c r="CR50" s="97"/>
      <c r="CS50" s="308"/>
      <c r="CT50" s="97"/>
      <c r="CU50" s="307"/>
      <c r="CV50" s="97"/>
      <c r="CW50" s="309"/>
      <c r="CX50" s="97"/>
      <c r="CY50" s="309"/>
      <c r="CZ50" s="97"/>
      <c r="DA50" s="97"/>
      <c r="DB50" s="97"/>
      <c r="DC50" s="309"/>
      <c r="DD50" s="97"/>
      <c r="DE50" s="97"/>
      <c r="DF50" s="97"/>
      <c r="DG50" s="97"/>
      <c r="DH50" s="97"/>
      <c r="DI50" s="97"/>
      <c r="DJ50" s="97"/>
      <c r="DK50" s="97"/>
      <c r="DL50" s="97"/>
      <c r="DM50" s="97"/>
      <c r="DN50" s="97"/>
      <c r="DO50" s="97"/>
      <c r="DP50" s="97"/>
      <c r="DQ50" s="97"/>
      <c r="DR50" s="97"/>
      <c r="DS50" s="310"/>
      <c r="DT50" s="310"/>
      <c r="DU50" s="310"/>
      <c r="DV50" s="17"/>
      <c r="DW50" s="371">
        <f>I50</f>
        <v>7688000</v>
      </c>
      <c r="DX50" s="13">
        <f t="shared" si="4"/>
        <v>7688000</v>
      </c>
      <c r="DY50" s="161" t="s">
        <v>323</v>
      </c>
    </row>
    <row r="51" spans="1:132" ht="104" hidden="1" x14ac:dyDescent="0.3">
      <c r="A51" s="19">
        <v>32</v>
      </c>
      <c r="B51" s="9" t="s">
        <v>15</v>
      </c>
      <c r="C51" s="9" t="s">
        <v>85</v>
      </c>
      <c r="D51" s="9" t="s">
        <v>82</v>
      </c>
      <c r="E51" s="30" t="s">
        <v>354</v>
      </c>
      <c r="F51" s="34" t="s">
        <v>509</v>
      </c>
      <c r="G51" s="11">
        <v>1</v>
      </c>
      <c r="H51" s="11">
        <v>15</v>
      </c>
      <c r="I51" s="191"/>
      <c r="J51" s="191"/>
      <c r="K51" s="191"/>
      <c r="L51" s="191"/>
      <c r="M51" s="191"/>
      <c r="N51" s="191"/>
      <c r="O51" s="211"/>
      <c r="P51" s="212"/>
      <c r="Q51" s="32"/>
      <c r="R51" s="32"/>
      <c r="S51" s="32"/>
      <c r="T51" s="32"/>
      <c r="U51" s="32"/>
      <c r="V51" s="32"/>
      <c r="W51" s="32"/>
      <c r="X51" s="32"/>
      <c r="Y51" s="32"/>
      <c r="Z51" s="32"/>
      <c r="AA51" s="32"/>
      <c r="AB51" s="32"/>
      <c r="AC51" s="32"/>
      <c r="AD51" s="32"/>
      <c r="AE51" s="32"/>
      <c r="AF51" s="32"/>
      <c r="AG51" s="32"/>
      <c r="AH51" s="32"/>
      <c r="AI51" s="32"/>
      <c r="AJ51" s="32"/>
      <c r="AK51" s="32"/>
      <c r="AL51" s="32"/>
      <c r="AM51" s="32"/>
      <c r="AN51" s="32"/>
      <c r="AO51" s="32"/>
      <c r="AP51" s="32"/>
      <c r="AQ51" s="32"/>
      <c r="AR51" s="32"/>
      <c r="AS51" s="32"/>
      <c r="AT51" s="32"/>
      <c r="AU51" s="32"/>
      <c r="AV51" s="32"/>
      <c r="AW51" s="32"/>
      <c r="AX51" s="32"/>
      <c r="AY51" s="32"/>
      <c r="AZ51" s="32"/>
      <c r="BA51" s="32"/>
      <c r="BB51" s="32"/>
      <c r="BC51" s="32"/>
      <c r="BD51" s="32"/>
      <c r="BE51" s="32"/>
      <c r="BF51" s="32"/>
      <c r="BG51" s="32"/>
      <c r="BH51" s="32"/>
      <c r="BI51" s="32"/>
      <c r="BJ51" s="32"/>
      <c r="BK51" s="192"/>
      <c r="BL51" s="32"/>
      <c r="BM51" s="192"/>
      <c r="BN51" s="32"/>
      <c r="BO51" s="32"/>
      <c r="BP51" s="32"/>
      <c r="BQ51" s="32"/>
      <c r="BR51" s="32"/>
      <c r="BS51" s="32"/>
      <c r="BT51" s="32"/>
      <c r="BU51" s="32"/>
      <c r="BV51" s="32"/>
      <c r="BW51" s="32"/>
      <c r="BX51" s="32"/>
      <c r="BY51" s="32"/>
      <c r="BZ51" s="32"/>
      <c r="CA51" s="32"/>
      <c r="CB51" s="32"/>
      <c r="CC51" s="32"/>
      <c r="CD51" s="32"/>
      <c r="CE51" s="32"/>
      <c r="CF51" s="32"/>
      <c r="CG51" s="32"/>
      <c r="CH51" s="32"/>
      <c r="CI51" s="32"/>
      <c r="CJ51" s="32"/>
      <c r="CK51" s="32"/>
      <c r="CL51" s="32"/>
      <c r="CM51" s="32"/>
      <c r="CN51" s="32"/>
      <c r="CO51" s="359">
        <v>1400000</v>
      </c>
      <c r="CP51" s="209">
        <f>CO51*G51*H51</f>
        <v>21000000</v>
      </c>
      <c r="CQ51" s="32"/>
      <c r="CR51" s="32"/>
      <c r="CS51" s="33">
        <v>1500000</v>
      </c>
      <c r="CT51" s="25">
        <f>CS51*G51*H51</f>
        <v>22500000</v>
      </c>
      <c r="CU51" s="32"/>
      <c r="CV51" s="32"/>
      <c r="CW51" s="32"/>
      <c r="CX51" s="32"/>
      <c r="CY51" s="32"/>
      <c r="CZ51" s="32"/>
      <c r="DA51" s="32"/>
      <c r="DB51" s="32"/>
      <c r="DC51" s="32"/>
      <c r="DD51" s="32"/>
      <c r="DE51" s="32"/>
      <c r="DF51" s="32"/>
      <c r="DG51" s="32"/>
      <c r="DH51" s="32"/>
      <c r="DI51" s="32"/>
      <c r="DJ51" s="32"/>
      <c r="DK51" s="32"/>
      <c r="DL51" s="32"/>
      <c r="DM51" s="32"/>
      <c r="DN51" s="32"/>
      <c r="DO51" s="32"/>
      <c r="DP51" s="32"/>
      <c r="DQ51" s="32"/>
      <c r="DR51" s="32"/>
      <c r="DS51" s="13">
        <f>+MEDIAN(CO51,CS51)</f>
        <v>1450000</v>
      </c>
      <c r="DT51" s="13">
        <f>+AVERAGE(CO51,CS51)</f>
        <v>1450000</v>
      </c>
      <c r="DU51" s="13">
        <f>+STDEV(CO51,CS51)</f>
        <v>70710.67811865476</v>
      </c>
      <c r="DV51" s="17">
        <f t="shared" si="1"/>
        <v>4.8765984909417075E-2</v>
      </c>
      <c r="DW51" s="373">
        <f t="shared" si="2"/>
        <v>1450000</v>
      </c>
      <c r="DX51" s="13">
        <f t="shared" si="4"/>
        <v>21750000</v>
      </c>
      <c r="DY51" s="10" t="s">
        <v>328</v>
      </c>
    </row>
    <row r="52" spans="1:132" ht="182" hidden="1" x14ac:dyDescent="0.3">
      <c r="A52" s="415">
        <v>33</v>
      </c>
      <c r="B52" s="416" t="s">
        <v>15</v>
      </c>
      <c r="C52" s="134" t="s">
        <v>85</v>
      </c>
      <c r="D52" s="417" t="s">
        <v>385</v>
      </c>
      <c r="E52" s="418" t="s">
        <v>530</v>
      </c>
      <c r="F52" s="419" t="s">
        <v>28</v>
      </c>
      <c r="G52" s="420">
        <v>1</v>
      </c>
      <c r="H52" s="420">
        <v>1</v>
      </c>
      <c r="I52" s="421"/>
      <c r="J52" s="421"/>
      <c r="K52" s="421"/>
      <c r="L52" s="421"/>
      <c r="M52" s="421"/>
      <c r="N52" s="421"/>
      <c r="O52" s="422"/>
      <c r="P52" s="423"/>
      <c r="Q52" s="424"/>
      <c r="R52" s="424"/>
      <c r="S52" s="424"/>
      <c r="T52" s="424"/>
      <c r="U52" s="424"/>
      <c r="V52" s="424"/>
      <c r="W52" s="424"/>
      <c r="X52" s="424"/>
      <c r="Y52" s="424"/>
      <c r="Z52" s="424"/>
      <c r="AA52" s="424"/>
      <c r="AB52" s="424"/>
      <c r="AC52" s="424"/>
      <c r="AD52" s="425"/>
      <c r="AE52" s="425"/>
      <c r="AF52" s="425"/>
      <c r="AG52" s="430"/>
      <c r="AH52" s="424"/>
      <c r="AI52" s="424"/>
      <c r="AJ52" s="424"/>
      <c r="AK52" s="424"/>
      <c r="AL52" s="424"/>
      <c r="AM52" s="424"/>
      <c r="AN52" s="424"/>
      <c r="AO52" s="424"/>
      <c r="AP52" s="424"/>
      <c r="AQ52" s="424"/>
      <c r="AR52" s="424"/>
      <c r="AS52" s="424"/>
      <c r="AT52" s="424"/>
      <c r="AU52" s="424"/>
      <c r="AV52" s="424"/>
      <c r="AW52" s="424"/>
      <c r="AX52" s="424"/>
      <c r="AY52" s="424"/>
      <c r="AZ52" s="424"/>
      <c r="BA52" s="424"/>
      <c r="BB52" s="424"/>
      <c r="BC52" s="424"/>
      <c r="BD52" s="424"/>
      <c r="BE52" s="424"/>
      <c r="BF52" s="424"/>
      <c r="BG52" s="424"/>
      <c r="BH52" s="424"/>
      <c r="BI52" s="424"/>
      <c r="BJ52" s="424"/>
      <c r="BK52" s="425"/>
      <c r="BL52" s="424"/>
      <c r="BM52" s="425"/>
      <c r="BN52" s="424"/>
      <c r="BO52" s="424"/>
      <c r="BP52" s="424"/>
      <c r="BQ52" s="424"/>
      <c r="BR52" s="424"/>
      <c r="BS52" s="424"/>
      <c r="BT52" s="424"/>
      <c r="BU52" s="424"/>
      <c r="BV52" s="424"/>
      <c r="BW52" s="424"/>
      <c r="BX52" s="424"/>
      <c r="BY52" s="424"/>
      <c r="BZ52" s="424"/>
      <c r="CA52" s="424"/>
      <c r="CB52" s="424"/>
      <c r="CC52" s="424"/>
      <c r="CD52" s="424"/>
      <c r="CE52" s="424"/>
      <c r="CF52" s="424"/>
      <c r="CG52" s="424"/>
      <c r="CH52" s="424"/>
      <c r="CI52" s="424"/>
      <c r="CJ52" s="424"/>
      <c r="CK52" s="424"/>
      <c r="CL52" s="424"/>
      <c r="CM52" s="424"/>
      <c r="CN52" s="424"/>
      <c r="CO52" s="424"/>
      <c r="CP52" s="424"/>
      <c r="CQ52" s="424"/>
      <c r="CR52" s="424"/>
      <c r="CS52" s="424"/>
      <c r="CT52" s="424"/>
      <c r="CU52" s="424"/>
      <c r="CV52" s="424"/>
      <c r="CW52" s="424"/>
      <c r="CX52" s="424"/>
      <c r="CY52" s="424"/>
      <c r="CZ52" s="424"/>
      <c r="DA52" s="424"/>
      <c r="DB52" s="424"/>
      <c r="DC52" s="424"/>
      <c r="DD52" s="424"/>
      <c r="DE52" s="424"/>
      <c r="DF52" s="424"/>
      <c r="DG52" s="424"/>
      <c r="DH52" s="424"/>
      <c r="DI52" s="424"/>
      <c r="DJ52" s="424"/>
      <c r="DK52" s="424"/>
      <c r="DL52" s="424"/>
      <c r="DM52" s="424"/>
      <c r="DN52" s="424"/>
      <c r="DO52" s="424"/>
      <c r="DP52" s="424"/>
      <c r="DQ52" s="424"/>
      <c r="DR52" s="424"/>
      <c r="DS52" s="426"/>
      <c r="DT52" s="426"/>
      <c r="DU52" s="426"/>
      <c r="DV52" s="427"/>
      <c r="DW52" s="428">
        <v>18760000</v>
      </c>
      <c r="DX52" s="426">
        <f t="shared" si="4"/>
        <v>18760000</v>
      </c>
      <c r="DY52" s="429" t="s">
        <v>446</v>
      </c>
    </row>
    <row r="53" spans="1:132" ht="104" hidden="1" x14ac:dyDescent="0.3">
      <c r="A53" s="19">
        <v>34</v>
      </c>
      <c r="B53" s="9" t="s">
        <v>15</v>
      </c>
      <c r="C53" s="9" t="s">
        <v>85</v>
      </c>
      <c r="D53" s="9" t="s">
        <v>466</v>
      </c>
      <c r="E53" s="10" t="s">
        <v>465</v>
      </c>
      <c r="F53" s="19" t="s">
        <v>19</v>
      </c>
      <c r="G53" s="11">
        <v>450</v>
      </c>
      <c r="H53" s="11">
        <v>1</v>
      </c>
      <c r="I53" s="340"/>
      <c r="J53" s="340"/>
      <c r="K53" s="340"/>
      <c r="L53" s="340"/>
      <c r="M53" s="340"/>
      <c r="N53" s="340"/>
      <c r="O53" s="341"/>
      <c r="P53" s="342"/>
      <c r="Q53" s="25"/>
      <c r="R53" s="25"/>
      <c r="S53" s="25"/>
      <c r="T53" s="25"/>
      <c r="U53" s="25"/>
      <c r="V53" s="25"/>
      <c r="W53" s="25"/>
      <c r="X53" s="25"/>
      <c r="Y53" s="25"/>
      <c r="Z53" s="25"/>
      <c r="AA53" s="25"/>
      <c r="AB53" s="25"/>
      <c r="AC53" s="25"/>
      <c r="AD53" s="46"/>
      <c r="AE53" s="25"/>
      <c r="AF53" s="25"/>
      <c r="AG53" s="343"/>
      <c r="AH53" s="25"/>
      <c r="AI53" s="25"/>
      <c r="AJ53" s="25"/>
      <c r="AK53" s="25"/>
      <c r="AL53" s="25"/>
      <c r="AM53" s="25"/>
      <c r="AN53" s="25"/>
      <c r="AO53" s="25"/>
      <c r="AP53" s="25"/>
      <c r="AQ53" s="25"/>
      <c r="AR53" s="25"/>
      <c r="AS53" s="25"/>
      <c r="AT53" s="25"/>
      <c r="AU53" s="25"/>
      <c r="AV53" s="25"/>
      <c r="AW53" s="25"/>
      <c r="AX53" s="25"/>
      <c r="AY53" s="25"/>
      <c r="AZ53" s="25"/>
      <c r="BA53" s="25"/>
      <c r="BB53" s="25"/>
      <c r="BC53" s="25"/>
      <c r="BD53" s="25"/>
      <c r="BE53" s="25"/>
      <c r="BF53" s="25"/>
      <c r="BG53" s="25"/>
      <c r="BH53" s="25"/>
      <c r="BI53" s="25"/>
      <c r="BJ53" s="25"/>
      <c r="BK53" s="343"/>
      <c r="BL53" s="25"/>
      <c r="BM53" s="343"/>
      <c r="BN53" s="25"/>
      <c r="BO53" s="25"/>
      <c r="BP53" s="25"/>
      <c r="BQ53" s="25"/>
      <c r="BR53" s="25"/>
      <c r="BS53" s="25"/>
      <c r="BT53" s="25"/>
      <c r="BU53" s="25"/>
      <c r="BV53" s="25"/>
      <c r="BW53" s="25"/>
      <c r="BX53" s="25"/>
      <c r="BY53" s="25"/>
      <c r="BZ53" s="25"/>
      <c r="CA53" s="25"/>
      <c r="CB53" s="25"/>
      <c r="CC53" s="25"/>
      <c r="CD53" s="25"/>
      <c r="CE53" s="25"/>
      <c r="CF53" s="25"/>
      <c r="CG53" s="25"/>
      <c r="CH53" s="25"/>
      <c r="CI53" s="25"/>
      <c r="CJ53" s="25"/>
      <c r="CK53" s="25"/>
      <c r="CL53" s="25"/>
      <c r="CM53" s="25"/>
      <c r="CN53" s="25"/>
      <c r="CO53" s="28"/>
      <c r="CP53" s="25"/>
      <c r="CQ53" s="344"/>
      <c r="CR53" s="25"/>
      <c r="CS53" s="28"/>
      <c r="CT53" s="25"/>
      <c r="CU53" s="344"/>
      <c r="CV53" s="25"/>
      <c r="CW53" s="352"/>
      <c r="CX53" s="25"/>
      <c r="CY53" s="352"/>
      <c r="CZ53" s="25"/>
      <c r="DA53" s="25"/>
      <c r="DB53" s="25"/>
      <c r="DC53" s="352"/>
      <c r="DD53" s="25"/>
      <c r="DE53" s="25"/>
      <c r="DF53" s="25"/>
      <c r="DG53" s="25"/>
      <c r="DH53" s="25"/>
      <c r="DI53" s="355">
        <v>6500</v>
      </c>
      <c r="DJ53" s="25">
        <f>DI53*G53*H53</f>
        <v>2925000</v>
      </c>
      <c r="DK53" s="355">
        <v>6000</v>
      </c>
      <c r="DL53" s="25">
        <f>DK53*G53*H53</f>
        <v>2700000</v>
      </c>
      <c r="DM53" s="355">
        <v>6000</v>
      </c>
      <c r="DN53" s="25">
        <f>DM53*G53*H53</f>
        <v>2700000</v>
      </c>
      <c r="DO53" s="25"/>
      <c r="DP53" s="25"/>
      <c r="DQ53" s="25"/>
      <c r="DR53" s="25"/>
      <c r="DS53" s="13">
        <f>+MEDIAN(DI53,DK53,DM53)</f>
        <v>6000</v>
      </c>
      <c r="DT53" s="13">
        <f>+AVERAGE(DI53,DK53,DM53)</f>
        <v>6166.666666666667</v>
      </c>
      <c r="DU53" s="13">
        <f>+STDEV(DI53,DK53,DM53)</f>
        <v>288.67513459481285</v>
      </c>
      <c r="DV53" s="17">
        <f t="shared" si="1"/>
        <v>4.6812183988348029E-2</v>
      </c>
      <c r="DW53" s="373">
        <f t="shared" si="2"/>
        <v>6167</v>
      </c>
      <c r="DX53" s="13">
        <f t="shared" si="4"/>
        <v>2775150</v>
      </c>
      <c r="DY53" s="10" t="s">
        <v>328</v>
      </c>
    </row>
    <row r="54" spans="1:132" ht="52" hidden="1" x14ac:dyDescent="0.3">
      <c r="A54" s="19">
        <v>35</v>
      </c>
      <c r="B54" s="9" t="s">
        <v>15</v>
      </c>
      <c r="C54" s="9" t="s">
        <v>85</v>
      </c>
      <c r="D54" s="9" t="s">
        <v>467</v>
      </c>
      <c r="E54" s="10" t="s">
        <v>88</v>
      </c>
      <c r="F54" s="19" t="s">
        <v>19</v>
      </c>
      <c r="G54" s="11">
        <v>450</v>
      </c>
      <c r="H54" s="11">
        <v>1</v>
      </c>
      <c r="I54" s="191"/>
      <c r="J54" s="191"/>
      <c r="K54" s="191"/>
      <c r="L54" s="191"/>
      <c r="M54" s="191"/>
      <c r="N54" s="191"/>
      <c r="O54" s="25">
        <v>2200</v>
      </c>
      <c r="P54" s="212">
        <f>O54*G54</f>
        <v>990000</v>
      </c>
      <c r="Q54" s="25">
        <v>2528</v>
      </c>
      <c r="R54" s="32">
        <f>Q54*G54</f>
        <v>1137600</v>
      </c>
      <c r="S54" s="32"/>
      <c r="T54" s="32"/>
      <c r="U54" s="32"/>
      <c r="V54" s="32"/>
      <c r="W54" s="32"/>
      <c r="X54" s="32"/>
      <c r="Y54" s="32"/>
      <c r="Z54" s="32"/>
      <c r="AA54" s="32"/>
      <c r="AB54" s="32"/>
      <c r="AC54" s="32"/>
      <c r="AD54" s="32"/>
      <c r="AE54" s="32"/>
      <c r="AF54" s="32"/>
      <c r="AG54" s="192"/>
      <c r="AH54" s="32"/>
      <c r="AI54" s="32"/>
      <c r="AJ54" s="32"/>
      <c r="AK54" s="32"/>
      <c r="AL54" s="32"/>
      <c r="AM54" s="32"/>
      <c r="AN54" s="32"/>
      <c r="AO54" s="32"/>
      <c r="AP54" s="32"/>
      <c r="AQ54" s="32"/>
      <c r="AR54" s="32"/>
      <c r="AS54" s="32"/>
      <c r="AT54" s="32"/>
      <c r="AU54" s="32"/>
      <c r="AV54" s="32"/>
      <c r="AW54" s="32"/>
      <c r="AX54" s="32"/>
      <c r="AY54" s="32"/>
      <c r="AZ54" s="32"/>
      <c r="BA54" s="32"/>
      <c r="BB54" s="32"/>
      <c r="BC54" s="32"/>
      <c r="BD54" s="32"/>
      <c r="BE54" s="32"/>
      <c r="BF54" s="32"/>
      <c r="BG54" s="32"/>
      <c r="BH54" s="32"/>
      <c r="BI54" s="32"/>
      <c r="BJ54" s="32"/>
      <c r="BK54" s="192"/>
      <c r="BL54" s="32"/>
      <c r="BM54" s="192"/>
      <c r="BN54" s="32"/>
      <c r="BO54" s="32"/>
      <c r="BP54" s="32"/>
      <c r="BQ54" s="32"/>
      <c r="BR54" s="32"/>
      <c r="BS54" s="32"/>
      <c r="BT54" s="32"/>
      <c r="BU54" s="32"/>
      <c r="BV54" s="32"/>
      <c r="BW54" s="32"/>
      <c r="BX54" s="32"/>
      <c r="BY54" s="32"/>
      <c r="BZ54" s="32"/>
      <c r="CA54" s="32"/>
      <c r="CB54" s="32"/>
      <c r="CC54" s="32"/>
      <c r="CD54" s="32"/>
      <c r="CE54" s="32"/>
      <c r="CF54" s="32"/>
      <c r="CG54" s="32"/>
      <c r="CH54" s="32"/>
      <c r="CI54" s="32"/>
      <c r="CJ54" s="32"/>
      <c r="CK54" s="32"/>
      <c r="CL54" s="32"/>
      <c r="CM54" s="32"/>
      <c r="CN54" s="32"/>
      <c r="CO54" s="32"/>
      <c r="CP54" s="32"/>
      <c r="CQ54" s="32"/>
      <c r="CR54" s="32"/>
      <c r="CS54" s="32"/>
      <c r="CT54" s="32"/>
      <c r="CU54" s="32"/>
      <c r="CV54" s="32"/>
      <c r="CW54" s="32"/>
      <c r="CX54" s="32"/>
      <c r="CY54" s="32"/>
      <c r="CZ54" s="32"/>
      <c r="DA54" s="32"/>
      <c r="DB54" s="32"/>
      <c r="DC54" s="32"/>
      <c r="DD54" s="32"/>
      <c r="DE54" s="32"/>
      <c r="DF54" s="32"/>
      <c r="DG54" s="32"/>
      <c r="DH54" s="32"/>
      <c r="DI54" s="32"/>
      <c r="DJ54" s="32"/>
      <c r="DK54" s="32"/>
      <c r="DL54" s="32"/>
      <c r="DM54" s="32"/>
      <c r="DN54" s="32"/>
      <c r="DO54" s="32"/>
      <c r="DP54" s="32"/>
      <c r="DQ54" s="32"/>
      <c r="DR54" s="32"/>
      <c r="DS54" s="13">
        <f>+MEDIAN(O54,Q54)</f>
        <v>2364</v>
      </c>
      <c r="DT54" s="13">
        <f>+AVERAGE(O54,Q54)</f>
        <v>2364</v>
      </c>
      <c r="DU54" s="13">
        <f>+STDEV(O54,Q54)</f>
        <v>231.93102422918759</v>
      </c>
      <c r="DV54" s="17">
        <f t="shared" si="1"/>
        <v>9.8109570316915223E-2</v>
      </c>
      <c r="DW54" s="373">
        <f t="shared" si="2"/>
        <v>2364</v>
      </c>
      <c r="DX54" s="13">
        <f t="shared" si="4"/>
        <v>1063800</v>
      </c>
      <c r="DY54" s="10" t="s">
        <v>308</v>
      </c>
    </row>
    <row r="55" spans="1:132" ht="52" hidden="1" x14ac:dyDescent="0.3">
      <c r="A55" s="19">
        <v>36</v>
      </c>
      <c r="B55" s="9" t="s">
        <v>15</v>
      </c>
      <c r="C55" s="9" t="s">
        <v>85</v>
      </c>
      <c r="D55" s="9" t="s">
        <v>375</v>
      </c>
      <c r="E55" s="10" t="s">
        <v>87</v>
      </c>
      <c r="F55" s="9" t="s">
        <v>24</v>
      </c>
      <c r="G55" s="11">
        <v>1</v>
      </c>
      <c r="H55" s="11">
        <v>1</v>
      </c>
      <c r="I55" s="191"/>
      <c r="J55" s="191"/>
      <c r="K55" s="191"/>
      <c r="L55" s="191"/>
      <c r="M55" s="191"/>
      <c r="N55" s="191"/>
      <c r="O55" s="25">
        <v>159660</v>
      </c>
      <c r="P55" s="212">
        <f>O55*G55</f>
        <v>159660</v>
      </c>
      <c r="Q55" s="25">
        <v>142000</v>
      </c>
      <c r="R55" s="32">
        <f>Q55*G55</f>
        <v>142000</v>
      </c>
      <c r="S55" s="25">
        <v>130570</v>
      </c>
      <c r="T55" s="32">
        <f>S55*G55</f>
        <v>130570</v>
      </c>
      <c r="U55" s="32"/>
      <c r="V55" s="32"/>
      <c r="W55" s="32"/>
      <c r="X55" s="32"/>
      <c r="Y55" s="32"/>
      <c r="Z55" s="32"/>
      <c r="AA55" s="32"/>
      <c r="AB55" s="32"/>
      <c r="AC55" s="32"/>
      <c r="AD55" s="32"/>
      <c r="AE55" s="32"/>
      <c r="AF55" s="32"/>
      <c r="AG55" s="192"/>
      <c r="AH55" s="32"/>
      <c r="AI55" s="32"/>
      <c r="AJ55" s="32"/>
      <c r="AK55" s="32"/>
      <c r="AL55" s="32"/>
      <c r="AM55" s="32"/>
      <c r="AN55" s="32"/>
      <c r="AO55" s="32"/>
      <c r="AP55" s="32"/>
      <c r="AQ55" s="32"/>
      <c r="AR55" s="32"/>
      <c r="AS55" s="32"/>
      <c r="AT55" s="32"/>
      <c r="AU55" s="32"/>
      <c r="AV55" s="32"/>
      <c r="AW55" s="32"/>
      <c r="AX55" s="32"/>
      <c r="AY55" s="32"/>
      <c r="AZ55" s="32"/>
      <c r="BA55" s="32"/>
      <c r="BB55" s="32"/>
      <c r="BC55" s="32"/>
      <c r="BD55" s="32"/>
      <c r="BE55" s="32"/>
      <c r="BF55" s="32"/>
      <c r="BG55" s="32"/>
      <c r="BH55" s="32"/>
      <c r="BI55" s="32"/>
      <c r="BJ55" s="32"/>
      <c r="BK55" s="192"/>
      <c r="BL55" s="32"/>
      <c r="BM55" s="192"/>
      <c r="BN55" s="32"/>
      <c r="BO55" s="32"/>
      <c r="BP55" s="32"/>
      <c r="BQ55" s="32"/>
      <c r="BR55" s="32"/>
      <c r="BS55" s="32"/>
      <c r="BT55" s="32"/>
      <c r="BU55" s="32"/>
      <c r="BV55" s="32"/>
      <c r="BW55" s="32"/>
      <c r="BX55" s="32"/>
      <c r="BY55" s="32"/>
      <c r="BZ55" s="32"/>
      <c r="CA55" s="32"/>
      <c r="CB55" s="32"/>
      <c r="CC55" s="32"/>
      <c r="CD55" s="32"/>
      <c r="CE55" s="32"/>
      <c r="CF55" s="32"/>
      <c r="CG55" s="32"/>
      <c r="CH55" s="32"/>
      <c r="CI55" s="32"/>
      <c r="CJ55" s="32"/>
      <c r="CK55" s="32"/>
      <c r="CL55" s="32"/>
      <c r="CM55" s="32"/>
      <c r="CN55" s="32"/>
      <c r="CO55" s="32"/>
      <c r="CP55" s="32"/>
      <c r="CQ55" s="32"/>
      <c r="CR55" s="32"/>
      <c r="CS55" s="32"/>
      <c r="CT55" s="32"/>
      <c r="CU55" s="32"/>
      <c r="CV55" s="32"/>
      <c r="CW55" s="32"/>
      <c r="CX55" s="32"/>
      <c r="CY55" s="32"/>
      <c r="CZ55" s="32"/>
      <c r="DA55" s="32"/>
      <c r="DB55" s="32"/>
      <c r="DC55" s="32"/>
      <c r="DD55" s="32"/>
      <c r="DE55" s="32"/>
      <c r="DF55" s="32"/>
      <c r="DG55" s="32"/>
      <c r="DH55" s="32"/>
      <c r="DI55" s="32"/>
      <c r="DJ55" s="32"/>
      <c r="DK55" s="32"/>
      <c r="DL55" s="32"/>
      <c r="DM55" s="32"/>
      <c r="DN55" s="32"/>
      <c r="DO55" s="32"/>
      <c r="DP55" s="32"/>
      <c r="DQ55" s="32"/>
      <c r="DR55" s="32"/>
      <c r="DS55" s="13">
        <f>+MEDIAN(O55,Q55,S55)</f>
        <v>142000</v>
      </c>
      <c r="DT55" s="13">
        <f>+AVERAGE(O55,Q55,S55)</f>
        <v>144076.66666666666</v>
      </c>
      <c r="DU55" s="13">
        <f>+STDEV(O55,Q55,S55)</f>
        <v>14655.764508661203</v>
      </c>
      <c r="DV55" s="17">
        <f t="shared" si="1"/>
        <v>0.10172198488301046</v>
      </c>
      <c r="DW55" s="373">
        <f t="shared" si="2"/>
        <v>144077</v>
      </c>
      <c r="DX55" s="13">
        <f t="shared" si="4"/>
        <v>144077</v>
      </c>
      <c r="DY55" s="10" t="s">
        <v>308</v>
      </c>
    </row>
    <row r="56" spans="1:132" ht="52" hidden="1" x14ac:dyDescent="0.3">
      <c r="A56" s="19">
        <v>37</v>
      </c>
      <c r="B56" s="9" t="s">
        <v>15</v>
      </c>
      <c r="C56" s="9" t="s">
        <v>85</v>
      </c>
      <c r="D56" s="9" t="s">
        <v>468</v>
      </c>
      <c r="E56" s="10" t="s">
        <v>89</v>
      </c>
      <c r="F56" s="9" t="s">
        <v>86</v>
      </c>
      <c r="G56" s="11">
        <v>200</v>
      </c>
      <c r="H56" s="11">
        <v>1</v>
      </c>
      <c r="I56" s="191"/>
      <c r="J56" s="191"/>
      <c r="K56" s="191"/>
      <c r="L56" s="191"/>
      <c r="M56" s="191"/>
      <c r="N56" s="191"/>
      <c r="O56" s="211"/>
      <c r="P56" s="212"/>
      <c r="Q56" s="32"/>
      <c r="R56" s="32"/>
      <c r="S56" s="32"/>
      <c r="T56" s="32"/>
      <c r="U56" s="32"/>
      <c r="V56" s="32"/>
      <c r="W56" s="32"/>
      <c r="X56" s="32"/>
      <c r="Y56" s="32"/>
      <c r="Z56" s="32"/>
      <c r="AA56" s="32"/>
      <c r="AB56" s="32"/>
      <c r="AC56" s="32"/>
      <c r="AD56" s="32"/>
      <c r="AE56" s="32"/>
      <c r="AF56" s="32"/>
      <c r="AG56" s="192"/>
      <c r="AH56" s="32"/>
      <c r="AI56" s="32"/>
      <c r="AJ56" s="32"/>
      <c r="AK56" s="32"/>
      <c r="AL56" s="32"/>
      <c r="AM56" s="32"/>
      <c r="AN56" s="32"/>
      <c r="AO56" s="32"/>
      <c r="AP56" s="32"/>
      <c r="AQ56" s="32"/>
      <c r="AR56" s="32"/>
      <c r="AS56" s="32"/>
      <c r="AT56" s="32"/>
      <c r="AU56" s="32"/>
      <c r="AV56" s="32"/>
      <c r="AW56" s="32"/>
      <c r="AX56" s="32"/>
      <c r="AY56" s="32"/>
      <c r="AZ56" s="32"/>
      <c r="BA56" s="32"/>
      <c r="BB56" s="32"/>
      <c r="BC56" s="32"/>
      <c r="BD56" s="32"/>
      <c r="BE56" s="32"/>
      <c r="BF56" s="32"/>
      <c r="BG56" s="32"/>
      <c r="BH56" s="32"/>
      <c r="BI56" s="32"/>
      <c r="BJ56" s="32"/>
      <c r="BK56" s="192"/>
      <c r="BL56" s="32"/>
      <c r="BM56" s="192"/>
      <c r="BN56" s="32"/>
      <c r="BO56" s="32"/>
      <c r="BP56" s="32"/>
      <c r="BQ56" s="32"/>
      <c r="BR56" s="32"/>
      <c r="BS56" s="32"/>
      <c r="BT56" s="32"/>
      <c r="BU56" s="32"/>
      <c r="BV56" s="32"/>
      <c r="BW56" s="32"/>
      <c r="BX56" s="32"/>
      <c r="BY56" s="32"/>
      <c r="BZ56" s="32"/>
      <c r="CA56" s="32"/>
      <c r="CB56" s="32"/>
      <c r="CC56" s="32"/>
      <c r="CD56" s="32"/>
      <c r="CE56" s="32"/>
      <c r="CF56" s="32"/>
      <c r="CG56" s="32"/>
      <c r="CH56" s="32"/>
      <c r="CI56" s="32"/>
      <c r="CJ56" s="32"/>
      <c r="CK56" s="32"/>
      <c r="CL56" s="32"/>
      <c r="CM56" s="32"/>
      <c r="CN56" s="32"/>
      <c r="CO56" s="211">
        <v>800</v>
      </c>
      <c r="CP56" s="32">
        <f>CO56*G56</f>
        <v>160000</v>
      </c>
      <c r="CQ56" s="225"/>
      <c r="CR56" s="32"/>
      <c r="CS56" s="28"/>
      <c r="CT56" s="25"/>
      <c r="CU56" s="225"/>
      <c r="CV56" s="25"/>
      <c r="CW56" s="245"/>
      <c r="CX56" s="25"/>
      <c r="CY56" s="245">
        <v>1100</v>
      </c>
      <c r="CZ56" s="25">
        <f>CY56*G56*H56</f>
        <v>220000</v>
      </c>
      <c r="DA56" s="25"/>
      <c r="DB56" s="25"/>
      <c r="DC56" s="245"/>
      <c r="DD56" s="25"/>
      <c r="DE56" s="25"/>
      <c r="DF56" s="25"/>
      <c r="DG56" s="25"/>
      <c r="DH56" s="25"/>
      <c r="DI56" s="25"/>
      <c r="DJ56" s="25"/>
      <c r="DK56" s="25"/>
      <c r="DL56" s="25"/>
      <c r="DM56" s="25"/>
      <c r="DN56" s="25"/>
      <c r="DO56" s="25"/>
      <c r="DP56" s="25"/>
      <c r="DQ56" s="25"/>
      <c r="DR56" s="25"/>
      <c r="DS56" s="13">
        <f>+MEDIAN(CO56,CY56)</f>
        <v>950</v>
      </c>
      <c r="DT56" s="13">
        <f>+AVERAGE(CO56,CY56)</f>
        <v>950</v>
      </c>
      <c r="DU56" s="13">
        <f>+STDEV(CO56,CY56)</f>
        <v>212.13203435596427</v>
      </c>
      <c r="DV56" s="17">
        <f t="shared" si="1"/>
        <v>0.22329687826943606</v>
      </c>
      <c r="DW56" s="373">
        <f t="shared" si="2"/>
        <v>950</v>
      </c>
      <c r="DX56" s="13">
        <f t="shared" si="4"/>
        <v>190000</v>
      </c>
      <c r="DY56" s="10" t="s">
        <v>322</v>
      </c>
    </row>
    <row r="57" spans="1:132" ht="52" hidden="1" x14ac:dyDescent="0.3">
      <c r="A57" s="19">
        <v>38</v>
      </c>
      <c r="B57" s="9" t="s">
        <v>15</v>
      </c>
      <c r="C57" s="9" t="s">
        <v>85</v>
      </c>
      <c r="D57" s="9" t="s">
        <v>469</v>
      </c>
      <c r="E57" s="10" t="s">
        <v>25</v>
      </c>
      <c r="F57" s="9" t="s">
        <v>86</v>
      </c>
      <c r="G57" s="11">
        <v>200</v>
      </c>
      <c r="H57" s="11">
        <v>1</v>
      </c>
      <c r="I57" s="191"/>
      <c r="J57" s="191"/>
      <c r="K57" s="191"/>
      <c r="L57" s="191"/>
      <c r="M57" s="191"/>
      <c r="N57" s="191"/>
      <c r="O57" s="211"/>
      <c r="P57" s="212"/>
      <c r="Q57" s="25">
        <v>220</v>
      </c>
      <c r="R57" s="32">
        <f>Q57*G57</f>
        <v>44000</v>
      </c>
      <c r="S57" s="25">
        <v>305</v>
      </c>
      <c r="T57" s="32">
        <f>S57*G57</f>
        <v>61000</v>
      </c>
      <c r="U57" s="32"/>
      <c r="V57" s="32"/>
      <c r="W57" s="32"/>
      <c r="X57" s="32"/>
      <c r="Y57" s="32"/>
      <c r="Z57" s="32"/>
      <c r="AA57" s="32"/>
      <c r="AB57" s="32"/>
      <c r="AC57" s="32"/>
      <c r="AD57" s="32"/>
      <c r="AE57" s="32"/>
      <c r="AF57" s="32"/>
      <c r="AG57" s="192"/>
      <c r="AH57" s="32"/>
      <c r="AI57" s="32"/>
      <c r="AJ57" s="32"/>
      <c r="AK57" s="32"/>
      <c r="AL57" s="32"/>
      <c r="AM57" s="32"/>
      <c r="AN57" s="32"/>
      <c r="AO57" s="32"/>
      <c r="AP57" s="32"/>
      <c r="AQ57" s="32"/>
      <c r="AR57" s="32"/>
      <c r="AS57" s="32"/>
      <c r="AT57" s="32"/>
      <c r="AU57" s="32"/>
      <c r="AV57" s="32"/>
      <c r="AW57" s="32"/>
      <c r="AX57" s="32"/>
      <c r="AY57" s="32"/>
      <c r="AZ57" s="32"/>
      <c r="BA57" s="32"/>
      <c r="BB57" s="32"/>
      <c r="BC57" s="32"/>
      <c r="BD57" s="32"/>
      <c r="BE57" s="32"/>
      <c r="BF57" s="32"/>
      <c r="BG57" s="32"/>
      <c r="BH57" s="32"/>
      <c r="BI57" s="32"/>
      <c r="BJ57" s="32"/>
      <c r="BK57" s="25"/>
      <c r="BL57" s="32"/>
      <c r="BM57" s="25"/>
      <c r="BN57" s="32"/>
      <c r="BO57" s="32"/>
      <c r="BP57" s="32"/>
      <c r="BQ57" s="32"/>
      <c r="BR57" s="32"/>
      <c r="BS57" s="32"/>
      <c r="BT57" s="32"/>
      <c r="BU57" s="32"/>
      <c r="BV57" s="32"/>
      <c r="BW57" s="32"/>
      <c r="BX57" s="32"/>
      <c r="BY57" s="32"/>
      <c r="BZ57" s="32"/>
      <c r="CA57" s="32"/>
      <c r="CB57" s="32"/>
      <c r="CC57" s="32"/>
      <c r="CD57" s="32"/>
      <c r="CE57" s="32"/>
      <c r="CF57" s="32"/>
      <c r="CG57" s="32"/>
      <c r="CH57" s="32"/>
      <c r="CI57" s="32"/>
      <c r="CJ57" s="32"/>
      <c r="CK57" s="32"/>
      <c r="CL57" s="32"/>
      <c r="CM57" s="32"/>
      <c r="CN57" s="32"/>
      <c r="CO57" s="32"/>
      <c r="CP57" s="32"/>
      <c r="CQ57" s="32"/>
      <c r="CR57" s="32"/>
      <c r="CS57" s="32"/>
      <c r="CT57" s="32"/>
      <c r="CU57" s="32"/>
      <c r="CV57" s="32"/>
      <c r="CW57" s="32"/>
      <c r="CX57" s="32"/>
      <c r="CY57" s="32"/>
      <c r="CZ57" s="32"/>
      <c r="DA57" s="32"/>
      <c r="DB57" s="32"/>
      <c r="DC57" s="32"/>
      <c r="DD57" s="32"/>
      <c r="DE57" s="32"/>
      <c r="DF57" s="32"/>
      <c r="DG57" s="32"/>
      <c r="DH57" s="32"/>
      <c r="DI57" s="32"/>
      <c r="DJ57" s="32"/>
      <c r="DK57" s="32"/>
      <c r="DL57" s="32"/>
      <c r="DM57" s="32"/>
      <c r="DN57" s="32"/>
      <c r="DO57" s="32"/>
      <c r="DP57" s="32"/>
      <c r="DQ57" s="32"/>
      <c r="DR57" s="32"/>
      <c r="DS57" s="13">
        <f>+MEDIAN(Q57,S57)</f>
        <v>262.5</v>
      </c>
      <c r="DT57" s="13">
        <f>+AVERAGE(Q57,S57)</f>
        <v>262.5</v>
      </c>
      <c r="DU57" s="13">
        <f>+STDEV(Q57,S57)</f>
        <v>60.104076400856542</v>
      </c>
      <c r="DV57" s="17">
        <f t="shared" si="1"/>
        <v>0.22896791009850112</v>
      </c>
      <c r="DW57" s="373">
        <f t="shared" si="2"/>
        <v>263</v>
      </c>
      <c r="DX57" s="13">
        <f t="shared" si="4"/>
        <v>52600</v>
      </c>
      <c r="DY57" s="10" t="s">
        <v>309</v>
      </c>
    </row>
    <row r="58" spans="1:132" ht="52" hidden="1" x14ac:dyDescent="0.3">
      <c r="A58" s="19">
        <v>39</v>
      </c>
      <c r="B58" s="9" t="s">
        <v>15</v>
      </c>
      <c r="C58" s="9" t="s">
        <v>85</v>
      </c>
      <c r="D58" s="9" t="s">
        <v>489</v>
      </c>
      <c r="E58" s="10" t="s">
        <v>26</v>
      </c>
      <c r="F58" s="9" t="s">
        <v>90</v>
      </c>
      <c r="G58" s="11">
        <v>38</v>
      </c>
      <c r="H58" s="11">
        <v>1</v>
      </c>
      <c r="I58" s="191"/>
      <c r="J58" s="191"/>
      <c r="K58" s="191"/>
      <c r="L58" s="191"/>
      <c r="M58" s="191"/>
      <c r="N58" s="191"/>
      <c r="O58" s="211"/>
      <c r="P58" s="212"/>
      <c r="Q58" s="32"/>
      <c r="R58" s="32"/>
      <c r="S58" s="32"/>
      <c r="T58" s="32"/>
      <c r="U58" s="32"/>
      <c r="V58" s="32"/>
      <c r="W58" s="32"/>
      <c r="X58" s="32"/>
      <c r="Y58" s="32"/>
      <c r="Z58" s="32"/>
      <c r="AA58" s="32"/>
      <c r="AB58" s="32"/>
      <c r="AC58" s="32"/>
      <c r="AD58" s="32"/>
      <c r="AE58" s="32"/>
      <c r="AF58" s="32"/>
      <c r="AG58" s="19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c r="BI58" s="32"/>
      <c r="BJ58" s="32"/>
      <c r="BK58" s="192"/>
      <c r="BL58" s="32"/>
      <c r="BM58" s="192"/>
      <c r="BN58" s="32"/>
      <c r="BO58" s="32"/>
      <c r="BP58" s="32"/>
      <c r="BQ58" s="32"/>
      <c r="BR58" s="32"/>
      <c r="BS58" s="32"/>
      <c r="BT58" s="32"/>
      <c r="BU58" s="32"/>
      <c r="BV58" s="32"/>
      <c r="BW58" s="32"/>
      <c r="BX58" s="32"/>
      <c r="BY58" s="32"/>
      <c r="BZ58" s="32"/>
      <c r="CA58" s="32"/>
      <c r="CB58" s="32"/>
      <c r="CC58" s="32"/>
      <c r="CD58" s="32"/>
      <c r="CE58" s="32"/>
      <c r="CF58" s="32"/>
      <c r="CG58" s="32"/>
      <c r="CH58" s="32"/>
      <c r="CI58" s="32"/>
      <c r="CJ58" s="32"/>
      <c r="CK58" s="32"/>
      <c r="CL58" s="32"/>
      <c r="CM58" s="32"/>
      <c r="CN58" s="32"/>
      <c r="CO58" s="211"/>
      <c r="CP58" s="32"/>
      <c r="CQ58" s="225"/>
      <c r="CR58" s="32"/>
      <c r="CS58" s="28">
        <v>11000</v>
      </c>
      <c r="CT58" s="25">
        <f>CS58*G58</f>
        <v>418000</v>
      </c>
      <c r="CU58" s="225"/>
      <c r="CV58" s="25"/>
      <c r="CW58" s="245"/>
      <c r="CX58" s="25"/>
      <c r="CY58" s="245">
        <v>12000</v>
      </c>
      <c r="CZ58" s="25">
        <f>CY58*G58*H58</f>
        <v>456000</v>
      </c>
      <c r="DA58" s="25"/>
      <c r="DB58" s="25"/>
      <c r="DC58" s="245"/>
      <c r="DD58" s="25"/>
      <c r="DE58" s="25"/>
      <c r="DF58" s="25"/>
      <c r="DG58" s="25"/>
      <c r="DH58" s="25"/>
      <c r="DI58" s="25"/>
      <c r="DJ58" s="25"/>
      <c r="DK58" s="25"/>
      <c r="DL58" s="25"/>
      <c r="DM58" s="25"/>
      <c r="DN58" s="25"/>
      <c r="DO58" s="25"/>
      <c r="DP58" s="25"/>
      <c r="DQ58" s="25"/>
      <c r="DR58" s="25"/>
      <c r="DS58" s="13">
        <f>+MEDIAN(CS58,CY58)</f>
        <v>11500</v>
      </c>
      <c r="DT58" s="13">
        <f>+AVERAGE(CS58,CY58)</f>
        <v>11500</v>
      </c>
      <c r="DU58" s="13">
        <f>+STDEV(CS58,CY58)</f>
        <v>707.10678118654755</v>
      </c>
      <c r="DV58" s="17">
        <f t="shared" si="1"/>
        <v>6.1487546190134572E-2</v>
      </c>
      <c r="DW58" s="373">
        <f t="shared" si="2"/>
        <v>11500</v>
      </c>
      <c r="DX58" s="13">
        <f t="shared" si="4"/>
        <v>437000</v>
      </c>
      <c r="DY58" s="10" t="s">
        <v>448</v>
      </c>
    </row>
    <row r="59" spans="1:132" ht="52" hidden="1" x14ac:dyDescent="0.3">
      <c r="A59" s="19">
        <v>40</v>
      </c>
      <c r="B59" s="9" t="s">
        <v>15</v>
      </c>
      <c r="C59" s="9" t="s">
        <v>85</v>
      </c>
      <c r="D59" s="9" t="s">
        <v>495</v>
      </c>
      <c r="E59" s="10" t="s">
        <v>91</v>
      </c>
      <c r="F59" s="9" t="s">
        <v>19</v>
      </c>
      <c r="G59" s="11">
        <v>450</v>
      </c>
      <c r="H59" s="11">
        <v>1</v>
      </c>
      <c r="I59" s="191"/>
      <c r="J59" s="191"/>
      <c r="K59" s="191"/>
      <c r="L59" s="191"/>
      <c r="M59" s="191"/>
      <c r="N59" s="191"/>
      <c r="O59" s="211"/>
      <c r="P59" s="212"/>
      <c r="Q59" s="32"/>
      <c r="R59" s="32"/>
      <c r="S59" s="32"/>
      <c r="T59" s="32"/>
      <c r="U59" s="32"/>
      <c r="V59" s="32"/>
      <c r="W59" s="32"/>
      <c r="X59" s="32"/>
      <c r="Y59" s="32"/>
      <c r="Z59" s="32"/>
      <c r="AA59" s="32"/>
      <c r="AB59" s="32"/>
      <c r="AC59" s="32"/>
      <c r="AD59" s="32"/>
      <c r="AE59" s="32"/>
      <c r="AF59" s="32"/>
      <c r="AG59" s="19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c r="BI59" s="32"/>
      <c r="BJ59" s="32"/>
      <c r="BK59" s="246"/>
      <c r="BL59" s="32"/>
      <c r="BM59" s="246">
        <v>2200</v>
      </c>
      <c r="BN59" s="32">
        <f>BM59*G59</f>
        <v>990000</v>
      </c>
      <c r="BO59" s="32"/>
      <c r="BP59" s="32"/>
      <c r="BQ59" s="246">
        <f>+ROUND(1200+(1200*19%),0)</f>
        <v>1428</v>
      </c>
      <c r="BR59" s="32">
        <f>BQ59*G59</f>
        <v>642600</v>
      </c>
      <c r="BS59" s="32"/>
      <c r="BT59" s="32"/>
      <c r="BU59" s="32"/>
      <c r="BV59" s="32"/>
      <c r="BW59" s="32"/>
      <c r="BX59" s="32"/>
      <c r="BY59" s="32"/>
      <c r="BZ59" s="32"/>
      <c r="CA59" s="32"/>
      <c r="CB59" s="32"/>
      <c r="CC59" s="32"/>
      <c r="CD59" s="32"/>
      <c r="CE59" s="32"/>
      <c r="CF59" s="32"/>
      <c r="CG59" s="32"/>
      <c r="CH59" s="32"/>
      <c r="CI59" s="32"/>
      <c r="CJ59" s="32"/>
      <c r="CK59" s="32"/>
      <c r="CL59" s="32"/>
      <c r="CM59" s="32"/>
      <c r="CN59" s="32"/>
      <c r="CO59" s="32"/>
      <c r="CP59" s="32"/>
      <c r="CQ59" s="32"/>
      <c r="CR59" s="32"/>
      <c r="CS59" s="32"/>
      <c r="CT59" s="32"/>
      <c r="CU59" s="32"/>
      <c r="CV59" s="32"/>
      <c r="CW59" s="32"/>
      <c r="CX59" s="32"/>
      <c r="CY59" s="32"/>
      <c r="CZ59" s="32"/>
      <c r="DA59" s="32"/>
      <c r="DB59" s="32"/>
      <c r="DC59" s="32"/>
      <c r="DD59" s="32"/>
      <c r="DE59" s="32"/>
      <c r="DF59" s="32"/>
      <c r="DG59" s="32"/>
      <c r="DH59" s="32"/>
      <c r="DI59" s="32"/>
      <c r="DJ59" s="32"/>
      <c r="DK59" s="32"/>
      <c r="DL59" s="32"/>
      <c r="DM59" s="32"/>
      <c r="DN59" s="32"/>
      <c r="DO59" s="32"/>
      <c r="DP59" s="32"/>
      <c r="DQ59" s="32"/>
      <c r="DR59" s="32"/>
      <c r="DS59" s="13">
        <f>+MEDIAN(BM59,BQ59)</f>
        <v>1814</v>
      </c>
      <c r="DT59" s="13">
        <f>+AVERAGE(BM59,BQ59)</f>
        <v>1814</v>
      </c>
      <c r="DU59" s="13">
        <f>+STDEV(BM59,BQ59)</f>
        <v>545.88643507601466</v>
      </c>
      <c r="DV59" s="17">
        <f t="shared" si="1"/>
        <v>0.30092967755017347</v>
      </c>
      <c r="DW59" s="373">
        <f t="shared" si="2"/>
        <v>1814</v>
      </c>
      <c r="DX59" s="13">
        <f t="shared" si="4"/>
        <v>816300</v>
      </c>
      <c r="DY59" s="10" t="s">
        <v>309</v>
      </c>
    </row>
    <row r="60" spans="1:132" ht="65" hidden="1" x14ac:dyDescent="0.3">
      <c r="A60" s="19">
        <v>41</v>
      </c>
      <c r="B60" s="9" t="s">
        <v>15</v>
      </c>
      <c r="C60" s="648" t="s">
        <v>85</v>
      </c>
      <c r="D60" s="9" t="s">
        <v>92</v>
      </c>
      <c r="E60" s="10" t="s">
        <v>1344</v>
      </c>
      <c r="F60" s="9" t="s">
        <v>19</v>
      </c>
      <c r="G60" s="11">
        <v>450</v>
      </c>
      <c r="H60" s="11">
        <v>1</v>
      </c>
      <c r="I60" s="649"/>
      <c r="J60" s="649"/>
      <c r="K60" s="649"/>
      <c r="L60" s="649"/>
      <c r="M60" s="649"/>
      <c r="N60" s="649"/>
      <c r="O60" s="650"/>
      <c r="P60" s="651"/>
      <c r="Q60" s="205"/>
      <c r="R60" s="205"/>
      <c r="S60" s="205"/>
      <c r="T60" s="205"/>
      <c r="U60" s="205"/>
      <c r="V60" s="205"/>
      <c r="W60" s="205"/>
      <c r="X60" s="205"/>
      <c r="Y60" s="205"/>
      <c r="Z60" s="205"/>
      <c r="AA60" s="205"/>
      <c r="AB60" s="205"/>
      <c r="AC60" s="205"/>
      <c r="AD60" s="205"/>
      <c r="AE60" s="205"/>
      <c r="AF60" s="205"/>
      <c r="AG60" s="206"/>
      <c r="AH60" s="205"/>
      <c r="AI60" s="205"/>
      <c r="AJ60" s="205"/>
      <c r="AK60" s="205"/>
      <c r="AL60" s="205"/>
      <c r="AM60" s="205"/>
      <c r="AN60" s="205"/>
      <c r="AO60" s="205"/>
      <c r="AP60" s="205"/>
      <c r="AQ60" s="205"/>
      <c r="AR60" s="205"/>
      <c r="AS60" s="205"/>
      <c r="AT60" s="205"/>
      <c r="AU60" s="205"/>
      <c r="AV60" s="205"/>
      <c r="AW60" s="205"/>
      <c r="AX60" s="205"/>
      <c r="AY60" s="205"/>
      <c r="AZ60" s="205"/>
      <c r="BA60" s="205"/>
      <c r="BB60" s="205"/>
      <c r="BC60" s="205"/>
      <c r="BD60" s="205"/>
      <c r="BE60" s="205"/>
      <c r="BF60" s="205"/>
      <c r="BG60" s="205"/>
      <c r="BH60" s="205"/>
      <c r="BI60" s="205"/>
      <c r="BJ60" s="205"/>
      <c r="BK60" s="206"/>
      <c r="BL60" s="205"/>
      <c r="BM60" s="206"/>
      <c r="BN60" s="205"/>
      <c r="BO60" s="205"/>
      <c r="BP60" s="205"/>
      <c r="BQ60" s="205"/>
      <c r="BR60" s="205"/>
      <c r="BS60" s="205"/>
      <c r="BT60" s="205"/>
      <c r="BU60" s="205"/>
      <c r="BV60" s="205"/>
      <c r="BW60" s="205"/>
      <c r="BX60" s="205"/>
      <c r="BY60" s="205"/>
      <c r="BZ60" s="205"/>
      <c r="CA60" s="205"/>
      <c r="CB60" s="205"/>
      <c r="CC60" s="205"/>
      <c r="CD60" s="205"/>
      <c r="CE60" s="205"/>
      <c r="CF60" s="205"/>
      <c r="CG60" s="205"/>
      <c r="CH60" s="205"/>
      <c r="CI60" s="205"/>
      <c r="CJ60" s="205"/>
      <c r="CK60" s="205"/>
      <c r="CL60" s="205"/>
      <c r="CM60" s="205"/>
      <c r="CN60" s="205"/>
      <c r="CO60" s="650">
        <v>20000</v>
      </c>
      <c r="CP60" s="205">
        <f>CO60*G60</f>
        <v>9000000</v>
      </c>
      <c r="CQ60" s="653">
        <v>22000</v>
      </c>
      <c r="CR60" s="205"/>
      <c r="CS60" s="654"/>
      <c r="CT60" s="205"/>
      <c r="CU60" s="653">
        <v>22000</v>
      </c>
      <c r="CV60" s="205">
        <f>CU60*G60</f>
        <v>9900000</v>
      </c>
      <c r="CW60" s="658"/>
      <c r="CX60" s="205"/>
      <c r="CY60" s="658"/>
      <c r="CZ60" s="205"/>
      <c r="DA60" s="205"/>
      <c r="DB60" s="205"/>
      <c r="DC60" s="658"/>
      <c r="DD60" s="205"/>
      <c r="DE60" s="205"/>
      <c r="DF60" s="205"/>
      <c r="DG60" s="205"/>
      <c r="DH60" s="205"/>
      <c r="DI60" s="205"/>
      <c r="DJ60" s="205"/>
      <c r="DK60" s="205"/>
      <c r="DL60" s="205"/>
      <c r="DM60" s="205"/>
      <c r="DN60" s="205"/>
      <c r="DO60" s="205"/>
      <c r="DP60" s="205"/>
      <c r="DQ60" s="205"/>
      <c r="DR60" s="205"/>
      <c r="DS60" s="656">
        <f>+MEDIAN(CO60,CQ60,CU60)</f>
        <v>22000</v>
      </c>
      <c r="DT60" s="656">
        <f>+AVERAGE(CO60,CQ60,CU60)</f>
        <v>21333.333333333332</v>
      </c>
      <c r="DU60" s="656">
        <f>+STDEV(CO60,CQ60,CU60)</f>
        <v>1154.7005383792514</v>
      </c>
      <c r="DV60" s="657">
        <f t="shared" si="1"/>
        <v>5.4126587736527412E-2</v>
      </c>
      <c r="DW60" s="662">
        <f t="shared" si="2"/>
        <v>21334</v>
      </c>
      <c r="DX60" s="13">
        <f t="shared" si="4"/>
        <v>9600300</v>
      </c>
      <c r="DY60" s="10" t="s">
        <v>448</v>
      </c>
    </row>
    <row r="61" spans="1:132" ht="195" hidden="1" x14ac:dyDescent="0.3">
      <c r="A61" s="19">
        <v>42</v>
      </c>
      <c r="B61" s="14" t="s">
        <v>15</v>
      </c>
      <c r="C61" s="14" t="s">
        <v>85</v>
      </c>
      <c r="D61" s="14" t="s">
        <v>83</v>
      </c>
      <c r="E61" s="39" t="s">
        <v>243</v>
      </c>
      <c r="F61" s="14" t="s">
        <v>19</v>
      </c>
      <c r="G61" s="15">
        <v>450</v>
      </c>
      <c r="H61" s="15">
        <v>2</v>
      </c>
      <c r="I61" s="194"/>
      <c r="J61" s="194"/>
      <c r="K61" s="194"/>
      <c r="L61" s="194"/>
      <c r="M61" s="194"/>
      <c r="N61" s="194"/>
      <c r="O61" s="213"/>
      <c r="P61" s="242"/>
      <c r="Q61" s="197"/>
      <c r="R61" s="197"/>
      <c r="S61" s="197"/>
      <c r="T61" s="197"/>
      <c r="U61" s="197"/>
      <c r="V61" s="197"/>
      <c r="W61" s="197"/>
      <c r="X61" s="197"/>
      <c r="Y61" s="197"/>
      <c r="Z61" s="197"/>
      <c r="AA61" s="197"/>
      <c r="AB61" s="197"/>
      <c r="AC61" s="197"/>
      <c r="AD61" s="197"/>
      <c r="AE61" s="197"/>
      <c r="AF61" s="197"/>
      <c r="AG61" s="195"/>
      <c r="AH61" s="197"/>
      <c r="AI61" s="197"/>
      <c r="AJ61" s="197"/>
      <c r="AK61" s="197">
        <v>27000</v>
      </c>
      <c r="AL61" s="197">
        <f>AK61*G61</f>
        <v>12150000</v>
      </c>
      <c r="AM61" s="197">
        <f>18000+(18000*5.2%)</f>
        <v>18936</v>
      </c>
      <c r="AN61" s="197">
        <f>AM61*G61</f>
        <v>8521200</v>
      </c>
      <c r="AO61" s="197">
        <f>13400+(13400*5.2%)</f>
        <v>14096.8</v>
      </c>
      <c r="AP61" s="197">
        <f>AO61*G61</f>
        <v>6343560</v>
      </c>
      <c r="AQ61" s="197">
        <f>16900+(16900*5.2%)</f>
        <v>17778.8</v>
      </c>
      <c r="AR61" s="197">
        <f>AQ61*G61</f>
        <v>8000460</v>
      </c>
      <c r="AS61" s="197"/>
      <c r="AT61" s="197"/>
      <c r="AU61" s="197"/>
      <c r="AV61" s="197"/>
      <c r="AW61" s="197"/>
      <c r="AX61" s="197"/>
      <c r="AY61" s="197"/>
      <c r="AZ61" s="197"/>
      <c r="BA61" s="197"/>
      <c r="BB61" s="197"/>
      <c r="BC61" s="197"/>
      <c r="BD61" s="197"/>
      <c r="BE61" s="197"/>
      <c r="BF61" s="197"/>
      <c r="BG61" s="197"/>
      <c r="BH61" s="197"/>
      <c r="BI61" s="197"/>
      <c r="BJ61" s="197"/>
      <c r="BK61" s="195"/>
      <c r="BL61" s="197"/>
      <c r="BM61" s="195"/>
      <c r="BN61" s="197"/>
      <c r="BO61" s="197"/>
      <c r="BP61" s="197"/>
      <c r="BQ61" s="197"/>
      <c r="BR61" s="197"/>
      <c r="BS61" s="197"/>
      <c r="BT61" s="197"/>
      <c r="BU61" s="197"/>
      <c r="BV61" s="197"/>
      <c r="BW61" s="197"/>
      <c r="BX61" s="197"/>
      <c r="BY61" s="197"/>
      <c r="BZ61" s="197"/>
      <c r="CA61" s="197"/>
      <c r="CB61" s="197"/>
      <c r="CC61" s="197"/>
      <c r="CD61" s="197"/>
      <c r="CE61" s="197"/>
      <c r="CF61" s="197"/>
      <c r="CG61" s="197"/>
      <c r="CH61" s="197"/>
      <c r="CI61" s="197"/>
      <c r="CJ61" s="197"/>
      <c r="CK61" s="197"/>
      <c r="CL61" s="197"/>
      <c r="CM61" s="197"/>
      <c r="CN61" s="197"/>
      <c r="CO61" s="197"/>
      <c r="CP61" s="197"/>
      <c r="CQ61" s="197"/>
      <c r="CR61" s="197"/>
      <c r="CS61" s="197"/>
      <c r="CT61" s="197"/>
      <c r="CU61" s="197"/>
      <c r="CV61" s="197"/>
      <c r="CW61" s="247"/>
      <c r="CX61" s="197"/>
      <c r="CY61" s="247"/>
      <c r="CZ61" s="197"/>
      <c r="DA61" s="197"/>
      <c r="DB61" s="197"/>
      <c r="DC61" s="247"/>
      <c r="DD61" s="197"/>
      <c r="DE61" s="197"/>
      <c r="DF61" s="197"/>
      <c r="DG61" s="197"/>
      <c r="DH61" s="197"/>
      <c r="DI61" s="197"/>
      <c r="DJ61" s="197"/>
      <c r="DK61" s="197"/>
      <c r="DL61" s="197"/>
      <c r="DM61" s="197"/>
      <c r="DN61" s="197"/>
      <c r="DO61" s="197"/>
      <c r="DP61" s="197"/>
      <c r="DQ61" s="197"/>
      <c r="DR61" s="197"/>
      <c r="DS61" s="73">
        <f>+MEDIAN(AK61,AM61,AO61,AQ61)</f>
        <v>18357.400000000001</v>
      </c>
      <c r="DT61" s="73">
        <f>+AVERAGE(AK61,AM61,AO61,AQ61)</f>
        <v>19452.900000000001</v>
      </c>
      <c r="DU61" s="73">
        <f>+STDEV(AK61,AM61,AO61,AQ61)</f>
        <v>5438.0242135049912</v>
      </c>
      <c r="DV61" s="72">
        <f>DU61/DT61</f>
        <v>0.27954825313989129</v>
      </c>
      <c r="DW61" s="376">
        <f>+ROUNDUP(IF(DV61&lt;15%,DT61,DS61),0)</f>
        <v>18358</v>
      </c>
      <c r="DX61" s="73">
        <f t="shared" si="4"/>
        <v>16522200</v>
      </c>
      <c r="DY61" s="39" t="s">
        <v>309</v>
      </c>
    </row>
    <row r="62" spans="1:132" s="63" customFormat="1" ht="21" hidden="1" customHeight="1" x14ac:dyDescent="0.3">
      <c r="A62" s="66" t="s">
        <v>358</v>
      </c>
      <c r="B62" s="66"/>
      <c r="C62" s="66"/>
      <c r="D62" s="66"/>
      <c r="E62" s="66"/>
      <c r="F62" s="67"/>
      <c r="G62" s="67"/>
      <c r="H62" s="67"/>
      <c r="I62" s="214"/>
      <c r="J62" s="214"/>
      <c r="K62" s="214"/>
      <c r="L62" s="214"/>
      <c r="M62" s="214"/>
      <c r="N62" s="214"/>
      <c r="O62" s="215"/>
      <c r="P62" s="215"/>
      <c r="Q62" s="215"/>
      <c r="R62" s="215"/>
      <c r="S62" s="215"/>
      <c r="T62" s="215"/>
      <c r="U62" s="215"/>
      <c r="V62" s="215"/>
      <c r="W62" s="215"/>
      <c r="X62" s="215"/>
      <c r="Y62" s="215"/>
      <c r="Z62" s="215"/>
      <c r="AA62" s="215"/>
      <c r="AB62" s="215"/>
      <c r="AC62" s="215"/>
      <c r="AD62" s="215"/>
      <c r="AE62" s="215"/>
      <c r="AF62" s="215"/>
      <c r="AG62" s="215"/>
      <c r="AH62" s="215"/>
      <c r="AI62" s="215"/>
      <c r="AJ62" s="215"/>
      <c r="AK62" s="215"/>
      <c r="AL62" s="215"/>
      <c r="AM62" s="215"/>
      <c r="AN62" s="215"/>
      <c r="AO62" s="215"/>
      <c r="AP62" s="215"/>
      <c r="AQ62" s="215"/>
      <c r="AR62" s="215"/>
      <c r="AS62" s="215"/>
      <c r="AT62" s="215"/>
      <c r="AU62" s="215"/>
      <c r="AV62" s="215"/>
      <c r="AW62" s="215"/>
      <c r="AX62" s="215"/>
      <c r="AY62" s="215"/>
      <c r="AZ62" s="215"/>
      <c r="BA62" s="215"/>
      <c r="BB62" s="215"/>
      <c r="BC62" s="215"/>
      <c r="BD62" s="215"/>
      <c r="BE62" s="215"/>
      <c r="BF62" s="215"/>
      <c r="BG62" s="215"/>
      <c r="BH62" s="215"/>
      <c r="BI62" s="215"/>
      <c r="BJ62" s="215"/>
      <c r="BK62" s="215"/>
      <c r="BL62" s="216"/>
      <c r="BM62" s="215"/>
      <c r="BN62" s="216"/>
      <c r="BO62" s="216"/>
      <c r="BP62" s="216"/>
      <c r="BQ62" s="216"/>
      <c r="BR62" s="216"/>
      <c r="BS62" s="216"/>
      <c r="BT62" s="216"/>
      <c r="BU62" s="216"/>
      <c r="BV62" s="216"/>
      <c r="BW62" s="216"/>
      <c r="BX62" s="216"/>
      <c r="BY62" s="216"/>
      <c r="BZ62" s="216"/>
      <c r="CA62" s="216"/>
      <c r="CB62" s="216"/>
      <c r="CC62" s="216"/>
      <c r="CD62" s="216"/>
      <c r="CE62" s="216"/>
      <c r="CF62" s="216"/>
      <c r="CG62" s="216"/>
      <c r="CH62" s="216"/>
      <c r="CI62" s="216"/>
      <c r="CJ62" s="216"/>
      <c r="CK62" s="216"/>
      <c r="CL62" s="216"/>
      <c r="CM62" s="216"/>
      <c r="CN62" s="216"/>
      <c r="CO62" s="216"/>
      <c r="CP62" s="216"/>
      <c r="CQ62" s="216"/>
      <c r="CR62" s="216"/>
      <c r="CS62" s="216"/>
      <c r="CT62" s="216"/>
      <c r="CU62" s="216"/>
      <c r="CV62" s="216"/>
      <c r="CW62" s="216"/>
      <c r="CX62" s="216"/>
      <c r="CY62" s="216"/>
      <c r="CZ62" s="216"/>
      <c r="DA62" s="216"/>
      <c r="DB62" s="216"/>
      <c r="DC62" s="216"/>
      <c r="DD62" s="216"/>
      <c r="DE62" s="216"/>
      <c r="DF62" s="216"/>
      <c r="DG62" s="216"/>
      <c r="DH62" s="216"/>
      <c r="DI62" s="216"/>
      <c r="DJ62" s="216"/>
      <c r="DK62" s="216"/>
      <c r="DL62" s="216"/>
      <c r="DM62" s="216"/>
      <c r="DN62" s="216"/>
      <c r="DO62" s="216"/>
      <c r="DP62" s="216"/>
      <c r="DQ62" s="216"/>
      <c r="DR62" s="216"/>
      <c r="DS62" s="215"/>
      <c r="DT62" s="215"/>
      <c r="DU62" s="215"/>
      <c r="DV62" s="68"/>
      <c r="DW62" s="69">
        <f>SUM(DW48:DW61)</f>
        <v>43480827</v>
      </c>
      <c r="DX62" s="69">
        <f>SUM(DX48:DX61)</f>
        <v>102863427</v>
      </c>
      <c r="DY62" s="165"/>
      <c r="DZ62" s="609"/>
      <c r="EA62" s="609"/>
      <c r="EB62" s="609"/>
    </row>
    <row r="63" spans="1:132" ht="52" hidden="1" x14ac:dyDescent="0.3">
      <c r="A63" s="19">
        <v>43</v>
      </c>
      <c r="B63" s="40" t="s">
        <v>15</v>
      </c>
      <c r="C63" s="40" t="s">
        <v>94</v>
      </c>
      <c r="D63" s="40" t="s">
        <v>27</v>
      </c>
      <c r="E63" s="42" t="s">
        <v>110</v>
      </c>
      <c r="F63" s="40" t="s">
        <v>93</v>
      </c>
      <c r="G63" s="43">
        <v>60</v>
      </c>
      <c r="H63" s="43">
        <v>8</v>
      </c>
      <c r="I63" s="207"/>
      <c r="J63" s="207"/>
      <c r="K63" s="207"/>
      <c r="L63" s="207"/>
      <c r="M63" s="207"/>
      <c r="N63" s="207"/>
      <c r="O63" s="208"/>
      <c r="P63" s="217"/>
      <c r="Q63" s="209"/>
      <c r="R63" s="209"/>
      <c r="S63" s="209"/>
      <c r="T63" s="209"/>
      <c r="U63" s="209"/>
      <c r="V63" s="209"/>
      <c r="W63" s="209"/>
      <c r="X63" s="209"/>
      <c r="Y63" s="209"/>
      <c r="Z63" s="209"/>
      <c r="AA63" s="209"/>
      <c r="AB63" s="209"/>
      <c r="AC63" s="209"/>
      <c r="AD63" s="209"/>
      <c r="AE63" s="176"/>
      <c r="AF63" s="176"/>
      <c r="AH63" s="209"/>
      <c r="AI63" s="209"/>
      <c r="AJ63" s="209"/>
      <c r="AK63" s="209"/>
      <c r="AL63" s="209"/>
      <c r="AM63" s="209"/>
      <c r="AN63" s="209"/>
      <c r="AO63" s="209"/>
      <c r="AP63" s="209"/>
      <c r="AQ63" s="209"/>
      <c r="AR63" s="209"/>
      <c r="AS63" s="209"/>
      <c r="AT63" s="209"/>
      <c r="AU63" s="209"/>
      <c r="AV63" s="209"/>
      <c r="AW63" s="209"/>
      <c r="AX63" s="209"/>
      <c r="AY63" s="209"/>
      <c r="AZ63" s="209"/>
      <c r="BA63" s="209"/>
      <c r="BB63" s="209"/>
      <c r="BC63" s="209"/>
      <c r="BD63" s="209"/>
      <c r="BE63" s="209"/>
      <c r="BF63" s="209"/>
      <c r="BG63" s="209"/>
      <c r="BH63" s="209"/>
      <c r="BI63" s="209"/>
      <c r="BJ63" s="209"/>
      <c r="BK63" s="210"/>
      <c r="BL63" s="209"/>
      <c r="BM63" s="210"/>
      <c r="BN63" s="209"/>
      <c r="BO63" s="209"/>
      <c r="BP63" s="209"/>
      <c r="BQ63" s="209"/>
      <c r="BR63" s="209"/>
      <c r="BS63" s="209"/>
      <c r="BT63" s="209"/>
      <c r="BU63" s="209"/>
      <c r="BV63" s="209"/>
      <c r="BW63" s="209"/>
      <c r="BX63" s="209"/>
      <c r="BY63" s="209"/>
      <c r="BZ63" s="209"/>
      <c r="CA63" s="209"/>
      <c r="CB63" s="209"/>
      <c r="CC63" s="209"/>
      <c r="CD63" s="209"/>
      <c r="CE63" s="209"/>
      <c r="CF63" s="209"/>
      <c r="CG63" s="209"/>
      <c r="CH63" s="209"/>
      <c r="CI63" s="209"/>
      <c r="CJ63" s="209"/>
      <c r="CK63" s="209"/>
      <c r="CL63" s="209"/>
      <c r="CM63" s="209"/>
      <c r="CN63" s="209"/>
      <c r="CO63" s="239">
        <v>260000</v>
      </c>
      <c r="CP63" s="209">
        <f>CO63*G63</f>
        <v>15600000</v>
      </c>
      <c r="CQ63" s="218">
        <v>250000</v>
      </c>
      <c r="CR63" s="209"/>
      <c r="CS63" s="33">
        <v>350000</v>
      </c>
      <c r="CT63" s="46">
        <f>CS63*G63*H63</f>
        <v>168000000</v>
      </c>
      <c r="CU63" s="218">
        <v>250000</v>
      </c>
      <c r="CV63" s="46">
        <f>CU63*G63*H63</f>
        <v>120000000</v>
      </c>
      <c r="CW63" s="248"/>
      <c r="CX63" s="46"/>
      <c r="CY63" s="248"/>
      <c r="CZ63" s="46"/>
      <c r="DA63" s="46"/>
      <c r="DB63" s="46"/>
      <c r="DC63" s="248"/>
      <c r="DD63" s="46"/>
      <c r="DE63" s="46"/>
      <c r="DF63" s="46"/>
      <c r="DG63" s="46"/>
      <c r="DH63" s="46"/>
      <c r="DI63" s="46"/>
      <c r="DJ63" s="46"/>
      <c r="DK63" s="46"/>
      <c r="DL63" s="46"/>
      <c r="DM63" s="46"/>
      <c r="DN63" s="46"/>
      <c r="DO63" s="46"/>
      <c r="DP63" s="46"/>
      <c r="DQ63" s="46"/>
      <c r="DR63" s="46"/>
      <c r="DS63" s="65">
        <f>+MEDIAN(CO63,CQ63,CS63,CU63)</f>
        <v>255000</v>
      </c>
      <c r="DT63" s="65">
        <f>+AVERAGE(CO63,CQ63,CS63,CU63)</f>
        <v>277500</v>
      </c>
      <c r="DU63" s="65">
        <f>+STDEV(CO63,CQ63,CS63,CU63)</f>
        <v>48562.674281111555</v>
      </c>
      <c r="DV63" s="64">
        <f t="shared" si="1"/>
        <v>0.17500062804004163</v>
      </c>
      <c r="DW63" s="375">
        <f t="shared" si="2"/>
        <v>255000</v>
      </c>
      <c r="DX63" s="65">
        <f t="shared" ref="DX63:DX69" si="5">+ROUND(DW63*G63*H63,0)</f>
        <v>122400000</v>
      </c>
      <c r="DY63" s="42" t="s">
        <v>322</v>
      </c>
    </row>
    <row r="64" spans="1:132" ht="78" hidden="1" x14ac:dyDescent="0.3">
      <c r="A64" s="19">
        <v>44</v>
      </c>
      <c r="B64" s="9" t="s">
        <v>15</v>
      </c>
      <c r="C64" s="9" t="s">
        <v>94</v>
      </c>
      <c r="D64" s="9" t="s">
        <v>118</v>
      </c>
      <c r="E64" s="10" t="s">
        <v>119</v>
      </c>
      <c r="F64" s="9" t="s">
        <v>120</v>
      </c>
      <c r="G64" s="11">
        <v>60</v>
      </c>
      <c r="H64" s="11">
        <v>8</v>
      </c>
      <c r="I64" s="191"/>
      <c r="J64" s="191"/>
      <c r="K64" s="191"/>
      <c r="L64" s="191"/>
      <c r="M64" s="191"/>
      <c r="N64" s="191"/>
      <c r="O64" s="211"/>
      <c r="P64" s="21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c r="BI64" s="32"/>
      <c r="BJ64" s="32"/>
      <c r="BK64" s="192"/>
      <c r="BL64" s="32"/>
      <c r="BM64" s="192"/>
      <c r="BN64" s="32"/>
      <c r="BO64" s="32"/>
      <c r="BP64" s="32"/>
      <c r="BQ64" s="32"/>
      <c r="BR64" s="32"/>
      <c r="BS64" s="32"/>
      <c r="BT64" s="32"/>
      <c r="BU64" s="32"/>
      <c r="BV64" s="32"/>
      <c r="BW64" s="32"/>
      <c r="BX64" s="32"/>
      <c r="BY64" s="32"/>
      <c r="BZ64" s="32"/>
      <c r="CA64" s="32"/>
      <c r="CB64" s="32"/>
      <c r="CC64" s="32"/>
      <c r="CD64" s="32"/>
      <c r="CE64" s="32"/>
      <c r="CF64" s="32"/>
      <c r="CG64" s="32"/>
      <c r="CH64" s="32"/>
      <c r="CI64" s="32"/>
      <c r="CJ64" s="32"/>
      <c r="CK64" s="32"/>
      <c r="CL64" s="32"/>
      <c r="CM64" s="32"/>
      <c r="CN64" s="32"/>
      <c r="CO64" s="32">
        <v>200000</v>
      </c>
      <c r="CP64" s="32">
        <f>CO64*G64*H64</f>
        <v>96000000</v>
      </c>
      <c r="CQ64" s="225">
        <v>190000</v>
      </c>
      <c r="CR64" s="32">
        <f>CQ64*G64*H64</f>
        <v>91200000</v>
      </c>
      <c r="CS64" s="224">
        <v>150000</v>
      </c>
      <c r="CT64" s="32">
        <f>CS64*G64*H64</f>
        <v>72000000</v>
      </c>
      <c r="CU64" s="225">
        <v>190000</v>
      </c>
      <c r="CV64" s="32">
        <f>CU64*G64*H64</f>
        <v>91200000</v>
      </c>
      <c r="CW64" s="245"/>
      <c r="CX64" s="32"/>
      <c r="CY64" s="245"/>
      <c r="CZ64" s="32"/>
      <c r="DA64" s="32"/>
      <c r="DB64" s="32"/>
      <c r="DC64" s="245"/>
      <c r="DD64" s="32"/>
      <c r="DE64" s="32"/>
      <c r="DF64" s="32"/>
      <c r="DG64" s="32"/>
      <c r="DH64" s="32"/>
      <c r="DI64" s="32"/>
      <c r="DJ64" s="32"/>
      <c r="DK64" s="32"/>
      <c r="DL64" s="32"/>
      <c r="DM64" s="32"/>
      <c r="DN64" s="32"/>
      <c r="DO64" s="32"/>
      <c r="DP64" s="32"/>
      <c r="DQ64" s="32"/>
      <c r="DR64" s="32"/>
      <c r="DS64" s="13">
        <f>+MEDIAN(CO64,CQ64,CS64,CU64)</f>
        <v>190000</v>
      </c>
      <c r="DT64" s="13">
        <f>+AVERAGE(CO64,CQ64,CS64,CU64)</f>
        <v>182500</v>
      </c>
      <c r="DU64" s="13">
        <f>+STDEV(CO64,CQ64,CS64,CU64)</f>
        <v>22173.557826083452</v>
      </c>
      <c r="DV64" s="17">
        <f t="shared" si="1"/>
        <v>0.12149894699223809</v>
      </c>
      <c r="DW64" s="373">
        <f t="shared" si="2"/>
        <v>182500</v>
      </c>
      <c r="DX64" s="13">
        <f t="shared" si="5"/>
        <v>87600000</v>
      </c>
      <c r="DY64" s="10" t="s">
        <v>448</v>
      </c>
    </row>
    <row r="65" spans="1:132" ht="65" hidden="1" x14ac:dyDescent="0.3">
      <c r="A65" s="19">
        <v>45</v>
      </c>
      <c r="B65" s="9" t="s">
        <v>15</v>
      </c>
      <c r="C65" s="648" t="s">
        <v>94</v>
      </c>
      <c r="D65" s="9" t="s">
        <v>66</v>
      </c>
      <c r="E65" s="10" t="s">
        <v>1347</v>
      </c>
      <c r="F65" s="9" t="s">
        <v>19</v>
      </c>
      <c r="G65" s="11">
        <v>1080</v>
      </c>
      <c r="H65" s="11">
        <v>1</v>
      </c>
      <c r="I65" s="649"/>
      <c r="J65" s="649"/>
      <c r="K65" s="649"/>
      <c r="L65" s="649"/>
      <c r="M65" s="649"/>
      <c r="N65" s="649"/>
      <c r="O65" s="650"/>
      <c r="P65" s="651"/>
      <c r="Q65" s="205"/>
      <c r="R65" s="205"/>
      <c r="S65" s="205"/>
      <c r="T65" s="205"/>
      <c r="U65" s="205"/>
      <c r="V65" s="205"/>
      <c r="W65" s="205"/>
      <c r="X65" s="205"/>
      <c r="Y65" s="205"/>
      <c r="Z65" s="205"/>
      <c r="AA65" s="205"/>
      <c r="AB65" s="205"/>
      <c r="AC65" s="205"/>
      <c r="AD65" s="205"/>
      <c r="AE65" s="205"/>
      <c r="AF65" s="205"/>
      <c r="AG65" s="206"/>
      <c r="AH65" s="205"/>
      <c r="AI65" s="205"/>
      <c r="AJ65" s="205"/>
      <c r="AK65" s="205"/>
      <c r="AL65" s="205"/>
      <c r="AM65" s="205"/>
      <c r="AN65" s="205"/>
      <c r="AO65" s="205"/>
      <c r="AP65" s="205"/>
      <c r="AQ65" s="205"/>
      <c r="AR65" s="205"/>
      <c r="AS65" s="205"/>
      <c r="AT65" s="205"/>
      <c r="AU65" s="205"/>
      <c r="AV65" s="205"/>
      <c r="AW65" s="205"/>
      <c r="AX65" s="205"/>
      <c r="AY65" s="205"/>
      <c r="AZ65" s="205"/>
      <c r="BA65" s="205"/>
      <c r="BB65" s="205"/>
      <c r="BC65" s="205"/>
      <c r="BD65" s="205"/>
      <c r="BE65" s="205"/>
      <c r="BF65" s="205"/>
      <c r="BG65" s="205"/>
      <c r="BH65" s="205"/>
      <c r="BI65" s="205"/>
      <c r="BJ65" s="205"/>
      <c r="BK65" s="206"/>
      <c r="BL65" s="205"/>
      <c r="BM65" s="206"/>
      <c r="BN65" s="205"/>
      <c r="BO65" s="205"/>
      <c r="BP65" s="205"/>
      <c r="BQ65" s="205"/>
      <c r="BR65" s="205"/>
      <c r="BS65" s="205"/>
      <c r="BT65" s="205"/>
      <c r="BU65" s="205"/>
      <c r="BV65" s="205"/>
      <c r="BW65" s="205"/>
      <c r="BX65" s="205"/>
      <c r="BY65" s="205"/>
      <c r="BZ65" s="205"/>
      <c r="CA65" s="205"/>
      <c r="CB65" s="205"/>
      <c r="CC65" s="205"/>
      <c r="CD65" s="205"/>
      <c r="CE65" s="205"/>
      <c r="CF65" s="205"/>
      <c r="CG65" s="205"/>
      <c r="CH65" s="205"/>
      <c r="CI65" s="205"/>
      <c r="CJ65" s="205"/>
      <c r="CK65" s="205"/>
      <c r="CL65" s="205"/>
      <c r="CM65" s="205"/>
      <c r="CN65" s="205"/>
      <c r="CO65" s="654">
        <v>350000</v>
      </c>
      <c r="CP65" s="205">
        <f>CO65*G65</f>
        <v>378000000</v>
      </c>
      <c r="CQ65" s="653">
        <v>350000</v>
      </c>
      <c r="CR65" s="205">
        <f>CQ65*G65</f>
        <v>378000000</v>
      </c>
      <c r="CS65" s="654"/>
      <c r="CT65" s="205"/>
      <c r="CU65" s="653">
        <v>350000</v>
      </c>
      <c r="CV65" s="205">
        <f>CU65*G65</f>
        <v>378000000</v>
      </c>
      <c r="CW65" s="658"/>
      <c r="CX65" s="205"/>
      <c r="CY65" s="658"/>
      <c r="CZ65" s="205"/>
      <c r="DA65" s="205"/>
      <c r="DB65" s="205"/>
      <c r="DC65" s="658"/>
      <c r="DD65" s="205"/>
      <c r="DE65" s="205"/>
      <c r="DF65" s="205"/>
      <c r="DG65" s="205"/>
      <c r="DH65" s="205"/>
      <c r="DI65" s="205"/>
      <c r="DJ65" s="205"/>
      <c r="DK65" s="205"/>
      <c r="DL65" s="205"/>
      <c r="DM65" s="205"/>
      <c r="DN65" s="205"/>
      <c r="DO65" s="205"/>
      <c r="DP65" s="205"/>
      <c r="DQ65" s="205"/>
      <c r="DR65" s="205"/>
      <c r="DS65" s="656">
        <f>+MEDIAN(CO65,CQ65,CU65)</f>
        <v>350000</v>
      </c>
      <c r="DT65" s="656">
        <f>+AVERAGE(CO65,CQ65,CU65)</f>
        <v>350000</v>
      </c>
      <c r="DU65" s="656">
        <f>+STDEV(CO65,CQ65,CU65)</f>
        <v>0</v>
      </c>
      <c r="DV65" s="657">
        <f t="shared" si="1"/>
        <v>0</v>
      </c>
      <c r="DW65" s="662">
        <f t="shared" si="2"/>
        <v>350000</v>
      </c>
      <c r="DX65" s="13">
        <f t="shared" si="5"/>
        <v>378000000</v>
      </c>
      <c r="DY65" s="10" t="s">
        <v>448</v>
      </c>
    </row>
    <row r="66" spans="1:132" ht="52" hidden="1" x14ac:dyDescent="0.3">
      <c r="A66" s="19">
        <v>46</v>
      </c>
      <c r="B66" s="9" t="s">
        <v>15</v>
      </c>
      <c r="C66" s="9" t="s">
        <v>94</v>
      </c>
      <c r="D66" s="9" t="s">
        <v>411</v>
      </c>
      <c r="E66" s="29" t="s">
        <v>253</v>
      </c>
      <c r="F66" s="9" t="s">
        <v>19</v>
      </c>
      <c r="G66" s="11">
        <v>1080</v>
      </c>
      <c r="H66" s="11">
        <v>1</v>
      </c>
      <c r="I66" s="191"/>
      <c r="J66" s="191"/>
      <c r="K66" s="191"/>
      <c r="L66" s="191"/>
      <c r="M66" s="191"/>
      <c r="N66" s="191"/>
      <c r="O66" s="211"/>
      <c r="P66" s="212"/>
      <c r="Q66" s="32"/>
      <c r="R66" s="32"/>
      <c r="S66" s="32"/>
      <c r="T66" s="32"/>
      <c r="U66" s="32"/>
      <c r="V66" s="32"/>
      <c r="W66" s="32"/>
      <c r="X66" s="32"/>
      <c r="Y66" s="32"/>
      <c r="Z66" s="32"/>
      <c r="AA66" s="32"/>
      <c r="AB66" s="32"/>
      <c r="AC66" s="32"/>
      <c r="AD66" s="32"/>
      <c r="AE66" s="32"/>
      <c r="AF66" s="32"/>
      <c r="AG66" s="192"/>
      <c r="AH66" s="32"/>
      <c r="AI66" s="32"/>
      <c r="AJ66" s="32"/>
      <c r="AK66" s="32">
        <v>2400</v>
      </c>
      <c r="AL66" s="32">
        <f>AK66*G66</f>
        <v>2592000</v>
      </c>
      <c r="AM66" s="32">
        <f>2000+(2000*5.2%)</f>
        <v>2104</v>
      </c>
      <c r="AN66" s="32">
        <f>AM66*G66</f>
        <v>2272320</v>
      </c>
      <c r="AO66" s="32"/>
      <c r="AP66" s="32"/>
      <c r="AQ66" s="32"/>
      <c r="AR66" s="32"/>
      <c r="AS66" s="32"/>
      <c r="AT66" s="32"/>
      <c r="AU66" s="32"/>
      <c r="AV66" s="32"/>
      <c r="AW66" s="32"/>
      <c r="AX66" s="32"/>
      <c r="AY66" s="32"/>
      <c r="AZ66" s="32"/>
      <c r="BA66" s="32"/>
      <c r="BB66" s="32"/>
      <c r="BC66" s="32"/>
      <c r="BD66" s="32"/>
      <c r="BE66" s="32"/>
      <c r="BF66" s="32"/>
      <c r="BG66" s="32"/>
      <c r="BH66" s="32"/>
      <c r="BI66" s="32"/>
      <c r="BJ66" s="32"/>
      <c r="BK66" s="192"/>
      <c r="BL66" s="32"/>
      <c r="BM66" s="192"/>
      <c r="BN66" s="32"/>
      <c r="BO66" s="32"/>
      <c r="BP66" s="32"/>
      <c r="BQ66" s="32"/>
      <c r="BR66" s="32"/>
      <c r="BS66" s="32"/>
      <c r="BT66" s="32"/>
      <c r="BU66" s="32"/>
      <c r="BV66" s="32"/>
      <c r="BW66" s="32"/>
      <c r="BX66" s="32"/>
      <c r="BY66" s="32"/>
      <c r="BZ66" s="32"/>
      <c r="CA66" s="32"/>
      <c r="CB66" s="32"/>
      <c r="CC66" s="32"/>
      <c r="CD66" s="32"/>
      <c r="CE66" s="32"/>
      <c r="CF66" s="32"/>
      <c r="CG66" s="32"/>
      <c r="CH66" s="32"/>
      <c r="CI66" s="32"/>
      <c r="CJ66" s="32"/>
      <c r="CK66" s="32"/>
      <c r="CL66" s="32"/>
      <c r="CM66" s="32"/>
      <c r="CN66" s="32"/>
      <c r="CO66" s="32"/>
      <c r="CP66" s="32"/>
      <c r="CQ66" s="32"/>
      <c r="CR66" s="32"/>
      <c r="CS66" s="32"/>
      <c r="CT66" s="32"/>
      <c r="CU66" s="32"/>
      <c r="CV66" s="32"/>
      <c r="CW66" s="32"/>
      <c r="CX66" s="32"/>
      <c r="CY66" s="32"/>
      <c r="CZ66" s="32"/>
      <c r="DA66" s="32"/>
      <c r="DB66" s="32"/>
      <c r="DC66" s="32"/>
      <c r="DD66" s="32"/>
      <c r="DE66" s="32"/>
      <c r="DF66" s="32"/>
      <c r="DG66" s="32"/>
      <c r="DH66" s="32"/>
      <c r="DI66" s="32"/>
      <c r="DJ66" s="32"/>
      <c r="DK66" s="32"/>
      <c r="DL66" s="32"/>
      <c r="DM66" s="32"/>
      <c r="DN66" s="32"/>
      <c r="DO66" s="32"/>
      <c r="DP66" s="32"/>
      <c r="DQ66" s="32"/>
      <c r="DR66" s="32"/>
      <c r="DS66" s="13">
        <f>+MEDIAN(AK66,AM66)</f>
        <v>2252</v>
      </c>
      <c r="DT66" s="13">
        <f>+AVERAGE(AK66,AM66)</f>
        <v>2252</v>
      </c>
      <c r="DU66" s="13">
        <f>+STDEV(AK66,AM66)</f>
        <v>209.30360723121808</v>
      </c>
      <c r="DV66" s="17">
        <f t="shared" si="1"/>
        <v>9.2941211026295767E-2</v>
      </c>
      <c r="DW66" s="373">
        <f t="shared" si="2"/>
        <v>2252</v>
      </c>
      <c r="DX66" s="13">
        <f t="shared" si="5"/>
        <v>2432160</v>
      </c>
      <c r="DY66" s="10" t="s">
        <v>308</v>
      </c>
    </row>
    <row r="67" spans="1:132" ht="39" hidden="1" x14ac:dyDescent="0.3">
      <c r="A67" s="19">
        <v>47</v>
      </c>
      <c r="B67" s="9" t="s">
        <v>15</v>
      </c>
      <c r="C67" s="9" t="s">
        <v>94</v>
      </c>
      <c r="D67" s="9" t="s">
        <v>413</v>
      </c>
      <c r="E67" s="29" t="s">
        <v>254</v>
      </c>
      <c r="F67" s="26" t="s">
        <v>255</v>
      </c>
      <c r="G67" s="11">
        <v>90</v>
      </c>
      <c r="H67" s="11">
        <v>8</v>
      </c>
      <c r="I67" s="191"/>
      <c r="J67" s="191"/>
      <c r="K67" s="191"/>
      <c r="L67" s="191"/>
      <c r="M67" s="191"/>
      <c r="N67" s="191"/>
      <c r="O67" s="211"/>
      <c r="P67" s="212"/>
      <c r="Q67" s="32"/>
      <c r="R67" s="32"/>
      <c r="S67" s="32"/>
      <c r="T67" s="32"/>
      <c r="U67" s="32"/>
      <c r="V67" s="32"/>
      <c r="W67" s="32"/>
      <c r="X67" s="32"/>
      <c r="Y67" s="32"/>
      <c r="Z67" s="32"/>
      <c r="AA67" s="32"/>
      <c r="AB67" s="32"/>
      <c r="AC67" s="32"/>
      <c r="AD67" s="32"/>
      <c r="AE67" s="32"/>
      <c r="AF67" s="32"/>
      <c r="AG67" s="192"/>
      <c r="AH67" s="32"/>
      <c r="AI67" s="32"/>
      <c r="AJ67" s="32"/>
      <c r="AK67" s="32">
        <v>22000</v>
      </c>
      <c r="AL67" s="32">
        <f>AK67*G67</f>
        <v>1980000</v>
      </c>
      <c r="AN67" s="32"/>
      <c r="AO67" s="32">
        <f>28800+(28800*5.2%)</f>
        <v>30297.599999999999</v>
      </c>
      <c r="AP67" s="32">
        <f>AO67*G67</f>
        <v>2726784</v>
      </c>
      <c r="AQ67" s="32"/>
      <c r="AR67" s="32"/>
      <c r="AS67" s="32">
        <v>36000</v>
      </c>
      <c r="AT67" s="32">
        <f>AS67*G67</f>
        <v>3240000</v>
      </c>
      <c r="AU67" s="32"/>
      <c r="AV67" s="32"/>
      <c r="AW67" s="32"/>
      <c r="AX67" s="32"/>
      <c r="AY67" s="32"/>
      <c r="AZ67" s="32"/>
      <c r="BA67" s="32"/>
      <c r="BB67" s="32"/>
      <c r="BC67" s="32"/>
      <c r="BD67" s="32"/>
      <c r="BE67" s="32"/>
      <c r="BF67" s="32"/>
      <c r="BG67" s="32"/>
      <c r="BH67" s="32"/>
      <c r="BI67" s="32"/>
      <c r="BJ67" s="32"/>
      <c r="BK67" s="192"/>
      <c r="BL67" s="32"/>
      <c r="BM67" s="192"/>
      <c r="BN67" s="32"/>
      <c r="BO67" s="32"/>
      <c r="BP67" s="32"/>
      <c r="BQ67" s="32"/>
      <c r="BR67" s="32"/>
      <c r="BS67" s="32"/>
      <c r="BT67" s="32"/>
      <c r="BU67" s="32"/>
      <c r="BV67" s="32"/>
      <c r="BW67" s="32"/>
      <c r="BX67" s="32"/>
      <c r="BY67" s="32"/>
      <c r="BZ67" s="32"/>
      <c r="CA67" s="32"/>
      <c r="CB67" s="32"/>
      <c r="CC67" s="32"/>
      <c r="CD67" s="32"/>
      <c r="CE67" s="32"/>
      <c r="CF67" s="32"/>
      <c r="CG67" s="32"/>
      <c r="CH67" s="32"/>
      <c r="CI67" s="32"/>
      <c r="CJ67" s="32"/>
      <c r="CK67" s="32"/>
      <c r="CL67" s="32"/>
      <c r="CM67" s="32"/>
      <c r="CN67" s="32"/>
      <c r="CO67" s="32"/>
      <c r="CP67" s="32"/>
      <c r="CQ67" s="32"/>
      <c r="CR67" s="32"/>
      <c r="CS67" s="32"/>
      <c r="CT67" s="32"/>
      <c r="CU67" s="32"/>
      <c r="CV67" s="32"/>
      <c r="CW67" s="32"/>
      <c r="CX67" s="32"/>
      <c r="CY67" s="32"/>
      <c r="CZ67" s="32"/>
      <c r="DA67" s="32"/>
      <c r="DB67" s="32"/>
      <c r="DC67" s="32"/>
      <c r="DD67" s="32"/>
      <c r="DE67" s="32"/>
      <c r="DF67" s="32"/>
      <c r="DG67" s="32"/>
      <c r="DH67" s="32"/>
      <c r="DI67" s="32"/>
      <c r="DJ67" s="32"/>
      <c r="DK67" s="32"/>
      <c r="DL67" s="32"/>
      <c r="DM67" s="32"/>
      <c r="DN67" s="32"/>
      <c r="DO67" s="32"/>
      <c r="DP67" s="32"/>
      <c r="DQ67" s="32"/>
      <c r="DR67" s="32"/>
      <c r="DS67" s="13">
        <f>+MEDIAN(AK67,AO67,AS67)</f>
        <v>30297.599999999999</v>
      </c>
      <c r="DT67" s="13">
        <f>+AVERAGE(AK67,AO67,AS67)</f>
        <v>29432.533333333336</v>
      </c>
      <c r="DU67" s="13">
        <f>+STDEV(AK67,AO67,AS67)</f>
        <v>7039.9755151089194</v>
      </c>
      <c r="DV67" s="17">
        <f t="shared" si="1"/>
        <v>0.23919026729295875</v>
      </c>
      <c r="DW67" s="373">
        <f t="shared" si="2"/>
        <v>30298</v>
      </c>
      <c r="DX67" s="13">
        <f t="shared" si="5"/>
        <v>21814560</v>
      </c>
      <c r="DY67" s="10" t="s">
        <v>309</v>
      </c>
    </row>
    <row r="68" spans="1:132" ht="52" hidden="1" x14ac:dyDescent="0.3">
      <c r="A68" s="19">
        <v>48</v>
      </c>
      <c r="B68" s="9" t="s">
        <v>15</v>
      </c>
      <c r="C68" s="9" t="s">
        <v>94</v>
      </c>
      <c r="D68" s="9" t="s">
        <v>502</v>
      </c>
      <c r="E68" s="10" t="s">
        <v>95</v>
      </c>
      <c r="F68" s="9" t="s">
        <v>19</v>
      </c>
      <c r="G68" s="11">
        <v>2160</v>
      </c>
      <c r="H68" s="11">
        <v>1</v>
      </c>
      <c r="I68" s="191"/>
      <c r="J68" s="191"/>
      <c r="K68" s="191"/>
      <c r="L68" s="191"/>
      <c r="M68" s="191"/>
      <c r="N68" s="191"/>
      <c r="O68" s="211"/>
      <c r="P68" s="212"/>
      <c r="Q68" s="32"/>
      <c r="R68" s="32"/>
      <c r="S68" s="32"/>
      <c r="T68" s="32"/>
      <c r="U68" s="32"/>
      <c r="V68" s="32"/>
      <c r="W68" s="32"/>
      <c r="X68" s="32"/>
      <c r="Y68" s="32"/>
      <c r="Z68" s="32"/>
      <c r="AA68" s="32"/>
      <c r="AB68" s="32"/>
      <c r="AC68" s="32"/>
      <c r="AD68" s="32"/>
      <c r="AE68" s="32"/>
      <c r="AF68" s="32"/>
      <c r="AG68" s="19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c r="BI68" s="32"/>
      <c r="BJ68" s="32"/>
      <c r="BK68" s="192"/>
      <c r="BL68" s="32"/>
      <c r="BM68" s="192"/>
      <c r="BN68" s="32"/>
      <c r="BO68" s="32"/>
      <c r="BP68" s="32"/>
      <c r="BQ68" s="32"/>
      <c r="BR68" s="32"/>
      <c r="BS68" s="32"/>
      <c r="BT68" s="32"/>
      <c r="BU68" s="32"/>
      <c r="BV68" s="32"/>
      <c r="BW68" s="32"/>
      <c r="BX68" s="32"/>
      <c r="BY68" s="32"/>
      <c r="BZ68" s="32"/>
      <c r="CA68" s="32"/>
      <c r="CB68" s="32"/>
      <c r="CC68" s="32"/>
      <c r="CD68" s="32"/>
      <c r="CE68" s="32"/>
      <c r="CF68" s="32"/>
      <c r="CG68" s="32"/>
      <c r="CH68" s="32"/>
      <c r="CI68" s="32"/>
      <c r="CJ68" s="32"/>
      <c r="CK68" s="32"/>
      <c r="CL68" s="32"/>
      <c r="CM68" s="32"/>
      <c r="CN68" s="32"/>
      <c r="CO68" s="233">
        <v>6000</v>
      </c>
      <c r="CP68" s="32">
        <f>CO68*G68</f>
        <v>12960000</v>
      </c>
      <c r="CQ68" s="225"/>
      <c r="CR68" s="32"/>
      <c r="CS68" s="28">
        <v>5000</v>
      </c>
      <c r="CT68" s="25">
        <f>CS68*G68</f>
        <v>10800000</v>
      </c>
      <c r="CU68" s="225"/>
      <c r="CV68" s="25"/>
      <c r="CW68" s="245"/>
      <c r="CX68" s="25"/>
      <c r="CY68" s="245"/>
      <c r="CZ68" s="25"/>
      <c r="DA68" s="25"/>
      <c r="DB68" s="25"/>
      <c r="DC68" s="245"/>
      <c r="DD68" s="25"/>
      <c r="DE68" s="25"/>
      <c r="DF68" s="25"/>
      <c r="DG68" s="25"/>
      <c r="DH68" s="25"/>
      <c r="DI68" s="25"/>
      <c r="DJ68" s="25"/>
      <c r="DK68" s="25"/>
      <c r="DL68" s="25"/>
      <c r="DM68" s="25"/>
      <c r="DN68" s="25"/>
      <c r="DO68" s="25"/>
      <c r="DP68" s="25"/>
      <c r="DQ68" s="25"/>
      <c r="DR68" s="25"/>
      <c r="DS68" s="13">
        <f>+MEDIAN(CO68,CS68)</f>
        <v>5500</v>
      </c>
      <c r="DT68" s="13">
        <f>+AVERAGE(CO68,CS68)</f>
        <v>5500</v>
      </c>
      <c r="DU68" s="13">
        <f>+STDEV(CO68,CS68)</f>
        <v>707.10678118654755</v>
      </c>
      <c r="DV68" s="17">
        <f t="shared" si="1"/>
        <v>0.12856486930664501</v>
      </c>
      <c r="DW68" s="373">
        <f t="shared" si="2"/>
        <v>5500</v>
      </c>
      <c r="DX68" s="13">
        <f t="shared" si="5"/>
        <v>11880000</v>
      </c>
      <c r="DY68" s="10" t="s">
        <v>448</v>
      </c>
    </row>
    <row r="69" spans="1:132" ht="195" hidden="1" x14ac:dyDescent="0.3">
      <c r="A69" s="19">
        <v>49</v>
      </c>
      <c r="B69" s="14" t="s">
        <v>15</v>
      </c>
      <c r="C69" s="14" t="s">
        <v>94</v>
      </c>
      <c r="D69" s="14" t="s">
        <v>83</v>
      </c>
      <c r="E69" s="39" t="s">
        <v>243</v>
      </c>
      <c r="F69" s="14" t="s">
        <v>19</v>
      </c>
      <c r="G69" s="15">
        <v>1080</v>
      </c>
      <c r="H69" s="15">
        <v>1</v>
      </c>
      <c r="I69" s="194"/>
      <c r="J69" s="194"/>
      <c r="K69" s="194"/>
      <c r="L69" s="194"/>
      <c r="M69" s="194"/>
      <c r="N69" s="194"/>
      <c r="O69" s="213"/>
      <c r="P69" s="242"/>
      <c r="Q69" s="197"/>
      <c r="R69" s="197"/>
      <c r="S69" s="197"/>
      <c r="T69" s="197"/>
      <c r="U69" s="197"/>
      <c r="V69" s="197"/>
      <c r="W69" s="197"/>
      <c r="X69" s="197"/>
      <c r="Y69" s="197"/>
      <c r="Z69" s="197"/>
      <c r="AA69" s="197"/>
      <c r="AB69" s="197"/>
      <c r="AC69" s="197"/>
      <c r="AD69" s="197"/>
      <c r="AE69" s="197"/>
      <c r="AF69" s="197"/>
      <c r="AG69" s="195"/>
      <c r="AH69" s="197"/>
      <c r="AI69" s="197"/>
      <c r="AJ69" s="197"/>
      <c r="AK69" s="197">
        <v>27000</v>
      </c>
      <c r="AL69" s="197">
        <f>AK69*G69</f>
        <v>29160000</v>
      </c>
      <c r="AM69" s="197">
        <f>18000+(18000*5.2%)</f>
        <v>18936</v>
      </c>
      <c r="AN69" s="197">
        <f>AM69*G69</f>
        <v>20450880</v>
      </c>
      <c r="AO69" s="197">
        <f>13400+(13400*5.2%)</f>
        <v>14096.8</v>
      </c>
      <c r="AP69" s="197">
        <f>AO69*G69</f>
        <v>15224544</v>
      </c>
      <c r="AQ69" s="197">
        <f>16900+(16900*5.2%)</f>
        <v>17778.8</v>
      </c>
      <c r="AR69" s="197">
        <f>AQ69*G69</f>
        <v>19201104</v>
      </c>
      <c r="AS69" s="197"/>
      <c r="AT69" s="197"/>
      <c r="AU69" s="197"/>
      <c r="AV69" s="197"/>
      <c r="AW69" s="197"/>
      <c r="AX69" s="197"/>
      <c r="AY69" s="197"/>
      <c r="AZ69" s="197"/>
      <c r="BA69" s="197"/>
      <c r="BB69" s="197"/>
      <c r="BC69" s="197"/>
      <c r="BD69" s="197"/>
      <c r="BE69" s="197"/>
      <c r="BF69" s="197"/>
      <c r="BG69" s="197"/>
      <c r="BH69" s="197"/>
      <c r="BI69" s="197"/>
      <c r="BJ69" s="197"/>
      <c r="BK69" s="195"/>
      <c r="BL69" s="197"/>
      <c r="BM69" s="195"/>
      <c r="BN69" s="197"/>
      <c r="BO69" s="197"/>
      <c r="BP69" s="197"/>
      <c r="BQ69" s="197"/>
      <c r="BR69" s="197"/>
      <c r="BS69" s="197"/>
      <c r="BT69" s="197"/>
      <c r="BU69" s="197"/>
      <c r="BV69" s="197"/>
      <c r="BW69" s="197"/>
      <c r="BX69" s="197"/>
      <c r="BY69" s="197"/>
      <c r="BZ69" s="197"/>
      <c r="CA69" s="197"/>
      <c r="CB69" s="197"/>
      <c r="CC69" s="197"/>
      <c r="CD69" s="197"/>
      <c r="CE69" s="197"/>
      <c r="CF69" s="197"/>
      <c r="CG69" s="197"/>
      <c r="CH69" s="197"/>
      <c r="CI69" s="197"/>
      <c r="CJ69" s="197"/>
      <c r="CK69" s="197"/>
      <c r="CL69" s="197"/>
      <c r="CM69" s="197"/>
      <c r="CN69" s="197"/>
      <c r="CO69" s="197"/>
      <c r="CP69" s="197"/>
      <c r="CQ69" s="197"/>
      <c r="CR69" s="197"/>
      <c r="CS69" s="197"/>
      <c r="CT69" s="197"/>
      <c r="CU69" s="197"/>
      <c r="CV69" s="197"/>
      <c r="CW69" s="247"/>
      <c r="CX69" s="197"/>
      <c r="CY69" s="247"/>
      <c r="CZ69" s="197"/>
      <c r="DA69" s="197"/>
      <c r="DB69" s="197"/>
      <c r="DC69" s="247"/>
      <c r="DD69" s="197"/>
      <c r="DE69" s="197"/>
      <c r="DF69" s="197"/>
      <c r="DG69" s="197"/>
      <c r="DH69" s="197"/>
      <c r="DI69" s="197"/>
      <c r="DJ69" s="197"/>
      <c r="DK69" s="197"/>
      <c r="DL69" s="197"/>
      <c r="DM69" s="197"/>
      <c r="DN69" s="197"/>
      <c r="DO69" s="197"/>
      <c r="DP69" s="197"/>
      <c r="DQ69" s="197"/>
      <c r="DR69" s="197"/>
      <c r="DS69" s="73">
        <f>+MEDIAN(AK69,AM69,AO69,AQ69)</f>
        <v>18357.400000000001</v>
      </c>
      <c r="DT69" s="73">
        <f>+AVERAGE(AK69,AM69,AO69,AQ69)</f>
        <v>19452.900000000001</v>
      </c>
      <c r="DU69" s="73">
        <f>+STDEV(AK69,AM69,AO69,AQ69)</f>
        <v>5438.0242135049912</v>
      </c>
      <c r="DV69" s="72">
        <f t="shared" si="1"/>
        <v>0.27954825313989129</v>
      </c>
      <c r="DW69" s="376">
        <f t="shared" si="2"/>
        <v>18358</v>
      </c>
      <c r="DX69" s="73">
        <f t="shared" si="5"/>
        <v>19826640</v>
      </c>
      <c r="DY69" s="39" t="s">
        <v>309</v>
      </c>
    </row>
    <row r="70" spans="1:132" s="63" customFormat="1" ht="21.65" hidden="1" customHeight="1" x14ac:dyDescent="0.3">
      <c r="A70" s="66" t="s">
        <v>359</v>
      </c>
      <c r="B70" s="66"/>
      <c r="C70" s="66"/>
      <c r="D70" s="66"/>
      <c r="E70" s="66"/>
      <c r="F70" s="67"/>
      <c r="G70" s="67"/>
      <c r="H70" s="67"/>
      <c r="I70" s="214"/>
      <c r="J70" s="214"/>
      <c r="K70" s="214"/>
      <c r="L70" s="214"/>
      <c r="M70" s="214"/>
      <c r="N70" s="214"/>
      <c r="O70" s="215"/>
      <c r="P70" s="215"/>
      <c r="Q70" s="215"/>
      <c r="R70" s="215"/>
      <c r="S70" s="215"/>
      <c r="T70" s="215"/>
      <c r="U70" s="215"/>
      <c r="V70" s="215"/>
      <c r="W70" s="215"/>
      <c r="X70" s="215"/>
      <c r="Y70" s="215"/>
      <c r="Z70" s="215"/>
      <c r="AA70" s="215"/>
      <c r="AB70" s="215"/>
      <c r="AC70" s="215"/>
      <c r="AD70" s="215"/>
      <c r="AE70" s="215"/>
      <c r="AF70" s="215"/>
      <c r="AG70" s="215"/>
      <c r="AH70" s="215"/>
      <c r="AI70" s="215"/>
      <c r="AJ70" s="215"/>
      <c r="AK70" s="215"/>
      <c r="AL70" s="215"/>
      <c r="AM70" s="215"/>
      <c r="AN70" s="215"/>
      <c r="AO70" s="215"/>
      <c r="AP70" s="215"/>
      <c r="AQ70" s="215"/>
      <c r="AR70" s="215"/>
      <c r="AS70" s="215"/>
      <c r="AT70" s="215"/>
      <c r="AU70" s="215"/>
      <c r="AV70" s="215"/>
      <c r="AW70" s="215"/>
      <c r="AX70" s="215"/>
      <c r="AY70" s="215"/>
      <c r="AZ70" s="215"/>
      <c r="BA70" s="215"/>
      <c r="BB70" s="215"/>
      <c r="BC70" s="215"/>
      <c r="BD70" s="215"/>
      <c r="BE70" s="215"/>
      <c r="BF70" s="215"/>
      <c r="BG70" s="215"/>
      <c r="BH70" s="215"/>
      <c r="BI70" s="215"/>
      <c r="BJ70" s="215"/>
      <c r="BK70" s="215"/>
      <c r="BL70" s="216"/>
      <c r="BM70" s="215"/>
      <c r="BN70" s="216"/>
      <c r="BO70" s="216"/>
      <c r="BP70" s="216"/>
      <c r="BQ70" s="216"/>
      <c r="BR70" s="216"/>
      <c r="BS70" s="216"/>
      <c r="BT70" s="216"/>
      <c r="BU70" s="216"/>
      <c r="BV70" s="216"/>
      <c r="BW70" s="216"/>
      <c r="BX70" s="216"/>
      <c r="BY70" s="216"/>
      <c r="BZ70" s="216"/>
      <c r="CA70" s="216"/>
      <c r="CB70" s="216"/>
      <c r="CC70" s="216"/>
      <c r="CD70" s="216"/>
      <c r="CE70" s="216"/>
      <c r="CF70" s="216"/>
      <c r="CG70" s="216"/>
      <c r="CH70" s="216"/>
      <c r="CI70" s="216"/>
      <c r="CJ70" s="216"/>
      <c r="CK70" s="216"/>
      <c r="CL70" s="216"/>
      <c r="CM70" s="216"/>
      <c r="CN70" s="216"/>
      <c r="CO70" s="216"/>
      <c r="CP70" s="216"/>
      <c r="CQ70" s="216"/>
      <c r="CR70" s="216"/>
      <c r="CS70" s="216"/>
      <c r="CT70" s="216"/>
      <c r="CU70" s="216"/>
      <c r="CV70" s="216"/>
      <c r="CW70" s="216"/>
      <c r="CX70" s="216"/>
      <c r="CY70" s="216"/>
      <c r="CZ70" s="216"/>
      <c r="DA70" s="216"/>
      <c r="DB70" s="216"/>
      <c r="DC70" s="216"/>
      <c r="DD70" s="216"/>
      <c r="DE70" s="216"/>
      <c r="DF70" s="216"/>
      <c r="DG70" s="216"/>
      <c r="DH70" s="216"/>
      <c r="DI70" s="216"/>
      <c r="DJ70" s="216"/>
      <c r="DK70" s="216"/>
      <c r="DL70" s="216"/>
      <c r="DM70" s="216"/>
      <c r="DN70" s="216"/>
      <c r="DO70" s="216"/>
      <c r="DP70" s="216"/>
      <c r="DQ70" s="216"/>
      <c r="DR70" s="216"/>
      <c r="DS70" s="215"/>
      <c r="DT70" s="215"/>
      <c r="DU70" s="215"/>
      <c r="DV70" s="68"/>
      <c r="DW70" s="69">
        <f>SUM(DW63:DW69)</f>
        <v>843908</v>
      </c>
      <c r="DX70" s="69">
        <f>SUM(DX63:DX69)</f>
        <v>643953360</v>
      </c>
      <c r="DY70" s="165"/>
      <c r="DZ70" s="609"/>
      <c r="EA70" s="609"/>
      <c r="EB70" s="609"/>
    </row>
    <row r="71" spans="1:132" ht="52" hidden="1" x14ac:dyDescent="0.3">
      <c r="A71" s="19">
        <v>50</v>
      </c>
      <c r="B71" s="40" t="s">
        <v>15</v>
      </c>
      <c r="C71" s="381" t="s">
        <v>443</v>
      </c>
      <c r="D71" s="40" t="s">
        <v>96</v>
      </c>
      <c r="E71" s="10" t="s">
        <v>1175</v>
      </c>
      <c r="F71" s="40" t="s">
        <v>14</v>
      </c>
      <c r="G71" s="43">
        <v>2</v>
      </c>
      <c r="H71" s="43">
        <v>3</v>
      </c>
      <c r="I71" s="386">
        <f>1540000+((12/23)*(2063000-1540000))</f>
        <v>1812869.5652173914</v>
      </c>
      <c r="J71" s="386">
        <f>I71*G71*H71</f>
        <v>10877217.391304348</v>
      </c>
      <c r="K71" s="303"/>
      <c r="L71" s="303"/>
      <c r="M71" s="303"/>
      <c r="N71" s="303"/>
      <c r="O71" s="304"/>
      <c r="P71" s="307"/>
      <c r="Q71" s="97"/>
      <c r="R71" s="97"/>
      <c r="S71" s="97"/>
      <c r="T71" s="97"/>
      <c r="U71" s="97"/>
      <c r="V71" s="97"/>
      <c r="W71" s="97"/>
      <c r="X71" s="97"/>
      <c r="Y71" s="97"/>
      <c r="Z71" s="97"/>
      <c r="AA71" s="97"/>
      <c r="AB71" s="97"/>
      <c r="AC71" s="97"/>
      <c r="AD71" s="97"/>
      <c r="AE71" s="97"/>
      <c r="AF71" s="97"/>
      <c r="AG71" s="306"/>
      <c r="AH71" s="97"/>
      <c r="AI71" s="97"/>
      <c r="AJ71" s="97"/>
      <c r="AK71" s="97"/>
      <c r="AL71" s="97"/>
      <c r="AM71" s="97"/>
      <c r="AN71" s="97"/>
      <c r="AO71" s="97"/>
      <c r="AP71" s="97"/>
      <c r="AQ71" s="97"/>
      <c r="AR71" s="97"/>
      <c r="AS71" s="97"/>
      <c r="AT71" s="97"/>
      <c r="AU71" s="97"/>
      <c r="AV71" s="97"/>
      <c r="AW71" s="97"/>
      <c r="AX71" s="97"/>
      <c r="AY71" s="97"/>
      <c r="AZ71" s="97"/>
      <c r="BA71" s="97"/>
      <c r="BB71" s="97"/>
      <c r="BC71" s="97"/>
      <c r="BD71" s="97"/>
      <c r="BE71" s="97"/>
      <c r="BF71" s="97"/>
      <c r="BG71" s="97"/>
      <c r="BH71" s="97"/>
      <c r="BI71" s="97"/>
      <c r="BJ71" s="97"/>
      <c r="BK71" s="306"/>
      <c r="BL71" s="97"/>
      <c r="BM71" s="306"/>
      <c r="BN71" s="97"/>
      <c r="BO71" s="97"/>
      <c r="BP71" s="97"/>
      <c r="BQ71" s="97"/>
      <c r="BR71" s="97"/>
      <c r="BS71" s="97"/>
      <c r="BT71" s="97"/>
      <c r="BU71" s="97"/>
      <c r="BV71" s="97"/>
      <c r="BW71" s="97"/>
      <c r="BX71" s="97"/>
      <c r="BY71" s="97"/>
      <c r="BZ71" s="97"/>
      <c r="CA71" s="97"/>
      <c r="CB71" s="97"/>
      <c r="CC71" s="97"/>
      <c r="CD71" s="97"/>
      <c r="CE71" s="97"/>
      <c r="CF71" s="97"/>
      <c r="CG71" s="97"/>
      <c r="CH71" s="97"/>
      <c r="CI71" s="97"/>
      <c r="CJ71" s="97"/>
      <c r="CK71" s="97"/>
      <c r="CL71" s="97"/>
      <c r="CM71" s="97"/>
      <c r="CN71" s="97"/>
      <c r="CO71" s="97"/>
      <c r="CP71" s="97"/>
      <c r="CQ71" s="97"/>
      <c r="CR71" s="97"/>
      <c r="CS71" s="97"/>
      <c r="CT71" s="97"/>
      <c r="CU71" s="97"/>
      <c r="CV71" s="97"/>
      <c r="CW71" s="97"/>
      <c r="CX71" s="97"/>
      <c r="CY71" s="97"/>
      <c r="CZ71" s="97"/>
      <c r="DA71" s="97"/>
      <c r="DB71" s="97"/>
      <c r="DC71" s="97"/>
      <c r="DD71" s="97"/>
      <c r="DE71" s="97"/>
      <c r="DF71" s="97"/>
      <c r="DG71" s="97"/>
      <c r="DH71" s="97"/>
      <c r="DI71" s="97"/>
      <c r="DJ71" s="97"/>
      <c r="DK71" s="97"/>
      <c r="DL71" s="97"/>
      <c r="DM71" s="97"/>
      <c r="DN71" s="97"/>
      <c r="DO71" s="97"/>
      <c r="DP71" s="97"/>
      <c r="DQ71" s="97"/>
      <c r="DR71" s="97"/>
      <c r="DS71" s="310"/>
      <c r="DT71" s="310"/>
      <c r="DU71" s="310"/>
      <c r="DV71" s="17"/>
      <c r="DW71" s="374">
        <f>I71</f>
        <v>1812869.5652173914</v>
      </c>
      <c r="DX71" s="65">
        <f t="shared" ref="DX71:DX76" si="6">+ROUND(DW71*G71*H71,0)</f>
        <v>10877217</v>
      </c>
      <c r="DY71" s="362" t="s">
        <v>323</v>
      </c>
    </row>
    <row r="72" spans="1:132" ht="52" hidden="1" x14ac:dyDescent="0.3">
      <c r="A72" s="19">
        <v>51</v>
      </c>
      <c r="B72" s="9" t="s">
        <v>15</v>
      </c>
      <c r="C72" s="93" t="s">
        <v>443</v>
      </c>
      <c r="D72" s="9" t="s">
        <v>97</v>
      </c>
      <c r="E72" s="10" t="s">
        <v>1175</v>
      </c>
      <c r="F72" s="9" t="s">
        <v>14</v>
      </c>
      <c r="G72" s="11">
        <v>1</v>
      </c>
      <c r="H72" s="11">
        <v>2</v>
      </c>
      <c r="I72" s="386">
        <f>1540000+((12/23)*(2063000-1540000))</f>
        <v>1812869.5652173914</v>
      </c>
      <c r="J72" s="303">
        <f>I72*G72*H72</f>
        <v>3625739.1304347827</v>
      </c>
      <c r="K72" s="303"/>
      <c r="L72" s="303"/>
      <c r="M72" s="303"/>
      <c r="N72" s="303"/>
      <c r="O72" s="304"/>
      <c r="P72" s="307"/>
      <c r="Q72" s="97"/>
      <c r="R72" s="97"/>
      <c r="S72" s="97"/>
      <c r="T72" s="97"/>
      <c r="U72" s="97"/>
      <c r="V72" s="97"/>
      <c r="W72" s="97"/>
      <c r="X72" s="97"/>
      <c r="Y72" s="97"/>
      <c r="Z72" s="97"/>
      <c r="AA72" s="97"/>
      <c r="AB72" s="97"/>
      <c r="AC72" s="97"/>
      <c r="AD72" s="97"/>
      <c r="AE72" s="97"/>
      <c r="AF72" s="97"/>
      <c r="AG72" s="306"/>
      <c r="AH72" s="97"/>
      <c r="AI72" s="97"/>
      <c r="AJ72" s="97"/>
      <c r="AK72" s="97"/>
      <c r="AL72" s="97"/>
      <c r="AM72" s="97"/>
      <c r="AN72" s="97"/>
      <c r="AO72" s="97"/>
      <c r="AP72" s="97"/>
      <c r="AQ72" s="97"/>
      <c r="AR72" s="97"/>
      <c r="AS72" s="97"/>
      <c r="AT72" s="97"/>
      <c r="AU72" s="97"/>
      <c r="AV72" s="97"/>
      <c r="AW72" s="97"/>
      <c r="AX72" s="97"/>
      <c r="AY72" s="97"/>
      <c r="AZ72" s="97"/>
      <c r="BA72" s="97"/>
      <c r="BB72" s="97"/>
      <c r="BC72" s="97"/>
      <c r="BD72" s="97"/>
      <c r="BE72" s="97"/>
      <c r="BF72" s="97"/>
      <c r="BG72" s="97"/>
      <c r="BH72" s="97"/>
      <c r="BI72" s="97"/>
      <c r="BJ72" s="97"/>
      <c r="BK72" s="306"/>
      <c r="BL72" s="97"/>
      <c r="BM72" s="306"/>
      <c r="BN72" s="97"/>
      <c r="BO72" s="97"/>
      <c r="BP72" s="97"/>
      <c r="BQ72" s="97"/>
      <c r="BR72" s="97"/>
      <c r="BS72" s="97"/>
      <c r="BT72" s="97"/>
      <c r="BU72" s="97"/>
      <c r="BV72" s="97"/>
      <c r="BW72" s="97"/>
      <c r="BX72" s="97"/>
      <c r="BY72" s="97"/>
      <c r="BZ72" s="97"/>
      <c r="CA72" s="97"/>
      <c r="CB72" s="97"/>
      <c r="CC72" s="97"/>
      <c r="CD72" s="97"/>
      <c r="CE72" s="97"/>
      <c r="CF72" s="97"/>
      <c r="CG72" s="97"/>
      <c r="CH72" s="97"/>
      <c r="CI72" s="97"/>
      <c r="CJ72" s="97"/>
      <c r="CK72" s="97"/>
      <c r="CL72" s="97"/>
      <c r="CM72" s="97"/>
      <c r="CN72" s="97"/>
      <c r="CO72" s="97"/>
      <c r="CP72" s="97"/>
      <c r="CQ72" s="97"/>
      <c r="CR72" s="97"/>
      <c r="CS72" s="97"/>
      <c r="CT72" s="97"/>
      <c r="CU72" s="97"/>
      <c r="CV72" s="97"/>
      <c r="CW72" s="97"/>
      <c r="CX72" s="97"/>
      <c r="CY72" s="97"/>
      <c r="CZ72" s="97"/>
      <c r="DA72" s="97"/>
      <c r="DB72" s="97"/>
      <c r="DC72" s="308"/>
      <c r="DD72" s="97"/>
      <c r="DE72" s="97"/>
      <c r="DF72" s="97"/>
      <c r="DG72" s="97"/>
      <c r="DH72" s="97"/>
      <c r="DI72" s="97"/>
      <c r="DJ72" s="97"/>
      <c r="DK72" s="97"/>
      <c r="DL72" s="97"/>
      <c r="DM72" s="97"/>
      <c r="DN72" s="97"/>
      <c r="DO72" s="97"/>
      <c r="DP72" s="97"/>
      <c r="DQ72" s="97"/>
      <c r="DR72" s="97"/>
      <c r="DS72" s="310"/>
      <c r="DT72" s="310"/>
      <c r="DU72" s="310"/>
      <c r="DV72" s="17"/>
      <c r="DW72" s="371">
        <f>I72</f>
        <v>1812869.5652173914</v>
      </c>
      <c r="DX72" s="13">
        <f t="shared" si="6"/>
        <v>3625739</v>
      </c>
      <c r="DY72" s="161" t="s">
        <v>323</v>
      </c>
    </row>
    <row r="73" spans="1:132" ht="91" hidden="1" x14ac:dyDescent="0.3">
      <c r="A73" s="19">
        <v>52</v>
      </c>
      <c r="B73" s="9" t="s">
        <v>15</v>
      </c>
      <c r="C73" s="9" t="s">
        <v>443</v>
      </c>
      <c r="D73" s="9" t="s">
        <v>98</v>
      </c>
      <c r="E73" s="10" t="s">
        <v>111</v>
      </c>
      <c r="F73" s="9" t="s">
        <v>78</v>
      </c>
      <c r="G73" s="11">
        <v>160</v>
      </c>
      <c r="H73" s="11">
        <v>1</v>
      </c>
      <c r="I73" s="191"/>
      <c r="J73" s="191"/>
      <c r="K73" s="191"/>
      <c r="L73" s="191"/>
      <c r="M73" s="191"/>
      <c r="N73" s="191"/>
      <c r="O73" s="211"/>
      <c r="P73" s="225"/>
      <c r="Q73" s="32"/>
      <c r="R73" s="32"/>
      <c r="S73" s="32"/>
      <c r="T73" s="32"/>
      <c r="U73" s="32"/>
      <c r="V73" s="32"/>
      <c r="W73" s="32"/>
      <c r="X73" s="32"/>
      <c r="Y73" s="32"/>
      <c r="Z73" s="32"/>
      <c r="AA73" s="32"/>
      <c r="AB73" s="32"/>
      <c r="AC73" s="32"/>
      <c r="AD73" s="32"/>
      <c r="AE73" s="32"/>
      <c r="AF73" s="32"/>
      <c r="AG73" s="192"/>
      <c r="AH73" s="32"/>
      <c r="AI73" s="32"/>
      <c r="AJ73" s="32"/>
      <c r="AK73" s="32"/>
      <c r="AL73" s="32"/>
      <c r="AM73" s="32"/>
      <c r="AN73" s="32"/>
      <c r="AO73" s="32"/>
      <c r="AP73" s="32"/>
      <c r="AQ73" s="32"/>
      <c r="AR73" s="32"/>
      <c r="AS73" s="32"/>
      <c r="AT73" s="32"/>
      <c r="AU73" s="32"/>
      <c r="AV73" s="32"/>
      <c r="AW73" s="32"/>
      <c r="AX73" s="32"/>
      <c r="AY73" s="32"/>
      <c r="AZ73" s="32"/>
      <c r="BA73" s="32"/>
      <c r="BB73" s="32"/>
      <c r="BC73" s="32"/>
      <c r="BD73" s="32"/>
      <c r="BE73" s="32"/>
      <c r="BF73" s="32"/>
      <c r="BG73" s="32"/>
      <c r="BH73" s="32"/>
      <c r="BI73" s="32"/>
      <c r="BJ73" s="32"/>
      <c r="BK73" s="192"/>
      <c r="BL73" s="32"/>
      <c r="BM73" s="192"/>
      <c r="BN73" s="32"/>
      <c r="BO73" s="32"/>
      <c r="BP73" s="32"/>
      <c r="BQ73" s="32"/>
      <c r="BR73" s="32"/>
      <c r="BS73" s="32"/>
      <c r="BT73" s="32"/>
      <c r="BU73" s="32"/>
      <c r="BV73" s="32"/>
      <c r="BW73" s="32"/>
      <c r="BX73" s="32"/>
      <c r="BY73" s="32"/>
      <c r="BZ73" s="32"/>
      <c r="CA73" s="32"/>
      <c r="CB73" s="32"/>
      <c r="CC73" s="32"/>
      <c r="CD73" s="32"/>
      <c r="CE73" s="32"/>
      <c r="CF73" s="32"/>
      <c r="CG73" s="32"/>
      <c r="CH73" s="32"/>
      <c r="CI73" s="32"/>
      <c r="CJ73" s="32"/>
      <c r="CK73" s="32"/>
      <c r="CL73" s="32"/>
      <c r="CM73" s="32"/>
      <c r="CN73" s="32"/>
      <c r="CO73" s="224">
        <v>300000</v>
      </c>
      <c r="CP73" s="32">
        <f>CO73*G73</f>
        <v>48000000</v>
      </c>
      <c r="CQ73" s="225"/>
      <c r="CR73" s="32"/>
      <c r="CS73" s="224">
        <v>220000</v>
      </c>
      <c r="CT73" s="25">
        <f>CS73*G73</f>
        <v>35200000</v>
      </c>
      <c r="CU73" s="225"/>
      <c r="CV73" s="25"/>
      <c r="CW73" s="224"/>
      <c r="CX73" s="25"/>
      <c r="CY73" s="224">
        <v>400000</v>
      </c>
      <c r="CZ73" s="25">
        <f>CY73*G73*H73</f>
        <v>64000000</v>
      </c>
      <c r="DA73" s="25"/>
      <c r="DB73" s="25"/>
      <c r="DC73" s="192"/>
      <c r="DD73" s="192"/>
      <c r="DE73" s="25"/>
      <c r="DF73" s="25"/>
      <c r="DG73" s="25"/>
      <c r="DH73" s="25"/>
      <c r="DI73" s="25"/>
      <c r="DJ73" s="25"/>
      <c r="DK73" s="25"/>
      <c r="DL73" s="25"/>
      <c r="DM73" s="25"/>
      <c r="DN73" s="25"/>
      <c r="DO73" s="25"/>
      <c r="DP73" s="25"/>
      <c r="DQ73" s="25"/>
      <c r="DR73" s="25"/>
      <c r="DS73" s="13">
        <f>+MEDIAN(CO73,CS73,CY73)</f>
        <v>300000</v>
      </c>
      <c r="DT73" s="13">
        <f>+AVERAGE(CO73,CS73,CY73)</f>
        <v>306666.66666666669</v>
      </c>
      <c r="DU73" s="13">
        <f>+STDEV(CO73,CS73,CY73)</f>
        <v>90184.995056457949</v>
      </c>
      <c r="DV73" s="17">
        <f t="shared" si="1"/>
        <v>0.29408150561888458</v>
      </c>
      <c r="DW73" s="373">
        <f t="shared" si="2"/>
        <v>300000</v>
      </c>
      <c r="DX73" s="13">
        <f t="shared" si="6"/>
        <v>48000000</v>
      </c>
      <c r="DY73" s="10" t="s">
        <v>322</v>
      </c>
    </row>
    <row r="74" spans="1:132" ht="157.5" hidden="1" customHeight="1" x14ac:dyDescent="0.3">
      <c r="A74" s="19">
        <v>53</v>
      </c>
      <c r="B74" s="9" t="s">
        <v>15</v>
      </c>
      <c r="C74" s="648" t="s">
        <v>443</v>
      </c>
      <c r="D74" s="9" t="s">
        <v>99</v>
      </c>
      <c r="E74" s="10" t="s">
        <v>1357</v>
      </c>
      <c r="F74" s="9" t="s">
        <v>78</v>
      </c>
      <c r="G74" s="11">
        <v>4</v>
      </c>
      <c r="H74" s="11">
        <v>1</v>
      </c>
      <c r="I74" s="649"/>
      <c r="J74" s="649"/>
      <c r="K74" s="649"/>
      <c r="L74" s="649"/>
      <c r="M74" s="649"/>
      <c r="N74" s="649"/>
      <c r="O74" s="650"/>
      <c r="P74" s="653"/>
      <c r="Q74" s="205"/>
      <c r="R74" s="205"/>
      <c r="S74" s="205"/>
      <c r="T74" s="205"/>
      <c r="U74" s="205"/>
      <c r="V74" s="205"/>
      <c r="W74" s="205"/>
      <c r="X74" s="205"/>
      <c r="Y74" s="205"/>
      <c r="Z74" s="205"/>
      <c r="AA74" s="205"/>
      <c r="AB74" s="205"/>
      <c r="AC74" s="205"/>
      <c r="AD74" s="205"/>
      <c r="AE74" s="205"/>
      <c r="AF74" s="205"/>
      <c r="AG74" s="206"/>
      <c r="AH74" s="205"/>
      <c r="AI74" s="205"/>
      <c r="AJ74" s="205"/>
      <c r="AK74" s="205"/>
      <c r="AL74" s="205"/>
      <c r="AM74" s="205"/>
      <c r="AN74" s="205"/>
      <c r="AO74" s="205"/>
      <c r="AP74" s="205"/>
      <c r="AQ74" s="205"/>
      <c r="AR74" s="205"/>
      <c r="AS74" s="205"/>
      <c r="AT74" s="205"/>
      <c r="AU74" s="205"/>
      <c r="AV74" s="205"/>
      <c r="AW74" s="205"/>
      <c r="AX74" s="205"/>
      <c r="AY74" s="205"/>
      <c r="AZ74" s="205"/>
      <c r="BA74" s="205"/>
      <c r="BB74" s="205"/>
      <c r="BC74" s="205"/>
      <c r="BD74" s="205"/>
      <c r="BE74" s="205"/>
      <c r="BF74" s="205"/>
      <c r="BG74" s="205"/>
      <c r="BH74" s="205"/>
      <c r="BI74" s="205"/>
      <c r="BJ74" s="205"/>
      <c r="BK74" s="206"/>
      <c r="BL74" s="205"/>
      <c r="BM74" s="206"/>
      <c r="BN74" s="205"/>
      <c r="BO74" s="205"/>
      <c r="BP74" s="205"/>
      <c r="BQ74" s="205"/>
      <c r="BR74" s="205"/>
      <c r="BS74" s="205"/>
      <c r="BT74" s="205"/>
      <c r="BU74" s="205"/>
      <c r="BV74" s="205"/>
      <c r="BW74" s="205"/>
      <c r="BX74" s="205"/>
      <c r="BY74" s="205"/>
      <c r="BZ74" s="205"/>
      <c r="CA74" s="205"/>
      <c r="CB74" s="205"/>
      <c r="CC74" s="205"/>
      <c r="CD74" s="205"/>
      <c r="CE74" s="205"/>
      <c r="CF74" s="205"/>
      <c r="CG74" s="205"/>
      <c r="CH74" s="205"/>
      <c r="CI74" s="205"/>
      <c r="CJ74" s="205"/>
      <c r="CK74" s="205"/>
      <c r="CL74" s="205"/>
      <c r="CM74" s="205"/>
      <c r="CN74" s="205"/>
      <c r="CO74" s="654">
        <v>1600000</v>
      </c>
      <c r="CP74" s="205">
        <f>CO74*G74</f>
        <v>6400000</v>
      </c>
      <c r="CQ74" s="653"/>
      <c r="CR74" s="205"/>
      <c r="CS74" s="654">
        <v>1500000</v>
      </c>
      <c r="CT74" s="205">
        <f>CS74*G74</f>
        <v>6000000</v>
      </c>
      <c r="CU74" s="653"/>
      <c r="CV74" s="205"/>
      <c r="CW74" s="654"/>
      <c r="CX74" s="205"/>
      <c r="CY74" s="654"/>
      <c r="CZ74" s="205"/>
      <c r="DA74" s="205"/>
      <c r="DB74" s="205"/>
      <c r="DC74" s="654"/>
      <c r="DD74" s="205"/>
      <c r="DE74" s="205"/>
      <c r="DF74" s="205"/>
      <c r="DG74" s="205"/>
      <c r="DH74" s="205"/>
      <c r="DI74" s="205"/>
      <c r="DJ74" s="205"/>
      <c r="DK74" s="205"/>
      <c r="DL74" s="205"/>
      <c r="DM74" s="205"/>
      <c r="DN74" s="205"/>
      <c r="DO74" s="205"/>
      <c r="DP74" s="205"/>
      <c r="DQ74" s="205"/>
      <c r="DR74" s="205"/>
      <c r="DS74" s="656">
        <f>+MEDIAN(CO74,CS74)</f>
        <v>1550000</v>
      </c>
      <c r="DT74" s="656">
        <f>+AVERAGE(CO74,CS74)</f>
        <v>1550000</v>
      </c>
      <c r="DU74" s="656">
        <f>+STDEV(CO74,CS74)</f>
        <v>70710.67811865476</v>
      </c>
      <c r="DV74" s="657">
        <f t="shared" si="1"/>
        <v>4.5619792334615973E-2</v>
      </c>
      <c r="DW74" s="662">
        <f t="shared" si="2"/>
        <v>1550000</v>
      </c>
      <c r="DX74" s="13">
        <f t="shared" si="6"/>
        <v>6200000</v>
      </c>
      <c r="DY74" s="10" t="s">
        <v>448</v>
      </c>
    </row>
    <row r="75" spans="1:132" ht="64.5" hidden="1" customHeight="1" x14ac:dyDescent="0.3">
      <c r="A75" s="19">
        <v>54</v>
      </c>
      <c r="B75" s="9" t="s">
        <v>15</v>
      </c>
      <c r="C75" s="9" t="s">
        <v>443</v>
      </c>
      <c r="D75" s="9" t="s">
        <v>118</v>
      </c>
      <c r="E75" s="10" t="s">
        <v>119</v>
      </c>
      <c r="F75" s="9" t="s">
        <v>120</v>
      </c>
      <c r="G75" s="11">
        <v>10</v>
      </c>
      <c r="H75" s="11">
        <v>15</v>
      </c>
      <c r="I75" s="191"/>
      <c r="J75" s="191"/>
      <c r="K75" s="191"/>
      <c r="L75" s="191"/>
      <c r="M75" s="191"/>
      <c r="N75" s="191"/>
      <c r="O75" s="211"/>
      <c r="P75" s="225"/>
      <c r="Q75" s="32"/>
      <c r="R75" s="32"/>
      <c r="S75" s="32"/>
      <c r="T75" s="32"/>
      <c r="U75" s="32"/>
      <c r="V75" s="32"/>
      <c r="W75" s="32"/>
      <c r="X75" s="32"/>
      <c r="Y75" s="32"/>
      <c r="Z75" s="32"/>
      <c r="AA75" s="32"/>
      <c r="AB75" s="32"/>
      <c r="AC75" s="32"/>
      <c r="AD75" s="32"/>
      <c r="AE75" s="32"/>
      <c r="AF75" s="32"/>
      <c r="AG75" s="32"/>
      <c r="AH75" s="32"/>
      <c r="AI75" s="32"/>
      <c r="AJ75" s="32"/>
      <c r="AK75" s="32"/>
      <c r="AL75" s="32"/>
      <c r="AM75" s="32"/>
      <c r="AN75" s="32"/>
      <c r="AO75" s="32"/>
      <c r="AP75" s="32"/>
      <c r="AQ75" s="32"/>
      <c r="AR75" s="32"/>
      <c r="AS75" s="32"/>
      <c r="AT75" s="32"/>
      <c r="AU75" s="32"/>
      <c r="AV75" s="32"/>
      <c r="AW75" s="32"/>
      <c r="AX75" s="32"/>
      <c r="AY75" s="32"/>
      <c r="AZ75" s="32"/>
      <c r="BA75" s="32"/>
      <c r="BB75" s="32"/>
      <c r="BC75" s="32"/>
      <c r="BD75" s="32"/>
      <c r="BE75" s="32"/>
      <c r="BF75" s="32"/>
      <c r="BG75" s="32"/>
      <c r="BH75" s="32"/>
      <c r="BI75" s="32"/>
      <c r="BJ75" s="32"/>
      <c r="BK75" s="192"/>
      <c r="BL75" s="32"/>
      <c r="BM75" s="192"/>
      <c r="BN75" s="32"/>
      <c r="BO75" s="32"/>
      <c r="BP75" s="32"/>
      <c r="BQ75" s="32"/>
      <c r="BR75" s="32"/>
      <c r="BS75" s="32"/>
      <c r="BT75" s="32"/>
      <c r="BU75" s="32"/>
      <c r="BV75" s="32"/>
      <c r="BW75" s="32"/>
      <c r="BX75" s="32"/>
      <c r="BY75" s="32"/>
      <c r="BZ75" s="32"/>
      <c r="CA75" s="32"/>
      <c r="CB75" s="32"/>
      <c r="CC75" s="32"/>
      <c r="CD75" s="32"/>
      <c r="CE75" s="32"/>
      <c r="CF75" s="32"/>
      <c r="CG75" s="32"/>
      <c r="CH75" s="32"/>
      <c r="CI75" s="32"/>
      <c r="CJ75" s="32"/>
      <c r="CK75" s="32"/>
      <c r="CL75" s="32"/>
      <c r="CM75" s="32"/>
      <c r="CN75" s="32"/>
      <c r="CO75" s="32">
        <v>200000</v>
      </c>
      <c r="CP75" s="32">
        <f>CO75*G75*H75</f>
        <v>30000000</v>
      </c>
      <c r="CQ75" s="225">
        <v>190000</v>
      </c>
      <c r="CR75" s="32">
        <f>CQ75*G75*H75</f>
        <v>28500000</v>
      </c>
      <c r="CS75" s="224">
        <v>150000</v>
      </c>
      <c r="CT75" s="32">
        <f>CS75*G75*H75</f>
        <v>22500000</v>
      </c>
      <c r="CU75" s="225">
        <v>190000</v>
      </c>
      <c r="CV75" s="32">
        <f>CU75*G75*H75</f>
        <v>28500000</v>
      </c>
      <c r="CW75" s="224"/>
      <c r="CX75" s="32"/>
      <c r="CY75" s="224"/>
      <c r="CZ75" s="32"/>
      <c r="DA75" s="32"/>
      <c r="DB75" s="32"/>
      <c r="DC75" s="224"/>
      <c r="DD75" s="32"/>
      <c r="DE75" s="32"/>
      <c r="DF75" s="32"/>
      <c r="DG75" s="32"/>
      <c r="DH75" s="32"/>
      <c r="DI75" s="32"/>
      <c r="DJ75" s="32"/>
      <c r="DK75" s="32"/>
      <c r="DL75" s="32"/>
      <c r="DM75" s="32"/>
      <c r="DN75" s="32"/>
      <c r="DO75" s="32"/>
      <c r="DP75" s="32"/>
      <c r="DQ75" s="32"/>
      <c r="DR75" s="32"/>
      <c r="DS75" s="13">
        <f>+MEDIAN(CO75,CQ75,CS75,CU75)</f>
        <v>190000</v>
      </c>
      <c r="DT75" s="13">
        <f>+AVERAGE(CO75,CQ75,CS75,CU75)</f>
        <v>182500</v>
      </c>
      <c r="DU75" s="13">
        <f>+STDEV(CO75,CQ75,CS75,CU75)</f>
        <v>22173.557826083452</v>
      </c>
      <c r="DV75" s="17">
        <f>DU75/DT75</f>
        <v>0.12149894699223809</v>
      </c>
      <c r="DW75" s="373">
        <f>+ROUNDUP(IF(DV75&lt;15%,DT75,DS75),0)</f>
        <v>182500</v>
      </c>
      <c r="DX75" s="13">
        <f t="shared" si="6"/>
        <v>27375000</v>
      </c>
      <c r="DY75" s="10" t="s">
        <v>448</v>
      </c>
    </row>
    <row r="76" spans="1:132" ht="195" hidden="1" x14ac:dyDescent="0.3">
      <c r="A76" s="19">
        <v>55</v>
      </c>
      <c r="B76" s="14" t="s">
        <v>15</v>
      </c>
      <c r="C76" s="76" t="s">
        <v>443</v>
      </c>
      <c r="D76" s="14" t="s">
        <v>83</v>
      </c>
      <c r="E76" s="39" t="s">
        <v>243</v>
      </c>
      <c r="F76" s="14" t="s">
        <v>19</v>
      </c>
      <c r="G76" s="15">
        <v>200</v>
      </c>
      <c r="H76" s="15">
        <v>1</v>
      </c>
      <c r="I76" s="194"/>
      <c r="J76" s="194"/>
      <c r="K76" s="249"/>
      <c r="L76" s="249"/>
      <c r="M76" s="249"/>
      <c r="N76" s="249"/>
      <c r="O76" s="250"/>
      <c r="P76" s="251"/>
      <c r="Q76" s="252"/>
      <c r="R76" s="252"/>
      <c r="S76" s="252"/>
      <c r="T76" s="252"/>
      <c r="U76" s="252"/>
      <c r="V76" s="252"/>
      <c r="W76" s="252"/>
      <c r="X76" s="252"/>
      <c r="Y76" s="252"/>
      <c r="Z76" s="252"/>
      <c r="AA76" s="252"/>
      <c r="AB76" s="252"/>
      <c r="AC76" s="252"/>
      <c r="AD76" s="252"/>
      <c r="AE76" s="252"/>
      <c r="AF76" s="252"/>
      <c r="AG76" s="253"/>
      <c r="AH76" s="252"/>
      <c r="AI76" s="252"/>
      <c r="AJ76" s="252"/>
      <c r="AK76" s="252">
        <v>27000</v>
      </c>
      <c r="AL76" s="252">
        <f>AK76*G76</f>
        <v>5400000</v>
      </c>
      <c r="AM76" s="252">
        <f>18000+(18000*5.2%)</f>
        <v>18936</v>
      </c>
      <c r="AN76" s="252">
        <f>AM76*G76</f>
        <v>3787200</v>
      </c>
      <c r="AO76" s="252">
        <f>13400+(13400*5.2%)</f>
        <v>14096.8</v>
      </c>
      <c r="AP76" s="252">
        <f>AO76*G76</f>
        <v>2819360</v>
      </c>
      <c r="AQ76" s="252">
        <f>16900+(16900*5.2%)</f>
        <v>17778.8</v>
      </c>
      <c r="AR76" s="252">
        <f>AQ76*G76</f>
        <v>3555760</v>
      </c>
      <c r="AS76" s="252"/>
      <c r="AT76" s="252"/>
      <c r="AU76" s="252"/>
      <c r="AV76" s="252"/>
      <c r="AW76" s="252"/>
      <c r="AX76" s="252"/>
      <c r="AY76" s="252"/>
      <c r="AZ76" s="252"/>
      <c r="BA76" s="252"/>
      <c r="BB76" s="252"/>
      <c r="BC76" s="252"/>
      <c r="BD76" s="252"/>
      <c r="BE76" s="252"/>
      <c r="BF76" s="252"/>
      <c r="BG76" s="252"/>
      <c r="BH76" s="252"/>
      <c r="BI76" s="252"/>
      <c r="BJ76" s="252"/>
      <c r="BK76" s="253"/>
      <c r="BL76" s="252"/>
      <c r="BM76" s="253"/>
      <c r="BN76" s="252"/>
      <c r="BO76" s="252"/>
      <c r="BP76" s="252"/>
      <c r="BQ76" s="252"/>
      <c r="BR76" s="252"/>
      <c r="BS76" s="252"/>
      <c r="BT76" s="252"/>
      <c r="BU76" s="252"/>
      <c r="BV76" s="252"/>
      <c r="BW76" s="252"/>
      <c r="BX76" s="252"/>
      <c r="BY76" s="252"/>
      <c r="BZ76" s="252"/>
      <c r="CA76" s="252"/>
      <c r="CB76" s="252"/>
      <c r="CC76" s="252"/>
      <c r="CD76" s="252"/>
      <c r="CE76" s="252"/>
      <c r="CF76" s="252"/>
      <c r="CG76" s="252"/>
      <c r="CH76" s="252"/>
      <c r="CI76" s="252"/>
      <c r="CJ76" s="252"/>
      <c r="CK76" s="252"/>
      <c r="CL76" s="252"/>
      <c r="CM76" s="252"/>
      <c r="CN76" s="252"/>
      <c r="CO76" s="252"/>
      <c r="CP76" s="252"/>
      <c r="CQ76" s="252"/>
      <c r="CR76" s="252"/>
      <c r="CS76" s="252"/>
      <c r="CT76" s="252"/>
      <c r="CU76" s="252"/>
      <c r="CV76" s="252"/>
      <c r="CW76" s="254"/>
      <c r="CX76" s="252"/>
      <c r="CY76" s="254"/>
      <c r="CZ76" s="252"/>
      <c r="DA76" s="252"/>
      <c r="DB76" s="252"/>
      <c r="DC76" s="254"/>
      <c r="DD76" s="252"/>
      <c r="DE76" s="252"/>
      <c r="DF76" s="252"/>
      <c r="DG76" s="252"/>
      <c r="DH76" s="252"/>
      <c r="DI76" s="252"/>
      <c r="DJ76" s="252"/>
      <c r="DK76" s="252"/>
      <c r="DL76" s="252"/>
      <c r="DM76" s="252"/>
      <c r="DN76" s="252"/>
      <c r="DO76" s="252"/>
      <c r="DP76" s="252"/>
      <c r="DQ76" s="252"/>
      <c r="DR76" s="252"/>
      <c r="DS76" s="255">
        <f>+MEDIAN(AK76,AM76,AO76,AQ76)</f>
        <v>18357.400000000001</v>
      </c>
      <c r="DT76" s="255">
        <f>+AVERAGE(AK76,AM76,AO76,AQ76)</f>
        <v>19452.900000000001</v>
      </c>
      <c r="DU76" s="255">
        <f>+STDEV(AK76,AM76,AO76,AQ76)</f>
        <v>5438.0242135049912</v>
      </c>
      <c r="DV76" s="159">
        <f>DU76/DT76</f>
        <v>0.27954825313989129</v>
      </c>
      <c r="DW76" s="376">
        <f>+ROUNDUP(IF(DV76&lt;15%,DT76,DS76),0)</f>
        <v>18358</v>
      </c>
      <c r="DX76" s="73">
        <f t="shared" si="6"/>
        <v>3671600</v>
      </c>
      <c r="DY76" s="39" t="s">
        <v>309</v>
      </c>
    </row>
    <row r="77" spans="1:132" s="63" customFormat="1" ht="21.65" hidden="1" customHeight="1" x14ac:dyDescent="0.3">
      <c r="A77" s="66" t="s">
        <v>360</v>
      </c>
      <c r="B77" s="66"/>
      <c r="C77" s="66"/>
      <c r="D77" s="66"/>
      <c r="E77" s="66"/>
      <c r="F77" s="67"/>
      <c r="G77" s="67"/>
      <c r="H77" s="67"/>
      <c r="I77" s="214"/>
      <c r="J77" s="214"/>
      <c r="K77" s="214"/>
      <c r="L77" s="214"/>
      <c r="M77" s="214"/>
      <c r="N77" s="214"/>
      <c r="O77" s="215"/>
      <c r="P77" s="215"/>
      <c r="Q77" s="215"/>
      <c r="R77" s="215"/>
      <c r="S77" s="215"/>
      <c r="T77" s="215"/>
      <c r="U77" s="215"/>
      <c r="V77" s="215"/>
      <c r="W77" s="215"/>
      <c r="X77" s="215"/>
      <c r="Y77" s="215"/>
      <c r="Z77" s="215"/>
      <c r="AA77" s="215"/>
      <c r="AB77" s="215"/>
      <c r="AC77" s="215"/>
      <c r="AD77" s="215"/>
      <c r="AE77" s="215"/>
      <c r="AF77" s="215"/>
      <c r="AG77" s="215"/>
      <c r="AH77" s="215"/>
      <c r="AI77" s="215"/>
      <c r="AJ77" s="215"/>
      <c r="AK77" s="215"/>
      <c r="AL77" s="215"/>
      <c r="AM77" s="215"/>
      <c r="AN77" s="215"/>
      <c r="AO77" s="215"/>
      <c r="AP77" s="215"/>
      <c r="AQ77" s="215"/>
      <c r="AR77" s="215"/>
      <c r="AS77" s="215"/>
      <c r="AT77" s="215"/>
      <c r="AU77" s="215"/>
      <c r="AV77" s="215"/>
      <c r="AW77" s="215"/>
      <c r="AX77" s="215"/>
      <c r="AY77" s="215"/>
      <c r="AZ77" s="215"/>
      <c r="BA77" s="215"/>
      <c r="BB77" s="215"/>
      <c r="BC77" s="215"/>
      <c r="BD77" s="215"/>
      <c r="BE77" s="215"/>
      <c r="BF77" s="215"/>
      <c r="BG77" s="215"/>
      <c r="BH77" s="215"/>
      <c r="BI77" s="215"/>
      <c r="BJ77" s="215"/>
      <c r="BK77" s="215"/>
      <c r="BL77" s="216"/>
      <c r="BM77" s="215"/>
      <c r="BN77" s="216"/>
      <c r="BO77" s="216"/>
      <c r="BP77" s="216"/>
      <c r="BQ77" s="216"/>
      <c r="BR77" s="216"/>
      <c r="BS77" s="216"/>
      <c r="BT77" s="216"/>
      <c r="BU77" s="216"/>
      <c r="BV77" s="216"/>
      <c r="BW77" s="216"/>
      <c r="BX77" s="216"/>
      <c r="BY77" s="216"/>
      <c r="BZ77" s="216"/>
      <c r="CA77" s="216"/>
      <c r="CB77" s="216"/>
      <c r="CC77" s="216"/>
      <c r="CD77" s="216"/>
      <c r="CE77" s="216"/>
      <c r="CF77" s="216"/>
      <c r="CG77" s="216"/>
      <c r="CH77" s="216"/>
      <c r="CI77" s="216"/>
      <c r="CJ77" s="216"/>
      <c r="CK77" s="216"/>
      <c r="CL77" s="216"/>
      <c r="CM77" s="216"/>
      <c r="CN77" s="216"/>
      <c r="CO77" s="216"/>
      <c r="CP77" s="216"/>
      <c r="CQ77" s="216"/>
      <c r="CR77" s="216"/>
      <c r="CS77" s="216"/>
      <c r="CT77" s="216"/>
      <c r="CU77" s="216"/>
      <c r="CV77" s="216"/>
      <c r="CW77" s="216"/>
      <c r="CX77" s="216"/>
      <c r="CY77" s="216"/>
      <c r="CZ77" s="216"/>
      <c r="DA77" s="216"/>
      <c r="DB77" s="216"/>
      <c r="DC77" s="216"/>
      <c r="DD77" s="216"/>
      <c r="DE77" s="216"/>
      <c r="DF77" s="216"/>
      <c r="DG77" s="216"/>
      <c r="DH77" s="216"/>
      <c r="DI77" s="216"/>
      <c r="DJ77" s="216"/>
      <c r="DK77" s="216"/>
      <c r="DL77" s="216"/>
      <c r="DM77" s="216"/>
      <c r="DN77" s="216"/>
      <c r="DO77" s="216"/>
      <c r="DP77" s="216"/>
      <c r="DQ77" s="216"/>
      <c r="DR77" s="216"/>
      <c r="DS77" s="215"/>
      <c r="DT77" s="215"/>
      <c r="DU77" s="215"/>
      <c r="DV77" s="68"/>
      <c r="DW77" s="69">
        <f>SUM(DW71:DW76)</f>
        <v>5676597.1304347832</v>
      </c>
      <c r="DX77" s="69">
        <f>SUM(DX71:DX76)</f>
        <v>99749556</v>
      </c>
      <c r="DY77" s="165"/>
      <c r="DZ77" s="609"/>
      <c r="EA77" s="609"/>
      <c r="EB77" s="609"/>
    </row>
    <row r="78" spans="1:132" ht="52" hidden="1" x14ac:dyDescent="0.3">
      <c r="A78" s="19">
        <v>56</v>
      </c>
      <c r="B78" s="40" t="s">
        <v>15</v>
      </c>
      <c r="C78" s="381" t="s">
        <v>356</v>
      </c>
      <c r="D78" s="40" t="s">
        <v>357</v>
      </c>
      <c r="E78" s="10" t="s">
        <v>1175</v>
      </c>
      <c r="F78" s="70" t="s">
        <v>14</v>
      </c>
      <c r="G78" s="43">
        <v>1</v>
      </c>
      <c r="H78" s="43">
        <v>1</v>
      </c>
      <c r="I78" s="386">
        <v>7688000</v>
      </c>
      <c r="J78" s="386">
        <v>15874827.521739129</v>
      </c>
      <c r="K78" s="386"/>
      <c r="L78" s="386"/>
      <c r="M78" s="386"/>
      <c r="N78" s="386"/>
      <c r="O78" s="387"/>
      <c r="P78" s="393"/>
      <c r="Q78" s="389"/>
      <c r="R78" s="389"/>
      <c r="S78" s="389"/>
      <c r="T78" s="389"/>
      <c r="U78" s="389"/>
      <c r="V78" s="389"/>
      <c r="W78" s="389"/>
      <c r="X78" s="389"/>
      <c r="Y78" s="389"/>
      <c r="Z78" s="389"/>
      <c r="AA78" s="389"/>
      <c r="AB78" s="389"/>
      <c r="AC78" s="389"/>
      <c r="AD78" s="389"/>
      <c r="AE78" s="389"/>
      <c r="AF78" s="389"/>
      <c r="AG78" s="390"/>
      <c r="AH78" s="389"/>
      <c r="AI78" s="389"/>
      <c r="AJ78" s="389"/>
      <c r="AK78" s="389"/>
      <c r="AL78" s="389"/>
      <c r="AM78" s="389"/>
      <c r="AN78" s="389"/>
      <c r="AO78" s="389"/>
      <c r="AP78" s="389"/>
      <c r="AQ78" s="389"/>
      <c r="AR78" s="389"/>
      <c r="AS78" s="389"/>
      <c r="AT78" s="389"/>
      <c r="AU78" s="389"/>
      <c r="AV78" s="389"/>
      <c r="AW78" s="389"/>
      <c r="AX78" s="389"/>
      <c r="AY78" s="389"/>
      <c r="AZ78" s="389"/>
      <c r="BA78" s="389"/>
      <c r="BB78" s="389"/>
      <c r="BC78" s="389"/>
      <c r="BD78" s="389"/>
      <c r="BE78" s="389"/>
      <c r="BF78" s="389"/>
      <c r="BG78" s="389"/>
      <c r="BH78" s="389"/>
      <c r="BI78" s="389"/>
      <c r="BJ78" s="389"/>
      <c r="BK78" s="390"/>
      <c r="BL78" s="389"/>
      <c r="BM78" s="390"/>
      <c r="BN78" s="389"/>
      <c r="BO78" s="389"/>
      <c r="BP78" s="389"/>
      <c r="BQ78" s="389"/>
      <c r="BR78" s="389"/>
      <c r="BS78" s="389"/>
      <c r="BT78" s="389"/>
      <c r="BU78" s="389"/>
      <c r="BV78" s="389"/>
      <c r="BW78" s="389"/>
      <c r="BX78" s="389"/>
      <c r="BY78" s="389"/>
      <c r="BZ78" s="389"/>
      <c r="CA78" s="389"/>
      <c r="CB78" s="389"/>
      <c r="CC78" s="389"/>
      <c r="CD78" s="389"/>
      <c r="CE78" s="389"/>
      <c r="CF78" s="389"/>
      <c r="CG78" s="389"/>
      <c r="CH78" s="389"/>
      <c r="CI78" s="389"/>
      <c r="CJ78" s="389"/>
      <c r="CK78" s="389"/>
      <c r="CL78" s="389"/>
      <c r="CM78" s="389"/>
      <c r="CN78" s="389"/>
      <c r="CO78" s="402"/>
      <c r="CP78" s="389"/>
      <c r="CQ78" s="403"/>
      <c r="CR78" s="389"/>
      <c r="CS78" s="402"/>
      <c r="CT78" s="389"/>
      <c r="CU78" s="403"/>
      <c r="CV78" s="389"/>
      <c r="CW78" s="404"/>
      <c r="CX78" s="389"/>
      <c r="CY78" s="404"/>
      <c r="CZ78" s="389"/>
      <c r="DA78" s="389"/>
      <c r="DB78" s="389"/>
      <c r="DC78" s="404"/>
      <c r="DD78" s="389"/>
      <c r="DE78" s="389"/>
      <c r="DF78" s="389"/>
      <c r="DG78" s="389"/>
      <c r="DH78" s="389"/>
      <c r="DI78" s="389"/>
      <c r="DJ78" s="389"/>
      <c r="DK78" s="389"/>
      <c r="DL78" s="389"/>
      <c r="DM78" s="389"/>
      <c r="DN78" s="389"/>
      <c r="DO78" s="389"/>
      <c r="DP78" s="389"/>
      <c r="DQ78" s="389"/>
      <c r="DR78" s="389"/>
      <c r="DS78" s="400"/>
      <c r="DT78" s="400"/>
      <c r="DU78" s="400"/>
      <c r="DV78" s="64"/>
      <c r="DW78" s="374">
        <f>I78</f>
        <v>7688000</v>
      </c>
      <c r="DX78" s="65">
        <f t="shared" ref="DX78:DX96" si="7">+ROUND(DW78*G78*H78,0)</f>
        <v>7688000</v>
      </c>
      <c r="DY78" s="362" t="s">
        <v>323</v>
      </c>
    </row>
    <row r="79" spans="1:132" s="111" customFormat="1" ht="52" hidden="1" x14ac:dyDescent="0.3">
      <c r="A79" s="19">
        <v>57</v>
      </c>
      <c r="B79" s="106" t="s">
        <v>15</v>
      </c>
      <c r="C79" s="106" t="s">
        <v>29</v>
      </c>
      <c r="D79" s="106" t="s">
        <v>320</v>
      </c>
      <c r="E79" s="10" t="s">
        <v>1175</v>
      </c>
      <c r="F79" s="105" t="s">
        <v>14</v>
      </c>
      <c r="G79" s="108">
        <v>2</v>
      </c>
      <c r="H79" s="108">
        <v>1</v>
      </c>
      <c r="I79" s="256">
        <f>1540000+((12/23)*(2063000-1540000))</f>
        <v>1812869.5652173914</v>
      </c>
      <c r="J79" s="244">
        <f>I79*G79*H79</f>
        <v>3625739.1304347827</v>
      </c>
      <c r="K79" s="191"/>
      <c r="L79" s="191"/>
      <c r="M79" s="191"/>
      <c r="N79" s="191"/>
      <c r="O79" s="211"/>
      <c r="P79" s="212"/>
      <c r="Q79" s="32"/>
      <c r="R79" s="32"/>
      <c r="S79" s="32"/>
      <c r="T79" s="32"/>
      <c r="U79" s="32"/>
      <c r="V79" s="32"/>
      <c r="W79" s="32"/>
      <c r="X79" s="32"/>
      <c r="Y79" s="32"/>
      <c r="Z79" s="32"/>
      <c r="AA79" s="32"/>
      <c r="AB79" s="32"/>
      <c r="AC79" s="32"/>
      <c r="AD79" s="32"/>
      <c r="AE79" s="32"/>
      <c r="AF79" s="32"/>
      <c r="AG79" s="19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c r="BI79" s="32"/>
      <c r="BJ79" s="32"/>
      <c r="BK79" s="192"/>
      <c r="BL79" s="32"/>
      <c r="BM79" s="192"/>
      <c r="BN79" s="32"/>
      <c r="BO79" s="32"/>
      <c r="BP79" s="32"/>
      <c r="BQ79" s="32"/>
      <c r="BR79" s="32"/>
      <c r="BS79" s="32"/>
      <c r="BT79" s="32"/>
      <c r="BU79" s="32"/>
      <c r="BV79" s="32"/>
      <c r="BW79" s="32"/>
      <c r="BX79" s="32"/>
      <c r="BY79" s="32"/>
      <c r="BZ79" s="32"/>
      <c r="CA79" s="32"/>
      <c r="CB79" s="32"/>
      <c r="CC79" s="32"/>
      <c r="CD79" s="32"/>
      <c r="CE79" s="32"/>
      <c r="CF79" s="32"/>
      <c r="CG79" s="32"/>
      <c r="CH79" s="32"/>
      <c r="CI79" s="32"/>
      <c r="CJ79" s="32"/>
      <c r="CK79" s="32"/>
      <c r="CL79" s="32"/>
      <c r="CM79" s="32"/>
      <c r="CN79" s="32"/>
      <c r="CO79" s="224"/>
      <c r="CP79" s="32"/>
      <c r="CQ79" s="225"/>
      <c r="CR79" s="32"/>
      <c r="CS79" s="28"/>
      <c r="CT79" s="25"/>
      <c r="CU79" s="225"/>
      <c r="CV79" s="25"/>
      <c r="CW79" s="245"/>
      <c r="CX79" s="25"/>
      <c r="CY79" s="245"/>
      <c r="CZ79" s="25"/>
      <c r="DA79" s="25"/>
      <c r="DB79" s="25"/>
      <c r="DC79" s="245"/>
      <c r="DD79" s="25"/>
      <c r="DE79" s="25"/>
      <c r="DF79" s="25"/>
      <c r="DG79" s="25"/>
      <c r="DH79" s="25"/>
      <c r="DI79" s="25"/>
      <c r="DJ79" s="25"/>
      <c r="DK79" s="25"/>
      <c r="DL79" s="25"/>
      <c r="DM79" s="25"/>
      <c r="DN79" s="25"/>
      <c r="DO79" s="25"/>
      <c r="DP79" s="25"/>
      <c r="DQ79" s="25"/>
      <c r="DR79" s="25"/>
      <c r="DS79" s="13"/>
      <c r="DT79" s="13"/>
      <c r="DU79" s="13"/>
      <c r="DV79" s="17"/>
      <c r="DW79" s="373">
        <f>I79</f>
        <v>1812869.5652173914</v>
      </c>
      <c r="DX79" s="115">
        <f t="shared" si="7"/>
        <v>3625739</v>
      </c>
      <c r="DY79" s="164" t="s">
        <v>323</v>
      </c>
      <c r="DZ79" s="612"/>
      <c r="EA79" s="612"/>
      <c r="EB79" s="612"/>
    </row>
    <row r="80" spans="1:132" ht="89.5" hidden="1" customHeight="1" x14ac:dyDescent="0.3">
      <c r="A80" s="19">
        <v>58</v>
      </c>
      <c r="B80" s="9" t="s">
        <v>15</v>
      </c>
      <c r="C80" s="9" t="s">
        <v>29</v>
      </c>
      <c r="D80" s="9" t="s">
        <v>83</v>
      </c>
      <c r="E80" s="10" t="s">
        <v>362</v>
      </c>
      <c r="F80" s="19" t="s">
        <v>19</v>
      </c>
      <c r="G80" s="11">
        <v>80</v>
      </c>
      <c r="H80" s="11">
        <v>1</v>
      </c>
      <c r="I80" s="191"/>
      <c r="J80" s="191"/>
      <c r="K80" s="191"/>
      <c r="L80" s="191"/>
      <c r="M80" s="191"/>
      <c r="N80" s="191"/>
      <c r="O80" s="211"/>
      <c r="P80" s="212"/>
      <c r="Q80" s="32"/>
      <c r="R80" s="32"/>
      <c r="S80" s="32"/>
      <c r="T80" s="32"/>
      <c r="U80" s="32"/>
      <c r="V80" s="32"/>
      <c r="W80" s="32"/>
      <c r="X80" s="32"/>
      <c r="Y80" s="32"/>
      <c r="Z80" s="32"/>
      <c r="AA80" s="32"/>
      <c r="AB80" s="32"/>
      <c r="AC80" s="32"/>
      <c r="AD80" s="32"/>
      <c r="AE80" s="32"/>
      <c r="AF80" s="32"/>
      <c r="AG80" s="192"/>
      <c r="AH80" s="32"/>
      <c r="AI80" s="32"/>
      <c r="AJ80" s="32"/>
      <c r="AK80" s="32">
        <v>27000</v>
      </c>
      <c r="AL80" s="32">
        <f>AK80*G80</f>
        <v>2160000</v>
      </c>
      <c r="AM80" s="32">
        <f>18000+(18000*5.2%)</f>
        <v>18936</v>
      </c>
      <c r="AN80" s="32">
        <f>AM80*G80</f>
        <v>1514880</v>
      </c>
      <c r="AO80" s="32">
        <f>13400+(13400*5.2%)</f>
        <v>14096.8</v>
      </c>
      <c r="AP80" s="32">
        <f>AO80*G80</f>
        <v>1127744</v>
      </c>
      <c r="AQ80" s="32">
        <f>16900+(16900*5.2%)</f>
        <v>17778.8</v>
      </c>
      <c r="AR80" s="32">
        <f>AQ80*G80</f>
        <v>1422304</v>
      </c>
      <c r="AS80" s="32"/>
      <c r="AT80" s="32"/>
      <c r="AU80" s="32"/>
      <c r="AV80" s="32"/>
      <c r="AW80" s="32"/>
      <c r="AX80" s="32"/>
      <c r="AY80" s="32"/>
      <c r="AZ80" s="32"/>
      <c r="BA80" s="32"/>
      <c r="BB80" s="32"/>
      <c r="BC80" s="32"/>
      <c r="BD80" s="32"/>
      <c r="BE80" s="32"/>
      <c r="BF80" s="32"/>
      <c r="BG80" s="32"/>
      <c r="BH80" s="32"/>
      <c r="BI80" s="32"/>
      <c r="BJ80" s="32"/>
      <c r="BK80" s="192"/>
      <c r="BL80" s="32"/>
      <c r="BM80" s="192"/>
      <c r="BN80" s="32"/>
      <c r="BO80" s="32"/>
      <c r="BP80" s="32"/>
      <c r="BQ80" s="32"/>
      <c r="BR80" s="32"/>
      <c r="BS80" s="32"/>
      <c r="BT80" s="32"/>
      <c r="BU80" s="32"/>
      <c r="BV80" s="32"/>
      <c r="BW80" s="32"/>
      <c r="BX80" s="32"/>
      <c r="BY80" s="32"/>
      <c r="BZ80" s="32"/>
      <c r="CA80" s="32"/>
      <c r="CB80" s="32"/>
      <c r="CC80" s="32"/>
      <c r="CD80" s="32"/>
      <c r="CE80" s="32"/>
      <c r="CF80" s="32"/>
      <c r="CG80" s="32"/>
      <c r="CH80" s="32"/>
      <c r="CI80" s="32"/>
      <c r="CJ80" s="32"/>
      <c r="CK80" s="32"/>
      <c r="CL80" s="32"/>
      <c r="CM80" s="32"/>
      <c r="CN80" s="32"/>
      <c r="CO80" s="32"/>
      <c r="CP80" s="32"/>
      <c r="CQ80" s="32"/>
      <c r="CR80" s="32"/>
      <c r="CS80" s="32"/>
      <c r="CT80" s="32"/>
      <c r="CU80" s="32"/>
      <c r="CV80" s="32"/>
      <c r="CW80" s="245"/>
      <c r="CX80" s="32"/>
      <c r="CY80" s="245"/>
      <c r="CZ80" s="32"/>
      <c r="DA80" s="32"/>
      <c r="DB80" s="32"/>
      <c r="DC80" s="245"/>
      <c r="DD80" s="32"/>
      <c r="DE80" s="32"/>
      <c r="DF80" s="32"/>
      <c r="DG80" s="32"/>
      <c r="DH80" s="32"/>
      <c r="DI80" s="32"/>
      <c r="DJ80" s="32"/>
      <c r="DK80" s="32"/>
      <c r="DL80" s="32"/>
      <c r="DM80" s="32"/>
      <c r="DN80" s="32"/>
      <c r="DO80" s="32"/>
      <c r="DP80" s="32"/>
      <c r="DQ80" s="32"/>
      <c r="DR80" s="32"/>
      <c r="DS80" s="13">
        <f>+MEDIAN(AK80,AM80,AO80,AQ80)</f>
        <v>18357.400000000001</v>
      </c>
      <c r="DT80" s="13">
        <f>+AVERAGE(AK80,AM80,AO80,AQ80)</f>
        <v>19452.900000000001</v>
      </c>
      <c r="DU80" s="13">
        <f>+STDEV(AK80,AM80,AO80,AQ80)</f>
        <v>5438.0242135049912</v>
      </c>
      <c r="DV80" s="17">
        <f t="shared" si="1"/>
        <v>0.27954825313989129</v>
      </c>
      <c r="DW80" s="373">
        <f t="shared" si="2"/>
        <v>18358</v>
      </c>
      <c r="DX80" s="13">
        <f t="shared" si="7"/>
        <v>1468640</v>
      </c>
      <c r="DY80" s="10" t="s">
        <v>309</v>
      </c>
    </row>
    <row r="81" spans="1:129" ht="39" hidden="1" x14ac:dyDescent="0.3">
      <c r="A81" s="19">
        <v>59</v>
      </c>
      <c r="B81" s="9" t="s">
        <v>15</v>
      </c>
      <c r="C81" s="9" t="s">
        <v>29</v>
      </c>
      <c r="D81" s="26" t="s">
        <v>491</v>
      </c>
      <c r="E81" s="10" t="s">
        <v>32</v>
      </c>
      <c r="F81" s="19" t="s">
        <v>31</v>
      </c>
      <c r="G81" s="11">
        <v>1</v>
      </c>
      <c r="H81" s="11">
        <v>10</v>
      </c>
      <c r="I81" s="191"/>
      <c r="J81" s="191"/>
      <c r="K81" s="191"/>
      <c r="L81" s="191"/>
      <c r="M81" s="191"/>
      <c r="N81" s="191"/>
      <c r="O81" s="211"/>
      <c r="P81" s="212"/>
      <c r="Q81" s="32"/>
      <c r="R81" s="32"/>
      <c r="S81" s="32"/>
      <c r="T81" s="32"/>
      <c r="U81" s="32"/>
      <c r="V81" s="32"/>
      <c r="W81" s="32"/>
      <c r="X81" s="32"/>
      <c r="Y81" s="32"/>
      <c r="Z81" s="32"/>
      <c r="AA81" s="32">
        <v>480000</v>
      </c>
      <c r="AB81" s="32">
        <f>AA81*H81</f>
        <v>4800000</v>
      </c>
      <c r="AC81" s="32"/>
      <c r="AD81" s="32"/>
      <c r="AE81" s="32"/>
      <c r="AF81" s="32"/>
      <c r="AG81" s="32">
        <v>495000</v>
      </c>
      <c r="AH81" s="32">
        <f>AG81*G81*H81</f>
        <v>4950000</v>
      </c>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c r="BI81" s="32"/>
      <c r="BJ81" s="32"/>
      <c r="BK81" s="192"/>
      <c r="BL81" s="32"/>
      <c r="BM81" s="192"/>
      <c r="BN81" s="32"/>
      <c r="BO81" s="32"/>
      <c r="BP81" s="32"/>
      <c r="BQ81" s="32"/>
      <c r="BR81" s="32"/>
      <c r="BS81" s="32"/>
      <c r="BT81" s="32"/>
      <c r="BU81" s="32"/>
      <c r="BV81" s="32"/>
      <c r="BW81" s="32"/>
      <c r="BX81" s="32"/>
      <c r="BY81" s="32"/>
      <c r="BZ81" s="32"/>
      <c r="CA81" s="32"/>
      <c r="CB81" s="32"/>
      <c r="CC81" s="32"/>
      <c r="CD81" s="32"/>
      <c r="CE81" s="32"/>
      <c r="CF81" s="32"/>
      <c r="CG81" s="32"/>
      <c r="CH81" s="32"/>
      <c r="CI81" s="32"/>
      <c r="CJ81" s="32"/>
      <c r="CK81" s="32"/>
      <c r="CL81" s="32"/>
      <c r="CM81" s="32"/>
      <c r="CN81" s="32"/>
      <c r="CO81" s="32"/>
      <c r="CP81" s="32"/>
      <c r="CQ81" s="32"/>
      <c r="CR81" s="32"/>
      <c r="CS81" s="32"/>
      <c r="CT81" s="32"/>
      <c r="CU81" s="32"/>
      <c r="CV81" s="32"/>
      <c r="CW81" s="32"/>
      <c r="CX81" s="32"/>
      <c r="CY81" s="32"/>
      <c r="CZ81" s="32"/>
      <c r="DA81" s="32"/>
      <c r="DB81" s="32"/>
      <c r="DC81" s="32"/>
      <c r="DD81" s="32"/>
      <c r="DE81" s="32"/>
      <c r="DF81" s="32"/>
      <c r="DG81" s="32"/>
      <c r="DH81" s="32"/>
      <c r="DI81" s="32"/>
      <c r="DJ81" s="32"/>
      <c r="DK81" s="32"/>
      <c r="DL81" s="32"/>
      <c r="DM81" s="32"/>
      <c r="DN81" s="32"/>
      <c r="DO81" s="32"/>
      <c r="DP81" s="32"/>
      <c r="DQ81" s="32"/>
      <c r="DR81" s="32"/>
      <c r="DS81" s="13">
        <f>+MEDIAN(AA81,AG81)</f>
        <v>487500</v>
      </c>
      <c r="DT81" s="13">
        <f>+AVERAGE(AA81,AG81)</f>
        <v>487500</v>
      </c>
      <c r="DU81" s="13">
        <f>+STDEV(AA81,AG81)</f>
        <v>10606.601717798212</v>
      </c>
      <c r="DV81" s="17">
        <f>DU81/DT81</f>
        <v>2.1757131728816846E-2</v>
      </c>
      <c r="DW81" s="373">
        <f>+ROUNDUP(IF(DV81&lt;15%,DT81,DS81),0)</f>
        <v>487500</v>
      </c>
      <c r="DX81" s="13">
        <f t="shared" si="7"/>
        <v>4875000</v>
      </c>
      <c r="DY81" s="10" t="s">
        <v>308</v>
      </c>
    </row>
    <row r="82" spans="1:129" ht="78" hidden="1" x14ac:dyDescent="0.3">
      <c r="A82" s="19">
        <v>60</v>
      </c>
      <c r="B82" s="9" t="s">
        <v>15</v>
      </c>
      <c r="C82" s="648" t="s">
        <v>29</v>
      </c>
      <c r="D82" s="9" t="s">
        <v>1341</v>
      </c>
      <c r="E82" s="10" t="s">
        <v>1336</v>
      </c>
      <c r="F82" s="35" t="s">
        <v>19</v>
      </c>
      <c r="G82" s="11">
        <v>3</v>
      </c>
      <c r="H82" s="11"/>
      <c r="I82" s="649"/>
      <c r="J82" s="649"/>
      <c r="K82" s="649"/>
      <c r="L82" s="649"/>
      <c r="M82" s="649"/>
      <c r="N82" s="649"/>
      <c r="O82" s="650"/>
      <c r="P82" s="651"/>
      <c r="Q82" s="205"/>
      <c r="R82" s="205"/>
      <c r="S82" s="205"/>
      <c r="T82" s="205"/>
      <c r="U82" s="205"/>
      <c r="V82" s="205"/>
      <c r="W82" s="205"/>
      <c r="X82" s="205"/>
      <c r="Y82" s="205"/>
      <c r="Z82" s="205"/>
      <c r="AA82" s="205">
        <v>350000</v>
      </c>
      <c r="AB82" s="205">
        <f>AA82*H82</f>
        <v>0</v>
      </c>
      <c r="AC82" s="205"/>
      <c r="AD82" s="206"/>
      <c r="AE82" s="206"/>
      <c r="AF82" s="206"/>
      <c r="AG82" s="205">
        <v>350000</v>
      </c>
      <c r="AH82" s="205">
        <f>AG82*G82*H82</f>
        <v>0</v>
      </c>
      <c r="AI82" s="205"/>
      <c r="AJ82" s="205"/>
      <c r="AK82" s="205"/>
      <c r="AL82" s="205"/>
      <c r="AM82" s="205"/>
      <c r="AN82" s="205"/>
      <c r="AO82" s="205"/>
      <c r="AP82" s="205"/>
      <c r="AQ82" s="205"/>
      <c r="AR82" s="205"/>
      <c r="AS82" s="205"/>
      <c r="AT82" s="205"/>
      <c r="AU82" s="205"/>
      <c r="AV82" s="205"/>
      <c r="AW82" s="205"/>
      <c r="AX82" s="205"/>
      <c r="AY82" s="205"/>
      <c r="AZ82" s="205"/>
      <c r="BA82" s="205"/>
      <c r="BB82" s="205"/>
      <c r="BC82" s="205"/>
      <c r="BD82" s="205"/>
      <c r="BE82" s="205"/>
      <c r="BF82" s="205"/>
      <c r="BG82" s="205"/>
      <c r="BH82" s="205"/>
      <c r="BI82" s="205"/>
      <c r="BJ82" s="205"/>
      <c r="BK82" s="206"/>
      <c r="BL82" s="205"/>
      <c r="BM82" s="206"/>
      <c r="BN82" s="205"/>
      <c r="BO82" s="205"/>
      <c r="BP82" s="205"/>
      <c r="BQ82" s="205"/>
      <c r="BR82" s="205"/>
      <c r="BS82" s="205"/>
      <c r="BT82" s="205"/>
      <c r="BU82" s="205"/>
      <c r="BV82" s="205"/>
      <c r="BW82" s="205"/>
      <c r="BX82" s="205"/>
      <c r="BY82" s="205"/>
      <c r="BZ82" s="205"/>
      <c r="CA82" s="205"/>
      <c r="CB82" s="205"/>
      <c r="CC82" s="205"/>
      <c r="CD82" s="205"/>
      <c r="CE82" s="205"/>
      <c r="CF82" s="205"/>
      <c r="CG82" s="205"/>
      <c r="CH82" s="205"/>
      <c r="CI82" s="205"/>
      <c r="CJ82" s="205"/>
      <c r="CK82" s="205"/>
      <c r="CL82" s="205"/>
      <c r="CM82" s="205"/>
      <c r="CN82" s="205"/>
      <c r="CO82" s="205"/>
      <c r="CP82" s="205"/>
      <c r="CQ82" s="205"/>
      <c r="CR82" s="205"/>
      <c r="CS82" s="205"/>
      <c r="CT82" s="205"/>
      <c r="CU82" s="205"/>
      <c r="CV82" s="205"/>
      <c r="CW82" s="205"/>
      <c r="CX82" s="205"/>
      <c r="CY82" s="205"/>
      <c r="CZ82" s="205"/>
      <c r="DA82" s="205"/>
      <c r="DB82" s="205"/>
      <c r="DC82" s="205"/>
      <c r="DD82" s="205"/>
      <c r="DE82" s="205"/>
      <c r="DF82" s="205"/>
      <c r="DG82" s="205"/>
      <c r="DH82" s="205"/>
      <c r="DI82" s="205"/>
      <c r="DJ82" s="205"/>
      <c r="DK82" s="205"/>
      <c r="DL82" s="205"/>
      <c r="DM82" s="205"/>
      <c r="DN82" s="205"/>
      <c r="DO82" s="659">
        <v>658000</v>
      </c>
      <c r="DP82" s="205">
        <f>DO82*G82</f>
        <v>1974000</v>
      </c>
      <c r="DQ82" s="659">
        <v>690000</v>
      </c>
      <c r="DR82" s="205">
        <f>DQ82*G82</f>
        <v>2070000</v>
      </c>
      <c r="DS82" s="656">
        <f>+MEDIAN(DO82,DQ82)</f>
        <v>674000</v>
      </c>
      <c r="DT82" s="656">
        <f>+AVERAGE(DO82,DQ82)</f>
        <v>674000</v>
      </c>
      <c r="DU82" s="656">
        <f>+STDEV(DO82,DQ82)</f>
        <v>22627.416997969522</v>
      </c>
      <c r="DV82" s="657">
        <f t="shared" si="1"/>
        <v>3.3571835308560123E-2</v>
      </c>
      <c r="DW82" s="662">
        <f t="shared" si="2"/>
        <v>674000</v>
      </c>
      <c r="DX82" s="13">
        <f>+ROUND(DW82*G82,0)</f>
        <v>2022000</v>
      </c>
      <c r="DY82" s="10" t="s">
        <v>308</v>
      </c>
    </row>
    <row r="83" spans="1:129" ht="39" hidden="1" x14ac:dyDescent="0.3">
      <c r="A83" s="19">
        <v>61</v>
      </c>
      <c r="B83" s="9" t="s">
        <v>15</v>
      </c>
      <c r="C83" s="9" t="s">
        <v>29</v>
      </c>
      <c r="D83" s="26" t="s">
        <v>367</v>
      </c>
      <c r="E83" s="10" t="s">
        <v>266</v>
      </c>
      <c r="F83" s="116" t="s">
        <v>240</v>
      </c>
      <c r="G83" s="108">
        <v>2</v>
      </c>
      <c r="H83" s="108">
        <v>10</v>
      </c>
      <c r="I83" s="191"/>
      <c r="J83" s="191"/>
      <c r="K83" s="191"/>
      <c r="L83" s="191"/>
      <c r="M83" s="191"/>
      <c r="N83" s="191"/>
      <c r="O83" s="211"/>
      <c r="P83" s="212"/>
      <c r="Q83" s="32"/>
      <c r="R83" s="32"/>
      <c r="S83" s="32"/>
      <c r="T83" s="32"/>
      <c r="U83" s="32"/>
      <c r="V83" s="32"/>
      <c r="W83" s="32"/>
      <c r="X83" s="32"/>
      <c r="Y83" s="32">
        <f>108182+(108182*5.2%)</f>
        <v>113807.46400000001</v>
      </c>
      <c r="Z83" s="32">
        <f>Y83*G83</f>
        <v>227614.92800000001</v>
      </c>
      <c r="AA83" s="32"/>
      <c r="AB83" s="32"/>
      <c r="AC83" s="32">
        <f>100000+(100000*5.2%)</f>
        <v>105200</v>
      </c>
      <c r="AD83" s="257">
        <f>AC83*G83</f>
        <v>210400</v>
      </c>
      <c r="AE83" s="32"/>
      <c r="AF83" s="32"/>
      <c r="AH83" s="32"/>
      <c r="AI83" s="32"/>
      <c r="AJ83" s="32"/>
      <c r="AK83" s="32"/>
      <c r="AL83" s="32"/>
      <c r="AM83" s="32"/>
      <c r="AN83" s="32"/>
      <c r="AO83" s="32"/>
      <c r="AP83" s="32"/>
      <c r="AQ83" s="32"/>
      <c r="AR83" s="32"/>
      <c r="AS83" s="32"/>
      <c r="AT83" s="32"/>
      <c r="AU83" s="32"/>
      <c r="AV83" s="32"/>
      <c r="AW83" s="32"/>
      <c r="AX83" s="32"/>
      <c r="AY83" s="32"/>
      <c r="AZ83" s="32"/>
      <c r="BA83" s="32">
        <f>107000+(107000*5.2%)</f>
        <v>112564</v>
      </c>
      <c r="BB83" s="32">
        <f>BA83*G83</f>
        <v>225128</v>
      </c>
      <c r="BC83" s="32"/>
      <c r="BD83" s="32"/>
      <c r="BE83" s="32"/>
      <c r="BF83" s="32"/>
      <c r="BG83" s="32"/>
      <c r="BH83" s="32"/>
      <c r="BI83" s="32"/>
      <c r="BJ83" s="32"/>
      <c r="BK83" s="192"/>
      <c r="BL83" s="32"/>
      <c r="BM83" s="192"/>
      <c r="BN83" s="32"/>
      <c r="BO83" s="32"/>
      <c r="BP83" s="32"/>
      <c r="BQ83" s="32"/>
      <c r="BR83" s="32"/>
      <c r="BS83" s="32"/>
      <c r="BT83" s="32"/>
      <c r="BU83" s="32"/>
      <c r="BV83" s="32"/>
      <c r="BW83" s="32"/>
      <c r="BX83" s="32"/>
      <c r="BY83" s="32"/>
      <c r="BZ83" s="32"/>
      <c r="CA83" s="32"/>
      <c r="CB83" s="32"/>
      <c r="CC83" s="32"/>
      <c r="CD83" s="32"/>
      <c r="CE83" s="32"/>
      <c r="CF83" s="32"/>
      <c r="CG83" s="32"/>
      <c r="CH83" s="32"/>
      <c r="CI83" s="32"/>
      <c r="CJ83" s="32"/>
      <c r="CK83" s="32"/>
      <c r="CL83" s="32"/>
      <c r="CM83" s="32"/>
      <c r="CN83" s="32"/>
      <c r="CO83" s="32"/>
      <c r="CP83" s="32"/>
      <c r="CQ83" s="32"/>
      <c r="CR83" s="32"/>
      <c r="CS83" s="32"/>
      <c r="CT83" s="32"/>
      <c r="CU83" s="32"/>
      <c r="CV83" s="32"/>
      <c r="CW83" s="32"/>
      <c r="CX83" s="32"/>
      <c r="CY83" s="32"/>
      <c r="CZ83" s="32"/>
      <c r="DA83" s="32"/>
      <c r="DB83" s="32"/>
      <c r="DC83" s="32"/>
      <c r="DD83" s="32"/>
      <c r="DE83" s="32"/>
      <c r="DF83" s="32"/>
      <c r="DG83" s="32"/>
      <c r="DH83" s="32"/>
      <c r="DI83" s="32"/>
      <c r="DJ83" s="32"/>
      <c r="DK83" s="32"/>
      <c r="DL83" s="32"/>
      <c r="DM83" s="32"/>
      <c r="DN83" s="32"/>
      <c r="DO83" s="32"/>
      <c r="DP83" s="32"/>
      <c r="DQ83" s="32"/>
      <c r="DR83" s="32"/>
      <c r="DS83" s="13">
        <f>+MEDIAN(Y83,AC83,BA83)</f>
        <v>112564</v>
      </c>
      <c r="DT83" s="13">
        <f>+AVERAGE(Y83,AC83,BA83)</f>
        <v>110523.82133333334</v>
      </c>
      <c r="DU83" s="13">
        <f>+STDEV(Y83,AC83,BA83)</f>
        <v>4652.2957635736529</v>
      </c>
      <c r="DV83" s="17">
        <f>DU83/DT83</f>
        <v>4.2093149761286329E-2</v>
      </c>
      <c r="DW83" s="373">
        <f>+ROUNDUP(IF(DV83&lt;15%,DT83,DS83),0)</f>
        <v>110524</v>
      </c>
      <c r="DX83" s="13">
        <f t="shared" si="7"/>
        <v>2210480</v>
      </c>
      <c r="DY83" s="10" t="s">
        <v>308</v>
      </c>
    </row>
    <row r="84" spans="1:129" ht="39" hidden="1" x14ac:dyDescent="0.3">
      <c r="A84" s="19">
        <v>62</v>
      </c>
      <c r="B84" s="9" t="s">
        <v>15</v>
      </c>
      <c r="C84" s="9" t="s">
        <v>29</v>
      </c>
      <c r="D84" s="26" t="s">
        <v>504</v>
      </c>
      <c r="E84" s="10" t="s">
        <v>30</v>
      </c>
      <c r="F84" s="19" t="s">
        <v>31</v>
      </c>
      <c r="G84" s="11">
        <v>2</v>
      </c>
      <c r="H84" s="11">
        <v>10</v>
      </c>
      <c r="I84" s="191"/>
      <c r="J84" s="191"/>
      <c r="K84" s="191"/>
      <c r="L84" s="191"/>
      <c r="M84" s="191"/>
      <c r="N84" s="191"/>
      <c r="O84" s="211"/>
      <c r="P84" s="212"/>
      <c r="Q84" s="32"/>
      <c r="R84" s="32"/>
      <c r="S84" s="32"/>
      <c r="T84" s="32"/>
      <c r="U84" s="32"/>
      <c r="V84" s="32"/>
      <c r="W84" s="32"/>
      <c r="X84" s="32"/>
      <c r="Y84" s="32"/>
      <c r="Z84" s="32"/>
      <c r="AA84" s="32">
        <v>4000</v>
      </c>
      <c r="AB84" s="32">
        <f>AA84*H84</f>
        <v>40000</v>
      </c>
      <c r="AC84" s="32"/>
      <c r="AE84" s="192"/>
      <c r="AF84" s="192"/>
      <c r="AG84" s="241">
        <v>3800</v>
      </c>
      <c r="AH84" s="32">
        <f>AG84*G84*H84</f>
        <v>76000</v>
      </c>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c r="BI84" s="32"/>
      <c r="BJ84" s="32"/>
      <c r="BK84" s="192"/>
      <c r="BL84" s="32"/>
      <c r="BM84" s="192"/>
      <c r="BN84" s="32"/>
      <c r="BO84" s="32"/>
      <c r="BP84" s="32"/>
      <c r="BQ84" s="32"/>
      <c r="BR84" s="32"/>
      <c r="BS84" s="32"/>
      <c r="BT84" s="32"/>
      <c r="BU84" s="32"/>
      <c r="BV84" s="32"/>
      <c r="BW84" s="32"/>
      <c r="BX84" s="32"/>
      <c r="BY84" s="32"/>
      <c r="BZ84" s="32"/>
      <c r="CA84" s="32"/>
      <c r="CB84" s="32"/>
      <c r="CC84" s="32"/>
      <c r="CD84" s="32"/>
      <c r="CE84" s="32"/>
      <c r="CF84" s="32"/>
      <c r="CG84" s="32"/>
      <c r="CH84" s="32"/>
      <c r="CI84" s="32"/>
      <c r="CJ84" s="32"/>
      <c r="CK84" s="32"/>
      <c r="CL84" s="32"/>
      <c r="CM84" s="32"/>
      <c r="CN84" s="32"/>
      <c r="CO84" s="32"/>
      <c r="CP84" s="32"/>
      <c r="CQ84" s="32"/>
      <c r="CR84" s="32"/>
      <c r="CS84" s="32"/>
      <c r="CT84" s="32"/>
      <c r="CU84" s="32"/>
      <c r="CV84" s="32"/>
      <c r="CW84" s="32"/>
      <c r="CX84" s="32"/>
      <c r="CY84" s="32"/>
      <c r="CZ84" s="32"/>
      <c r="DA84" s="32"/>
      <c r="DB84" s="32"/>
      <c r="DC84" s="32"/>
      <c r="DD84" s="32"/>
      <c r="DE84" s="32"/>
      <c r="DF84" s="32"/>
      <c r="DG84" s="32"/>
      <c r="DH84" s="32"/>
      <c r="DI84" s="32"/>
      <c r="DJ84" s="32"/>
      <c r="DK84" s="32"/>
      <c r="DL84" s="32"/>
      <c r="DM84" s="32"/>
      <c r="DN84" s="32"/>
      <c r="DO84" s="32"/>
      <c r="DP84" s="32"/>
      <c r="DQ84" s="32"/>
      <c r="DR84" s="32"/>
      <c r="DS84" s="13">
        <f>+MEDIAN(AA84,AG84)</f>
        <v>3900</v>
      </c>
      <c r="DT84" s="13">
        <f>+AVERAGE(AA84,AG84)</f>
        <v>3900</v>
      </c>
      <c r="DU84" s="13">
        <f>+STDEV(AA84,AG84)</f>
        <v>141.42135623730951</v>
      </c>
      <c r="DV84" s="17">
        <f t="shared" si="1"/>
        <v>3.6261886214694748E-2</v>
      </c>
      <c r="DW84" s="373">
        <f t="shared" si="2"/>
        <v>3900</v>
      </c>
      <c r="DX84" s="13">
        <f t="shared" si="7"/>
        <v>78000</v>
      </c>
      <c r="DY84" s="10" t="s">
        <v>308</v>
      </c>
    </row>
    <row r="85" spans="1:129" ht="39" hidden="1" x14ac:dyDescent="0.3">
      <c r="A85" s="19">
        <v>63</v>
      </c>
      <c r="B85" s="9" t="s">
        <v>15</v>
      </c>
      <c r="C85" s="9" t="s">
        <v>29</v>
      </c>
      <c r="D85" s="26" t="s">
        <v>508</v>
      </c>
      <c r="E85" s="10" t="s">
        <v>438</v>
      </c>
      <c r="F85" s="19" t="s">
        <v>21</v>
      </c>
      <c r="G85" s="11">
        <v>5000</v>
      </c>
      <c r="H85" s="11">
        <v>1</v>
      </c>
      <c r="I85" s="191"/>
      <c r="J85" s="191"/>
      <c r="K85" s="191"/>
      <c r="L85" s="191"/>
      <c r="M85" s="191"/>
      <c r="N85" s="191"/>
      <c r="O85" s="211"/>
      <c r="P85" s="212"/>
      <c r="Q85" s="32"/>
      <c r="R85" s="32"/>
      <c r="S85" s="32"/>
      <c r="T85" s="32"/>
      <c r="U85" s="32"/>
      <c r="V85" s="32"/>
      <c r="W85" s="32"/>
      <c r="X85" s="32"/>
      <c r="Y85" s="32"/>
      <c r="Z85" s="32"/>
      <c r="AA85" s="32"/>
      <c r="AB85" s="32"/>
      <c r="AC85" s="32"/>
      <c r="AD85" s="32"/>
      <c r="AE85" s="32"/>
      <c r="AF85" s="32"/>
      <c r="AG85" s="19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c r="BI85" s="32"/>
      <c r="BJ85" s="32"/>
      <c r="BK85" s="246"/>
      <c r="BL85" s="32"/>
      <c r="BM85" s="246">
        <v>600</v>
      </c>
      <c r="BN85" s="32">
        <f>BM85*G85</f>
        <v>3000000</v>
      </c>
      <c r="BO85" s="32"/>
      <c r="BP85" s="32"/>
      <c r="BQ85" s="246">
        <f>+ROUND(350+(350*19%),0)</f>
        <v>417</v>
      </c>
      <c r="BR85" s="32">
        <f>BQ85*G85</f>
        <v>2085000</v>
      </c>
      <c r="BS85" s="32"/>
      <c r="BT85" s="32"/>
      <c r="BU85" s="32"/>
      <c r="BV85" s="32"/>
      <c r="BW85" s="32"/>
      <c r="BX85" s="32"/>
      <c r="BY85" s="32"/>
      <c r="BZ85" s="32"/>
      <c r="CA85" s="32"/>
      <c r="CB85" s="32"/>
      <c r="CC85" s="32"/>
      <c r="CD85" s="32"/>
      <c r="CE85" s="32"/>
      <c r="CF85" s="32"/>
      <c r="CG85" s="32"/>
      <c r="CH85" s="32"/>
      <c r="CI85" s="32"/>
      <c r="CJ85" s="32"/>
      <c r="CK85" s="32"/>
      <c r="CL85" s="32"/>
      <c r="CM85" s="32"/>
      <c r="CN85" s="32"/>
      <c r="CO85" s="32"/>
      <c r="CP85" s="32"/>
      <c r="CQ85" s="32"/>
      <c r="CR85" s="32"/>
      <c r="CS85" s="32"/>
      <c r="CT85" s="32"/>
      <c r="CU85" s="32"/>
      <c r="CV85" s="32"/>
      <c r="CW85" s="32"/>
      <c r="CX85" s="32"/>
      <c r="CY85" s="32"/>
      <c r="CZ85" s="32"/>
      <c r="DA85" s="32"/>
      <c r="DB85" s="32"/>
      <c r="DC85" s="32"/>
      <c r="DD85" s="32"/>
      <c r="DE85" s="32"/>
      <c r="DF85" s="32"/>
      <c r="DG85" s="32"/>
      <c r="DH85" s="32"/>
      <c r="DI85" s="32"/>
      <c r="DJ85" s="32"/>
      <c r="DK85" s="32"/>
      <c r="DL85" s="32"/>
      <c r="DM85" s="32"/>
      <c r="DN85" s="32"/>
      <c r="DO85" s="32"/>
      <c r="DP85" s="32"/>
      <c r="DQ85" s="32"/>
      <c r="DR85" s="32"/>
      <c r="DS85" s="13">
        <f>+MEDIAN(BM85,BQ85)</f>
        <v>508.5</v>
      </c>
      <c r="DT85" s="13">
        <f>+AVERAGE(BM85,BQ85)</f>
        <v>508.5</v>
      </c>
      <c r="DU85" s="13">
        <f>+STDEV(BM85,BQ85)</f>
        <v>129.40054095713819</v>
      </c>
      <c r="DV85" s="17">
        <f t="shared" si="1"/>
        <v>0.2544750067986985</v>
      </c>
      <c r="DW85" s="373">
        <f t="shared" si="2"/>
        <v>509</v>
      </c>
      <c r="DX85" s="13">
        <f t="shared" si="7"/>
        <v>2545000</v>
      </c>
      <c r="DY85" s="10" t="s">
        <v>309</v>
      </c>
    </row>
    <row r="86" spans="1:129" ht="234" hidden="1" x14ac:dyDescent="0.3">
      <c r="A86" s="19">
        <v>64</v>
      </c>
      <c r="B86" s="9" t="s">
        <v>15</v>
      </c>
      <c r="C86" s="9" t="s">
        <v>29</v>
      </c>
      <c r="D86" s="9" t="s">
        <v>83</v>
      </c>
      <c r="E86" s="10" t="s">
        <v>84</v>
      </c>
      <c r="F86" s="9" t="s">
        <v>19</v>
      </c>
      <c r="G86" s="11">
        <v>100</v>
      </c>
      <c r="H86" s="11">
        <v>2</v>
      </c>
      <c r="I86" s="191"/>
      <c r="J86" s="191"/>
      <c r="K86" s="191"/>
      <c r="L86" s="191"/>
      <c r="M86" s="191"/>
      <c r="N86" s="191"/>
      <c r="O86" s="211"/>
      <c r="P86" s="212"/>
      <c r="Q86" s="32"/>
      <c r="R86" s="32"/>
      <c r="S86" s="32"/>
      <c r="T86" s="32"/>
      <c r="U86" s="32"/>
      <c r="V86" s="32"/>
      <c r="W86" s="32"/>
      <c r="X86" s="32"/>
      <c r="Y86" s="32"/>
      <c r="Z86" s="32"/>
      <c r="AA86" s="32"/>
      <c r="AB86" s="32"/>
      <c r="AC86" s="32"/>
      <c r="AD86" s="32"/>
      <c r="AE86" s="32"/>
      <c r="AF86" s="32"/>
      <c r="AG86" s="192"/>
      <c r="AH86" s="32"/>
      <c r="AI86" s="32"/>
      <c r="AJ86" s="32"/>
      <c r="AK86" s="32">
        <v>27000</v>
      </c>
      <c r="AL86" s="32">
        <f>AK86*G86</f>
        <v>2700000</v>
      </c>
      <c r="AM86" s="32">
        <f>18000+(18000*5.2%)</f>
        <v>18936</v>
      </c>
      <c r="AN86" s="32">
        <f>AM86*G86</f>
        <v>1893600</v>
      </c>
      <c r="AO86" s="32">
        <f>13400+(13400*5.2%)</f>
        <v>14096.8</v>
      </c>
      <c r="AP86" s="32">
        <f>AO86*G86</f>
        <v>1409680</v>
      </c>
      <c r="AQ86" s="32">
        <f>16900+(16900*5.2%)</f>
        <v>17778.8</v>
      </c>
      <c r="AR86" s="32">
        <f>AQ86*G86</f>
        <v>1777880</v>
      </c>
      <c r="AS86" s="32"/>
      <c r="AT86" s="32"/>
      <c r="AU86" s="32"/>
      <c r="AV86" s="32"/>
      <c r="AW86" s="32"/>
      <c r="AX86" s="32"/>
      <c r="AY86" s="32"/>
      <c r="AZ86" s="32"/>
      <c r="BA86" s="32"/>
      <c r="BB86" s="32"/>
      <c r="BC86" s="32"/>
      <c r="BD86" s="32"/>
      <c r="BE86" s="32"/>
      <c r="BF86" s="32"/>
      <c r="BG86" s="32"/>
      <c r="BH86" s="32"/>
      <c r="BI86" s="32"/>
      <c r="BJ86" s="32"/>
      <c r="BK86" s="192"/>
      <c r="BL86" s="32"/>
      <c r="BM86" s="192"/>
      <c r="BN86" s="32"/>
      <c r="BO86" s="32"/>
      <c r="BP86" s="32"/>
      <c r="BQ86" s="32"/>
      <c r="BR86" s="32"/>
      <c r="BS86" s="32"/>
      <c r="BT86" s="32"/>
      <c r="BU86" s="32"/>
      <c r="BV86" s="32"/>
      <c r="BW86" s="32"/>
      <c r="BX86" s="32"/>
      <c r="BY86" s="32"/>
      <c r="BZ86" s="32"/>
      <c r="CA86" s="32"/>
      <c r="CB86" s="32"/>
      <c r="CC86" s="32"/>
      <c r="CD86" s="32"/>
      <c r="CE86" s="32"/>
      <c r="CF86" s="32"/>
      <c r="CG86" s="32"/>
      <c r="CH86" s="32"/>
      <c r="CI86" s="32"/>
      <c r="CJ86" s="32"/>
      <c r="CK86" s="32"/>
      <c r="CL86" s="32"/>
      <c r="CM86" s="32"/>
      <c r="CN86" s="32"/>
      <c r="CO86" s="32"/>
      <c r="CP86" s="32"/>
      <c r="CQ86" s="32"/>
      <c r="CR86" s="32"/>
      <c r="CS86" s="32"/>
      <c r="CT86" s="32"/>
      <c r="CU86" s="32"/>
      <c r="CV86" s="32"/>
      <c r="CW86" s="245"/>
      <c r="CX86" s="32"/>
      <c r="CY86" s="245"/>
      <c r="CZ86" s="32"/>
      <c r="DA86" s="32"/>
      <c r="DB86" s="32"/>
      <c r="DC86" s="245"/>
      <c r="DD86" s="32"/>
      <c r="DE86" s="32"/>
      <c r="DF86" s="32"/>
      <c r="DG86" s="32"/>
      <c r="DH86" s="32"/>
      <c r="DI86" s="32"/>
      <c r="DJ86" s="32"/>
      <c r="DK86" s="32"/>
      <c r="DL86" s="32"/>
      <c r="DM86" s="32"/>
      <c r="DN86" s="32"/>
      <c r="DO86" s="32"/>
      <c r="DP86" s="32"/>
      <c r="DQ86" s="32"/>
      <c r="DR86" s="32"/>
      <c r="DS86" s="13">
        <f>+MEDIAN(AK86,AM86,AO86,AQ86)</f>
        <v>18357.400000000001</v>
      </c>
      <c r="DT86" s="13">
        <f>+AVERAGE(AK86,AM86,AO86,AQ86)</f>
        <v>19452.900000000001</v>
      </c>
      <c r="DU86" s="13">
        <f>+STDEV(AK86,AM86,AO86,AQ86)</f>
        <v>5438.0242135049912</v>
      </c>
      <c r="DV86" s="17">
        <f t="shared" si="1"/>
        <v>0.27954825313989129</v>
      </c>
      <c r="DW86" s="373">
        <f t="shared" si="2"/>
        <v>18358</v>
      </c>
      <c r="DX86" s="13">
        <f t="shared" si="7"/>
        <v>3671600</v>
      </c>
      <c r="DY86" s="10" t="s">
        <v>309</v>
      </c>
    </row>
    <row r="87" spans="1:129" ht="39" hidden="1" x14ac:dyDescent="0.3">
      <c r="A87" s="19">
        <v>65</v>
      </c>
      <c r="B87" s="9" t="s">
        <v>15</v>
      </c>
      <c r="C87" s="9" t="s">
        <v>29</v>
      </c>
      <c r="D87" s="26" t="s">
        <v>491</v>
      </c>
      <c r="E87" s="10" t="s">
        <v>32</v>
      </c>
      <c r="F87" s="19" t="s">
        <v>31</v>
      </c>
      <c r="G87" s="11">
        <v>4</v>
      </c>
      <c r="H87" s="11">
        <v>2</v>
      </c>
      <c r="I87" s="191"/>
      <c r="J87" s="191"/>
      <c r="K87" s="191"/>
      <c r="L87" s="191"/>
      <c r="M87" s="191"/>
      <c r="N87" s="191"/>
      <c r="O87" s="211"/>
      <c r="P87" s="212"/>
      <c r="Q87" s="32"/>
      <c r="R87" s="32"/>
      <c r="S87" s="32"/>
      <c r="T87" s="32"/>
      <c r="U87" s="32"/>
      <c r="V87" s="32"/>
      <c r="W87" s="32"/>
      <c r="X87" s="32"/>
      <c r="Y87" s="32"/>
      <c r="Z87" s="32"/>
      <c r="AA87" s="32">
        <v>480000</v>
      </c>
      <c r="AB87" s="32">
        <f>AA87*H87</f>
        <v>960000</v>
      </c>
      <c r="AC87" s="32"/>
      <c r="AD87" s="32"/>
      <c r="AE87" s="32"/>
      <c r="AF87" s="32"/>
      <c r="AG87" s="32">
        <v>495000</v>
      </c>
      <c r="AH87" s="32">
        <f>AG87*G87*H87</f>
        <v>3960000</v>
      </c>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c r="BI87" s="32"/>
      <c r="BJ87" s="32"/>
      <c r="BK87" s="192"/>
      <c r="BL87" s="32"/>
      <c r="BM87" s="192"/>
      <c r="BN87" s="32"/>
      <c r="BO87" s="32"/>
      <c r="BP87" s="32"/>
      <c r="BQ87" s="32"/>
      <c r="BR87" s="32"/>
      <c r="BS87" s="32"/>
      <c r="BT87" s="32"/>
      <c r="BU87" s="32"/>
      <c r="BV87" s="32"/>
      <c r="BW87" s="32"/>
      <c r="BX87" s="32"/>
      <c r="BY87" s="32"/>
      <c r="BZ87" s="32"/>
      <c r="CA87" s="32"/>
      <c r="CB87" s="32"/>
      <c r="CC87" s="32"/>
      <c r="CD87" s="32"/>
      <c r="CE87" s="32"/>
      <c r="CF87" s="32"/>
      <c r="CG87" s="32"/>
      <c r="CH87" s="32"/>
      <c r="CI87" s="32"/>
      <c r="CJ87" s="32"/>
      <c r="CK87" s="32"/>
      <c r="CL87" s="32"/>
      <c r="CM87" s="32"/>
      <c r="CN87" s="32"/>
      <c r="CO87" s="32"/>
      <c r="CP87" s="32"/>
      <c r="CQ87" s="32"/>
      <c r="CR87" s="32"/>
      <c r="CS87" s="32"/>
      <c r="CT87" s="32"/>
      <c r="CU87" s="32"/>
      <c r="CV87" s="32"/>
      <c r="CW87" s="32"/>
      <c r="CX87" s="32"/>
      <c r="CY87" s="32"/>
      <c r="CZ87" s="32"/>
      <c r="DA87" s="32"/>
      <c r="DB87" s="32"/>
      <c r="DC87" s="32"/>
      <c r="DD87" s="32"/>
      <c r="DE87" s="32"/>
      <c r="DF87" s="32"/>
      <c r="DG87" s="32"/>
      <c r="DH87" s="32"/>
      <c r="DI87" s="32"/>
      <c r="DJ87" s="32"/>
      <c r="DK87" s="32"/>
      <c r="DL87" s="32"/>
      <c r="DM87" s="32"/>
      <c r="DN87" s="32"/>
      <c r="DO87" s="32"/>
      <c r="DP87" s="32"/>
      <c r="DQ87" s="32"/>
      <c r="DR87" s="32"/>
      <c r="DS87" s="13">
        <f>+MEDIAN(AA87,AG87)</f>
        <v>487500</v>
      </c>
      <c r="DT87" s="13">
        <f>+AVERAGE(AA87,AG87)</f>
        <v>487500</v>
      </c>
      <c r="DU87" s="13">
        <f>+STDEV(AA87,AG87)</f>
        <v>10606.601717798212</v>
      </c>
      <c r="DV87" s="17">
        <f>DU87/DT87</f>
        <v>2.1757131728816846E-2</v>
      </c>
      <c r="DW87" s="373">
        <f>+ROUNDUP(IF(DV87&lt;15%,DT87,DS87),0)</f>
        <v>487500</v>
      </c>
      <c r="DX87" s="13">
        <f t="shared" si="7"/>
        <v>3900000</v>
      </c>
      <c r="DY87" s="10" t="s">
        <v>308</v>
      </c>
    </row>
    <row r="88" spans="1:129" ht="39" hidden="1" x14ac:dyDescent="0.3">
      <c r="A88" s="19">
        <v>66</v>
      </c>
      <c r="B88" s="9" t="s">
        <v>15</v>
      </c>
      <c r="C88" s="9" t="s">
        <v>29</v>
      </c>
      <c r="D88" s="26" t="s">
        <v>504</v>
      </c>
      <c r="E88" s="10" t="s">
        <v>30</v>
      </c>
      <c r="F88" s="19" t="s">
        <v>31</v>
      </c>
      <c r="G88" s="11">
        <v>100</v>
      </c>
      <c r="H88" s="11">
        <v>2</v>
      </c>
      <c r="I88" s="191"/>
      <c r="J88" s="191"/>
      <c r="K88" s="191"/>
      <c r="L88" s="191"/>
      <c r="M88" s="191"/>
      <c r="N88" s="191"/>
      <c r="O88" s="211"/>
      <c r="P88" s="212"/>
      <c r="Q88" s="32"/>
      <c r="R88" s="32"/>
      <c r="S88" s="32"/>
      <c r="T88" s="32"/>
      <c r="U88" s="32"/>
      <c r="V88" s="32"/>
      <c r="W88" s="32"/>
      <c r="X88" s="32"/>
      <c r="Y88" s="32"/>
      <c r="Z88" s="32"/>
      <c r="AA88" s="32">
        <v>4000</v>
      </c>
      <c r="AB88" s="32">
        <f>AA88*H88</f>
        <v>8000</v>
      </c>
      <c r="AC88" s="32"/>
      <c r="AD88" s="192"/>
      <c r="AE88" s="192"/>
      <c r="AF88" s="192"/>
      <c r="AG88" s="32">
        <v>3800</v>
      </c>
      <c r="AH88" s="32">
        <f>AG88*G88*H88</f>
        <v>760000</v>
      </c>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c r="BI88" s="32"/>
      <c r="BJ88" s="32"/>
      <c r="BK88" s="192"/>
      <c r="BL88" s="32"/>
      <c r="BM88" s="192"/>
      <c r="BN88" s="32"/>
      <c r="BO88" s="32"/>
      <c r="BP88" s="32"/>
      <c r="BQ88" s="32"/>
      <c r="BR88" s="32"/>
      <c r="BS88" s="32"/>
      <c r="BT88" s="32"/>
      <c r="BU88" s="32"/>
      <c r="BV88" s="32"/>
      <c r="BW88" s="32"/>
      <c r="BX88" s="32"/>
      <c r="BY88" s="32"/>
      <c r="BZ88" s="32"/>
      <c r="CA88" s="32"/>
      <c r="CB88" s="32"/>
      <c r="CC88" s="32"/>
      <c r="CD88" s="32"/>
      <c r="CE88" s="32"/>
      <c r="CF88" s="32"/>
      <c r="CG88" s="32"/>
      <c r="CH88" s="32"/>
      <c r="CI88" s="32"/>
      <c r="CJ88" s="32"/>
      <c r="CK88" s="32"/>
      <c r="CL88" s="32"/>
      <c r="CM88" s="32"/>
      <c r="CN88" s="32"/>
      <c r="CO88" s="32"/>
      <c r="CP88" s="32"/>
      <c r="CQ88" s="32"/>
      <c r="CR88" s="32"/>
      <c r="CS88" s="32"/>
      <c r="CT88" s="32"/>
      <c r="CU88" s="32"/>
      <c r="CV88" s="32"/>
      <c r="CW88" s="32"/>
      <c r="CX88" s="32"/>
      <c r="CY88" s="32"/>
      <c r="CZ88" s="32"/>
      <c r="DA88" s="32"/>
      <c r="DB88" s="32"/>
      <c r="DC88" s="32"/>
      <c r="DD88" s="32"/>
      <c r="DE88" s="32"/>
      <c r="DF88" s="32"/>
      <c r="DG88" s="32"/>
      <c r="DH88" s="32"/>
      <c r="DI88" s="32"/>
      <c r="DJ88" s="32"/>
      <c r="DK88" s="32"/>
      <c r="DL88" s="32"/>
      <c r="DM88" s="32"/>
      <c r="DN88" s="32"/>
      <c r="DO88" s="32"/>
      <c r="DP88" s="32"/>
      <c r="DQ88" s="32"/>
      <c r="DR88" s="32"/>
      <c r="DS88" s="13">
        <f>+MEDIAN(AA88,AG88)</f>
        <v>3900</v>
      </c>
      <c r="DT88" s="13">
        <f>+AVERAGE(AA88,AG88)</f>
        <v>3900</v>
      </c>
      <c r="DU88" s="13">
        <f>+STDEV(AA88,AG88)</f>
        <v>141.42135623730951</v>
      </c>
      <c r="DV88" s="17">
        <f>DU88/DT88</f>
        <v>3.6261886214694748E-2</v>
      </c>
      <c r="DW88" s="373">
        <f>+ROUNDUP(IF(DV88&lt;15%,DT88,DS88),0)</f>
        <v>3900</v>
      </c>
      <c r="DX88" s="13">
        <f t="shared" si="7"/>
        <v>780000</v>
      </c>
      <c r="DY88" s="10" t="s">
        <v>308</v>
      </c>
    </row>
    <row r="89" spans="1:129" ht="234" hidden="1" x14ac:dyDescent="0.3">
      <c r="A89" s="19">
        <v>67</v>
      </c>
      <c r="B89" s="9" t="s">
        <v>15</v>
      </c>
      <c r="C89" s="9" t="s">
        <v>29</v>
      </c>
      <c r="D89" s="9" t="s">
        <v>83</v>
      </c>
      <c r="E89" s="10" t="s">
        <v>84</v>
      </c>
      <c r="F89" s="9" t="s">
        <v>19</v>
      </c>
      <c r="G89" s="11">
        <v>200</v>
      </c>
      <c r="H89" s="11">
        <v>1</v>
      </c>
      <c r="I89" s="191"/>
      <c r="J89" s="191"/>
      <c r="K89" s="191"/>
      <c r="L89" s="191"/>
      <c r="M89" s="191"/>
      <c r="N89" s="191"/>
      <c r="O89" s="211"/>
      <c r="P89" s="212"/>
      <c r="Q89" s="32"/>
      <c r="R89" s="32"/>
      <c r="S89" s="32"/>
      <c r="T89" s="32"/>
      <c r="U89" s="32"/>
      <c r="V89" s="32"/>
      <c r="W89" s="32"/>
      <c r="X89" s="32"/>
      <c r="Y89" s="32"/>
      <c r="Z89" s="32"/>
      <c r="AA89" s="32"/>
      <c r="AB89" s="32"/>
      <c r="AC89" s="32"/>
      <c r="AD89" s="32"/>
      <c r="AE89" s="32"/>
      <c r="AF89" s="32"/>
      <c r="AG89" s="192"/>
      <c r="AH89" s="32"/>
      <c r="AI89" s="32"/>
      <c r="AJ89" s="32"/>
      <c r="AK89" s="32">
        <v>27000</v>
      </c>
      <c r="AL89" s="32">
        <f>AK89*G89*H89</f>
        <v>5400000</v>
      </c>
      <c r="AM89" s="32">
        <f>18000+(18000*5.2%)</f>
        <v>18936</v>
      </c>
      <c r="AN89" s="32">
        <f>AM89*G89*H89</f>
        <v>3787200</v>
      </c>
      <c r="AO89" s="32">
        <f>13400+(13400*5.2%)</f>
        <v>14096.8</v>
      </c>
      <c r="AP89" s="32">
        <f>AO89*G89*H89</f>
        <v>2819360</v>
      </c>
      <c r="AQ89" s="32">
        <f>16900+(16900*5.2%)</f>
        <v>17778.8</v>
      </c>
      <c r="AR89" s="32">
        <f>AQ89*G89*H89</f>
        <v>3555760</v>
      </c>
      <c r="AS89" s="32"/>
      <c r="AT89" s="32"/>
      <c r="AU89" s="32"/>
      <c r="AV89" s="32"/>
      <c r="AW89" s="32"/>
      <c r="AX89" s="32"/>
      <c r="AY89" s="32"/>
      <c r="AZ89" s="32"/>
      <c r="BA89" s="32"/>
      <c r="BB89" s="32"/>
      <c r="BC89" s="32"/>
      <c r="BD89" s="32"/>
      <c r="BE89" s="32"/>
      <c r="BF89" s="32"/>
      <c r="BG89" s="32"/>
      <c r="BH89" s="32"/>
      <c r="BI89" s="32"/>
      <c r="BJ89" s="32"/>
      <c r="BK89" s="192"/>
      <c r="BL89" s="32"/>
      <c r="BM89" s="192"/>
      <c r="BN89" s="32"/>
      <c r="BO89" s="32"/>
      <c r="BP89" s="32"/>
      <c r="BQ89" s="32"/>
      <c r="BR89" s="32"/>
      <c r="BS89" s="32"/>
      <c r="BT89" s="32"/>
      <c r="BU89" s="32"/>
      <c r="BV89" s="32"/>
      <c r="BW89" s="32"/>
      <c r="BX89" s="32"/>
      <c r="BY89" s="32"/>
      <c r="BZ89" s="32"/>
      <c r="CA89" s="32"/>
      <c r="CB89" s="32"/>
      <c r="CC89" s="32"/>
      <c r="CD89" s="32"/>
      <c r="CE89" s="32"/>
      <c r="CF89" s="32"/>
      <c r="CG89" s="32"/>
      <c r="CH89" s="32"/>
      <c r="CI89" s="32"/>
      <c r="CJ89" s="32"/>
      <c r="CK89" s="32"/>
      <c r="CL89" s="32"/>
      <c r="CM89" s="32"/>
      <c r="CN89" s="32"/>
      <c r="CO89" s="32"/>
      <c r="CP89" s="32"/>
      <c r="CQ89" s="32"/>
      <c r="CR89" s="32"/>
      <c r="CS89" s="32"/>
      <c r="CT89" s="32"/>
      <c r="CU89" s="32"/>
      <c r="CV89" s="32"/>
      <c r="CW89" s="245"/>
      <c r="CX89" s="32"/>
      <c r="CY89" s="245"/>
      <c r="CZ89" s="32"/>
      <c r="DA89" s="32"/>
      <c r="DB89" s="32"/>
      <c r="DC89" s="245"/>
      <c r="DD89" s="32"/>
      <c r="DE89" s="32"/>
      <c r="DF89" s="32"/>
      <c r="DG89" s="32"/>
      <c r="DH89" s="32"/>
      <c r="DI89" s="32"/>
      <c r="DJ89" s="32"/>
      <c r="DK89" s="32"/>
      <c r="DL89" s="32"/>
      <c r="DM89" s="32"/>
      <c r="DN89" s="32"/>
      <c r="DO89" s="32"/>
      <c r="DP89" s="32"/>
      <c r="DQ89" s="32"/>
      <c r="DR89" s="32"/>
      <c r="DS89" s="13">
        <f>+MEDIAN(AK89,AM89,AO89,AQ89)</f>
        <v>18357.400000000001</v>
      </c>
      <c r="DT89" s="13">
        <f>+AVERAGE(AK89,AM89,AO89,AQ89)</f>
        <v>19452.900000000001</v>
      </c>
      <c r="DU89" s="13">
        <f>+STDEV(AK89,AM89,AO89,AQ89)</f>
        <v>5438.0242135049912</v>
      </c>
      <c r="DV89" s="17">
        <f>DU89/DT89</f>
        <v>0.27954825313989129</v>
      </c>
      <c r="DW89" s="373">
        <f>+ROUNDUP(IF(DV89&lt;15%,DT89,DS89),0)</f>
        <v>18358</v>
      </c>
      <c r="DX89" s="13">
        <f t="shared" si="7"/>
        <v>3671600</v>
      </c>
      <c r="DY89" s="10" t="s">
        <v>309</v>
      </c>
    </row>
    <row r="90" spans="1:129" ht="39" hidden="1" x14ac:dyDescent="0.3">
      <c r="A90" s="19">
        <v>68</v>
      </c>
      <c r="B90" s="9" t="s">
        <v>15</v>
      </c>
      <c r="C90" s="9" t="s">
        <v>29</v>
      </c>
      <c r="D90" s="9" t="s">
        <v>339</v>
      </c>
      <c r="E90" s="10" t="s">
        <v>33</v>
      </c>
      <c r="F90" s="19" t="s">
        <v>19</v>
      </c>
      <c r="G90" s="11">
        <v>4</v>
      </c>
      <c r="H90" s="11">
        <v>1</v>
      </c>
      <c r="I90" s="191"/>
      <c r="J90" s="191"/>
      <c r="K90" s="191"/>
      <c r="L90" s="191"/>
      <c r="M90" s="191"/>
      <c r="N90" s="191"/>
      <c r="O90" s="211"/>
      <c r="P90" s="212"/>
      <c r="Q90" s="32"/>
      <c r="R90" s="32"/>
      <c r="S90" s="32"/>
      <c r="T90" s="32"/>
      <c r="U90" s="32"/>
      <c r="V90" s="32"/>
      <c r="W90" s="32"/>
      <c r="X90" s="32"/>
      <c r="Y90" s="32"/>
      <c r="Z90" s="32"/>
      <c r="AA90" s="32"/>
      <c r="AB90" s="32"/>
      <c r="AC90" s="32"/>
      <c r="AD90" s="210"/>
      <c r="AE90" s="192"/>
      <c r="AF90" s="19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c r="BI90" s="32"/>
      <c r="BJ90" s="32"/>
      <c r="BK90" s="192"/>
      <c r="BL90" s="32"/>
      <c r="BM90" s="192"/>
      <c r="BN90" s="32"/>
      <c r="BO90" s="32"/>
      <c r="BP90" s="32"/>
      <c r="BQ90" s="32"/>
      <c r="BR90" s="32"/>
      <c r="BS90" s="258">
        <v>354900</v>
      </c>
      <c r="BT90" s="32">
        <f>BS90*G90</f>
        <v>1419600</v>
      </c>
      <c r="BU90" s="32"/>
      <c r="BV90" s="32"/>
      <c r="BW90" s="258">
        <v>301990</v>
      </c>
      <c r="BX90" s="32">
        <f>BW90*G90</f>
        <v>1207960</v>
      </c>
      <c r="BY90" s="258">
        <v>265000</v>
      </c>
      <c r="BZ90" s="32">
        <f>BY90*G90</f>
        <v>1060000</v>
      </c>
      <c r="CA90" s="32"/>
      <c r="CB90" s="32"/>
      <c r="CC90" s="32"/>
      <c r="CD90" s="32"/>
      <c r="CE90" s="32"/>
      <c r="CF90" s="32"/>
      <c r="CG90" s="32"/>
      <c r="CH90" s="32"/>
      <c r="CI90" s="32"/>
      <c r="CJ90" s="32"/>
      <c r="CK90" s="32"/>
      <c r="CL90" s="32"/>
      <c r="CM90" s="32"/>
      <c r="CN90" s="32"/>
      <c r="CO90" s="32"/>
      <c r="CP90" s="32"/>
      <c r="CQ90" s="32"/>
      <c r="CR90" s="32"/>
      <c r="CS90" s="32"/>
      <c r="CT90" s="32"/>
      <c r="CU90" s="32"/>
      <c r="CV90" s="32"/>
      <c r="CW90" s="32"/>
      <c r="CX90" s="32"/>
      <c r="CY90" s="32"/>
      <c r="CZ90" s="32"/>
      <c r="DA90" s="32"/>
      <c r="DB90" s="32"/>
      <c r="DC90" s="32"/>
      <c r="DD90" s="32"/>
      <c r="DE90" s="32"/>
      <c r="DF90" s="32"/>
      <c r="DG90" s="32"/>
      <c r="DH90" s="32"/>
      <c r="DI90" s="32"/>
      <c r="DJ90" s="32"/>
      <c r="DK90" s="32"/>
      <c r="DL90" s="32"/>
      <c r="DM90" s="32"/>
      <c r="DN90" s="32"/>
      <c r="DO90" s="32"/>
      <c r="DP90" s="32"/>
      <c r="DQ90" s="32"/>
      <c r="DR90" s="32"/>
      <c r="DS90" s="13">
        <f>+MEDIAN(BS90,BW90,BY90)</f>
        <v>301990</v>
      </c>
      <c r="DT90" s="13">
        <f>+AVERAGE(BS90,BW90,BY90)</f>
        <v>307296.66666666669</v>
      </c>
      <c r="DU90" s="13">
        <f>+STDEV(BS90,BW90,BY90)</f>
        <v>45184.322871249751</v>
      </c>
      <c r="DV90" s="17">
        <f>DU90/DT90</f>
        <v>0.1470381158421821</v>
      </c>
      <c r="DW90" s="373">
        <f>+ROUNDUP(IF(DV90&lt;15%,DT90,DS90),0)</f>
        <v>307297</v>
      </c>
      <c r="DX90" s="326">
        <f t="shared" si="7"/>
        <v>1229188</v>
      </c>
      <c r="DY90" s="10" t="s">
        <v>308</v>
      </c>
    </row>
    <row r="91" spans="1:129" ht="39" hidden="1" x14ac:dyDescent="0.3">
      <c r="A91" s="19">
        <v>69</v>
      </c>
      <c r="B91" s="9" t="s">
        <v>15</v>
      </c>
      <c r="C91" s="9" t="s">
        <v>29</v>
      </c>
      <c r="D91" s="26" t="s">
        <v>501</v>
      </c>
      <c r="E91" s="10" t="s">
        <v>34</v>
      </c>
      <c r="F91" s="36" t="s">
        <v>19</v>
      </c>
      <c r="G91" s="11">
        <v>4</v>
      </c>
      <c r="H91" s="11">
        <v>1</v>
      </c>
      <c r="I91" s="191"/>
      <c r="J91" s="191"/>
      <c r="K91" s="191"/>
      <c r="L91" s="191"/>
      <c r="M91" s="191"/>
      <c r="N91" s="191"/>
      <c r="O91" s="211"/>
      <c r="P91" s="212"/>
      <c r="Q91" s="32"/>
      <c r="R91" s="32"/>
      <c r="S91" s="32"/>
      <c r="T91" s="32"/>
      <c r="U91" s="32"/>
      <c r="V91" s="32"/>
      <c r="W91" s="32"/>
      <c r="X91" s="32"/>
      <c r="Y91" s="32"/>
      <c r="Z91" s="32"/>
      <c r="AA91" s="32"/>
      <c r="AB91" s="32"/>
      <c r="AC91" s="32"/>
      <c r="AD91" s="32"/>
      <c r="AE91" s="32"/>
      <c r="AF91" s="32"/>
      <c r="AG91" s="192"/>
      <c r="AH91" s="32"/>
      <c r="AI91" s="32"/>
      <c r="AJ91" s="32"/>
      <c r="AK91" s="32"/>
      <c r="AL91" s="32"/>
      <c r="AM91" s="32"/>
      <c r="AN91" s="32"/>
      <c r="AO91" s="32"/>
      <c r="AP91" s="32"/>
      <c r="AQ91" s="32"/>
      <c r="AR91" s="32"/>
      <c r="AS91" s="32"/>
      <c r="AT91" s="32"/>
      <c r="AU91" s="32"/>
      <c r="AV91" s="32"/>
      <c r="AW91" s="32"/>
      <c r="AX91" s="32"/>
      <c r="AY91" s="32"/>
      <c r="AZ91" s="32"/>
      <c r="BA91" s="32"/>
      <c r="BB91" s="32"/>
      <c r="BC91" s="32"/>
      <c r="BD91" s="32"/>
      <c r="BE91" s="32"/>
      <c r="BF91" s="32"/>
      <c r="BG91" s="32"/>
      <c r="BH91" s="32"/>
      <c r="BI91" s="32"/>
      <c r="BJ91" s="32"/>
      <c r="BK91" s="192"/>
      <c r="BL91" s="32"/>
      <c r="BM91" s="192"/>
      <c r="BN91" s="32"/>
      <c r="BO91" s="32"/>
      <c r="BP91" s="32"/>
      <c r="BQ91" s="32"/>
      <c r="BR91" s="32"/>
      <c r="BS91" s="258">
        <v>214900</v>
      </c>
      <c r="BT91" s="32">
        <f>BS91*G94</f>
        <v>1719200</v>
      </c>
      <c r="BU91" s="258">
        <v>195000</v>
      </c>
      <c r="BV91" s="32">
        <f>BU91*G94</f>
        <v>1560000</v>
      </c>
      <c r="BW91" s="32"/>
      <c r="BX91" s="32"/>
      <c r="BY91" s="258">
        <v>185000</v>
      </c>
      <c r="BZ91" s="32">
        <f>BY91*G94</f>
        <v>1480000</v>
      </c>
      <c r="CA91" s="32"/>
      <c r="CB91" s="32"/>
      <c r="CC91" s="32"/>
      <c r="CD91" s="32"/>
      <c r="CE91" s="32"/>
      <c r="CF91" s="32"/>
      <c r="CG91" s="32"/>
      <c r="CH91" s="32"/>
      <c r="CI91" s="32"/>
      <c r="CJ91" s="32"/>
      <c r="CK91" s="32"/>
      <c r="CL91" s="32"/>
      <c r="CM91" s="32"/>
      <c r="CN91" s="32"/>
      <c r="CO91" s="32"/>
      <c r="CP91" s="32"/>
      <c r="CQ91" s="32"/>
      <c r="CR91" s="32"/>
      <c r="CS91" s="32"/>
      <c r="CT91" s="32"/>
      <c r="CU91" s="32"/>
      <c r="CV91" s="32"/>
      <c r="CW91" s="32"/>
      <c r="CX91" s="32"/>
      <c r="CY91" s="32"/>
      <c r="CZ91" s="32"/>
      <c r="DA91" s="32"/>
      <c r="DB91" s="32"/>
      <c r="DC91" s="32"/>
      <c r="DD91" s="32"/>
      <c r="DE91" s="32"/>
      <c r="DF91" s="32"/>
      <c r="DG91" s="32"/>
      <c r="DH91" s="32"/>
      <c r="DI91" s="32"/>
      <c r="DJ91" s="32"/>
      <c r="DK91" s="32"/>
      <c r="DL91" s="32"/>
      <c r="DM91" s="32"/>
      <c r="DN91" s="32"/>
      <c r="DO91" s="32"/>
      <c r="DP91" s="32"/>
      <c r="DQ91" s="32"/>
      <c r="DR91" s="32"/>
      <c r="DS91" s="13">
        <f>+MEDIAN(BS91,BU91,BY91)</f>
        <v>195000</v>
      </c>
      <c r="DT91" s="13">
        <f>+AVERAGE(BS91,BU91,BY91)</f>
        <v>198300</v>
      </c>
      <c r="DU91" s="13">
        <f>+STDEV(BS91,BU91)</f>
        <v>14071.424945612296</v>
      </c>
      <c r="DV91" s="17">
        <f t="shared" si="1"/>
        <v>7.0960287168997965E-2</v>
      </c>
      <c r="DW91" s="373">
        <f t="shared" si="2"/>
        <v>198300</v>
      </c>
      <c r="DX91" s="13">
        <f t="shared" si="7"/>
        <v>793200</v>
      </c>
      <c r="DY91" s="10" t="s">
        <v>308</v>
      </c>
    </row>
    <row r="92" spans="1:129" ht="39" hidden="1" x14ac:dyDescent="0.3">
      <c r="A92" s="19">
        <v>70</v>
      </c>
      <c r="B92" s="9" t="s">
        <v>15</v>
      </c>
      <c r="C92" s="9" t="s">
        <v>29</v>
      </c>
      <c r="D92" s="26" t="s">
        <v>511</v>
      </c>
      <c r="E92" s="10" t="s">
        <v>35</v>
      </c>
      <c r="F92" s="36" t="s">
        <v>19</v>
      </c>
      <c r="G92" s="11">
        <v>8</v>
      </c>
      <c r="H92" s="11">
        <v>1</v>
      </c>
      <c r="I92" s="191"/>
      <c r="J92" s="191"/>
      <c r="K92" s="191"/>
      <c r="L92" s="191"/>
      <c r="M92" s="191"/>
      <c r="N92" s="191"/>
      <c r="O92" s="211"/>
      <c r="P92" s="212"/>
      <c r="Q92" s="32"/>
      <c r="R92" s="32"/>
      <c r="S92" s="32"/>
      <c r="T92" s="32"/>
      <c r="U92" s="32"/>
      <c r="V92" s="32"/>
      <c r="W92" s="32"/>
      <c r="X92" s="32"/>
      <c r="Y92" s="32"/>
      <c r="Z92" s="32"/>
      <c r="AA92" s="32"/>
      <c r="AB92" s="32"/>
      <c r="AC92" s="32"/>
      <c r="AD92" s="32"/>
      <c r="AE92" s="32"/>
      <c r="AF92" s="32"/>
      <c r="AG92" s="192"/>
      <c r="AH92" s="32"/>
      <c r="AI92" s="32"/>
      <c r="AJ92" s="32"/>
      <c r="AK92" s="32"/>
      <c r="AL92" s="32"/>
      <c r="AM92" s="32"/>
      <c r="AN92" s="32"/>
      <c r="AO92" s="32"/>
      <c r="AP92" s="32"/>
      <c r="AQ92" s="32"/>
      <c r="AR92" s="32"/>
      <c r="AS92" s="32"/>
      <c r="AT92" s="32"/>
      <c r="AU92" s="32"/>
      <c r="AV92" s="32"/>
      <c r="AW92" s="32"/>
      <c r="AX92" s="32"/>
      <c r="AY92" s="32"/>
      <c r="AZ92" s="32"/>
      <c r="BA92" s="32"/>
      <c r="BB92" s="32"/>
      <c r="BC92" s="32"/>
      <c r="BD92" s="32"/>
      <c r="BE92" s="32"/>
      <c r="BF92" s="32"/>
      <c r="BG92" s="32"/>
      <c r="BH92" s="32"/>
      <c r="BI92" s="32"/>
      <c r="BJ92" s="32"/>
      <c r="BK92" s="192"/>
      <c r="BL92" s="32"/>
      <c r="BM92" s="192"/>
      <c r="BN92" s="32"/>
      <c r="BO92" s="32"/>
      <c r="BP92" s="32"/>
      <c r="BQ92" s="32"/>
      <c r="BR92" s="32"/>
      <c r="BS92" s="258">
        <v>16100</v>
      </c>
      <c r="BT92" s="32">
        <f>BS92*G95</f>
        <v>128800</v>
      </c>
      <c r="BU92" s="258"/>
      <c r="BV92" s="32"/>
      <c r="BW92" s="258">
        <v>10990</v>
      </c>
      <c r="BX92" s="32">
        <f>BW92*G92</f>
        <v>87920</v>
      </c>
      <c r="BY92" s="32"/>
      <c r="BZ92" s="32"/>
      <c r="CA92" s="32"/>
      <c r="CB92" s="32"/>
      <c r="CC92" s="32"/>
      <c r="CD92" s="32"/>
      <c r="CE92" s="32"/>
      <c r="CF92" s="32"/>
      <c r="CG92" s="32"/>
      <c r="CH92" s="32"/>
      <c r="CI92" s="32"/>
      <c r="CJ92" s="32"/>
      <c r="CK92" s="32"/>
      <c r="CL92" s="32"/>
      <c r="CM92" s="32"/>
      <c r="CN92" s="32"/>
      <c r="CO92" s="32"/>
      <c r="CP92" s="32"/>
      <c r="CQ92" s="32"/>
      <c r="CR92" s="32"/>
      <c r="CS92" s="32"/>
      <c r="CT92" s="32"/>
      <c r="CU92" s="32"/>
      <c r="CV92" s="32"/>
      <c r="CW92" s="32"/>
      <c r="CX92" s="32"/>
      <c r="CY92" s="32"/>
      <c r="CZ92" s="32"/>
      <c r="DA92" s="32"/>
      <c r="DB92" s="32"/>
      <c r="DC92" s="32"/>
      <c r="DD92" s="32"/>
      <c r="DE92" s="32"/>
      <c r="DF92" s="32"/>
      <c r="DG92" s="32"/>
      <c r="DH92" s="32"/>
      <c r="DI92" s="32"/>
      <c r="DJ92" s="32"/>
      <c r="DK92" s="32"/>
      <c r="DL92" s="32"/>
      <c r="DM92" s="32"/>
      <c r="DN92" s="32"/>
      <c r="DO92" s="32"/>
      <c r="DP92" s="32"/>
      <c r="DQ92" s="32"/>
      <c r="DR92" s="32"/>
      <c r="DS92" s="13">
        <f>+MEDIAN(BS92,BW92)</f>
        <v>13545</v>
      </c>
      <c r="DT92" s="13">
        <f>+AVERAGE(BS92,BW92)</f>
        <v>13545</v>
      </c>
      <c r="DU92" s="13">
        <f>+STDEV(BS92,BW92)</f>
        <v>3613.3156518632577</v>
      </c>
      <c r="DV92" s="17">
        <f t="shared" si="1"/>
        <v>0.26676379858717297</v>
      </c>
      <c r="DW92" s="373">
        <f t="shared" si="2"/>
        <v>13545</v>
      </c>
      <c r="DX92" s="13">
        <f t="shared" si="7"/>
        <v>108360</v>
      </c>
      <c r="DY92" s="10" t="s">
        <v>309</v>
      </c>
    </row>
    <row r="93" spans="1:129" ht="39" hidden="1" x14ac:dyDescent="0.3">
      <c r="A93" s="19">
        <v>71</v>
      </c>
      <c r="B93" s="14" t="s">
        <v>15</v>
      </c>
      <c r="C93" s="14" t="s">
        <v>29</v>
      </c>
      <c r="D93" s="38" t="s">
        <v>512</v>
      </c>
      <c r="E93" s="39" t="s">
        <v>36</v>
      </c>
      <c r="F93" s="36" t="s">
        <v>19</v>
      </c>
      <c r="G93" s="15">
        <v>8</v>
      </c>
      <c r="H93" s="15">
        <v>1</v>
      </c>
      <c r="I93" s="194"/>
      <c r="J93" s="194"/>
      <c r="K93" s="194"/>
      <c r="L93" s="194"/>
      <c r="M93" s="194"/>
      <c r="N93" s="194"/>
      <c r="O93" s="213"/>
      <c r="P93" s="242"/>
      <c r="Q93" s="197"/>
      <c r="R93" s="197"/>
      <c r="S93" s="197"/>
      <c r="T93" s="197"/>
      <c r="U93" s="197"/>
      <c r="V93" s="197"/>
      <c r="W93" s="197"/>
      <c r="X93" s="197"/>
      <c r="Y93" s="197"/>
      <c r="Z93" s="197"/>
      <c r="AA93" s="197"/>
      <c r="AB93" s="197"/>
      <c r="AC93" s="197"/>
      <c r="AD93" s="197"/>
      <c r="AE93" s="32"/>
      <c r="AF93" s="32"/>
      <c r="AG93" s="192"/>
      <c r="AH93" s="197"/>
      <c r="AI93" s="197"/>
      <c r="AJ93" s="197"/>
      <c r="AK93" s="197"/>
      <c r="AL93" s="197"/>
      <c r="AM93" s="197"/>
      <c r="AN93" s="197"/>
      <c r="AO93" s="197"/>
      <c r="AP93" s="197"/>
      <c r="AQ93" s="197"/>
      <c r="AR93" s="197"/>
      <c r="AS93" s="197"/>
      <c r="AT93" s="197"/>
      <c r="AU93" s="197"/>
      <c r="AV93" s="197"/>
      <c r="AW93" s="197"/>
      <c r="AX93" s="197"/>
      <c r="AY93" s="197"/>
      <c r="AZ93" s="197"/>
      <c r="BA93" s="197"/>
      <c r="BB93" s="197"/>
      <c r="BC93" s="197"/>
      <c r="BD93" s="197"/>
      <c r="BE93" s="197"/>
      <c r="BF93" s="197"/>
      <c r="BG93" s="197"/>
      <c r="BH93" s="197"/>
      <c r="BI93" s="197"/>
      <c r="BJ93" s="197"/>
      <c r="BK93" s="195"/>
      <c r="BL93" s="197"/>
      <c r="BM93" s="195"/>
      <c r="BN93" s="197"/>
      <c r="BO93" s="197"/>
      <c r="BP93" s="197"/>
      <c r="BQ93" s="197"/>
      <c r="BR93" s="197"/>
      <c r="BS93" s="259">
        <v>7900</v>
      </c>
      <c r="BT93" s="197">
        <f>BS93*G96</f>
        <v>379200</v>
      </c>
      <c r="BU93" s="197"/>
      <c r="BV93" s="197"/>
      <c r="BW93" s="259">
        <v>8490</v>
      </c>
      <c r="BX93" s="197">
        <f>BW93*G93</f>
        <v>67920</v>
      </c>
      <c r="BY93" s="197"/>
      <c r="BZ93" s="197"/>
      <c r="CA93" s="197"/>
      <c r="CB93" s="197"/>
      <c r="CC93" s="197"/>
      <c r="CD93" s="197"/>
      <c r="CE93" s="197"/>
      <c r="CF93" s="197"/>
      <c r="CG93" s="197"/>
      <c r="CH93" s="197"/>
      <c r="CI93" s="197"/>
      <c r="CJ93" s="197"/>
      <c r="CK93" s="197"/>
      <c r="CL93" s="197"/>
      <c r="CM93" s="197"/>
      <c r="CN93" s="197"/>
      <c r="CO93" s="197"/>
      <c r="CP93" s="197"/>
      <c r="CQ93" s="197"/>
      <c r="CR93" s="197"/>
      <c r="CS93" s="197"/>
      <c r="CT93" s="197"/>
      <c r="CU93" s="197"/>
      <c r="CV93" s="197"/>
      <c r="CW93" s="197"/>
      <c r="CX93" s="197"/>
      <c r="CY93" s="197"/>
      <c r="CZ93" s="197"/>
      <c r="DA93" s="197"/>
      <c r="DB93" s="197"/>
      <c r="DC93" s="197"/>
      <c r="DD93" s="197"/>
      <c r="DE93" s="197"/>
      <c r="DF93" s="197"/>
      <c r="DG93" s="197"/>
      <c r="DH93" s="197"/>
      <c r="DI93" s="197"/>
      <c r="DJ93" s="197"/>
      <c r="DK93" s="197"/>
      <c r="DL93" s="197"/>
      <c r="DM93" s="197"/>
      <c r="DN93" s="197"/>
      <c r="DO93" s="197"/>
      <c r="DP93" s="197"/>
      <c r="DQ93" s="197"/>
      <c r="DR93" s="197"/>
      <c r="DS93" s="73">
        <f>+MEDIAN(BS93,BW93)</f>
        <v>8195</v>
      </c>
      <c r="DT93" s="73">
        <f>+AVERAGE(BS93,BW93)</f>
        <v>8195</v>
      </c>
      <c r="DU93" s="73">
        <f>+STDEV(BS93,BW93)</f>
        <v>417.19300090006305</v>
      </c>
      <c r="DV93" s="72">
        <f t="shared" si="1"/>
        <v>5.0908236839543999E-2</v>
      </c>
      <c r="DW93" s="376">
        <f t="shared" si="2"/>
        <v>8195</v>
      </c>
      <c r="DX93" s="73">
        <f t="shared" si="7"/>
        <v>65560</v>
      </c>
      <c r="DY93" s="39" t="s">
        <v>308</v>
      </c>
    </row>
    <row r="94" spans="1:129" ht="39" hidden="1" x14ac:dyDescent="0.3">
      <c r="A94" s="19">
        <v>72</v>
      </c>
      <c r="B94" s="9" t="s">
        <v>15</v>
      </c>
      <c r="C94" s="9" t="s">
        <v>29</v>
      </c>
      <c r="D94" s="26" t="s">
        <v>514</v>
      </c>
      <c r="E94" s="10" t="s">
        <v>37</v>
      </c>
      <c r="F94" s="9" t="s">
        <v>19</v>
      </c>
      <c r="G94" s="11">
        <v>8</v>
      </c>
      <c r="H94" s="11">
        <v>1</v>
      </c>
      <c r="I94" s="191"/>
      <c r="J94" s="191"/>
      <c r="K94" s="191"/>
      <c r="L94" s="191"/>
      <c r="M94" s="191"/>
      <c r="N94" s="191"/>
      <c r="O94" s="211"/>
      <c r="P94" s="225"/>
      <c r="Q94" s="32"/>
      <c r="R94" s="32"/>
      <c r="S94" s="32"/>
      <c r="T94" s="32"/>
      <c r="U94" s="32"/>
      <c r="V94" s="32"/>
      <c r="W94" s="32"/>
      <c r="X94" s="32"/>
      <c r="Y94" s="32"/>
      <c r="Z94" s="32"/>
      <c r="AA94" s="32"/>
      <c r="AB94" s="32"/>
      <c r="AC94" s="32"/>
      <c r="AD94" s="32"/>
      <c r="AE94" s="32"/>
      <c r="AF94" s="32"/>
      <c r="AG94" s="192"/>
      <c r="AH94" s="32"/>
      <c r="AI94" s="32"/>
      <c r="AJ94" s="32"/>
      <c r="AK94" s="32"/>
      <c r="AL94" s="32"/>
      <c r="AM94" s="32"/>
      <c r="AN94" s="32"/>
      <c r="AO94" s="32"/>
      <c r="AP94" s="32"/>
      <c r="AQ94" s="32"/>
      <c r="AR94" s="32"/>
      <c r="AS94" s="32"/>
      <c r="AT94" s="32"/>
      <c r="AU94" s="32"/>
      <c r="AV94" s="32"/>
      <c r="AW94" s="32"/>
      <c r="AX94" s="32"/>
      <c r="AY94" s="32"/>
      <c r="AZ94" s="32"/>
      <c r="BA94" s="32"/>
      <c r="BB94" s="32"/>
      <c r="BC94" s="32"/>
      <c r="BD94" s="32"/>
      <c r="BE94" s="32"/>
      <c r="BF94" s="32"/>
      <c r="BG94" s="32"/>
      <c r="BH94" s="32"/>
      <c r="BI94" s="32"/>
      <c r="BJ94" s="32"/>
      <c r="BK94" s="192"/>
      <c r="BL94" s="32"/>
      <c r="BM94" s="192"/>
      <c r="BN94" s="32"/>
      <c r="BO94" s="32"/>
      <c r="BP94" s="32"/>
      <c r="BQ94" s="32"/>
      <c r="BR94" s="32"/>
      <c r="BS94" s="192"/>
      <c r="BT94" s="192"/>
      <c r="BU94" s="258">
        <v>8000</v>
      </c>
      <c r="BV94" s="32">
        <f>BU94*G98</f>
        <v>8000</v>
      </c>
      <c r="BW94" s="192"/>
      <c r="BX94" s="192"/>
      <c r="BY94" s="192"/>
      <c r="BZ94" s="192"/>
      <c r="CA94" s="258">
        <v>7142.86</v>
      </c>
      <c r="CB94" s="32">
        <f>CA94*G98</f>
        <v>7142.86</v>
      </c>
      <c r="CC94" s="32"/>
      <c r="CD94" s="32"/>
      <c r="CE94" s="32"/>
      <c r="CF94" s="32"/>
      <c r="CG94" s="32"/>
      <c r="CH94" s="32"/>
      <c r="CI94" s="32"/>
      <c r="CJ94" s="32"/>
      <c r="CK94" s="32"/>
      <c r="CL94" s="32"/>
      <c r="CM94" s="32"/>
      <c r="CN94" s="32"/>
      <c r="CO94" s="32"/>
      <c r="CP94" s="32"/>
      <c r="CQ94" s="32"/>
      <c r="CR94" s="32"/>
      <c r="CS94" s="32"/>
      <c r="CT94" s="32"/>
      <c r="CU94" s="32"/>
      <c r="CV94" s="32"/>
      <c r="CW94" s="32"/>
      <c r="CX94" s="32"/>
      <c r="CY94" s="32"/>
      <c r="CZ94" s="32"/>
      <c r="DA94" s="32"/>
      <c r="DB94" s="32"/>
      <c r="DC94" s="32"/>
      <c r="DD94" s="32"/>
      <c r="DE94" s="32"/>
      <c r="DF94" s="32"/>
      <c r="DG94" s="32"/>
      <c r="DH94" s="32"/>
      <c r="DI94" s="32"/>
      <c r="DJ94" s="32"/>
      <c r="DK94" s="32"/>
      <c r="DL94" s="32"/>
      <c r="DM94" s="32"/>
      <c r="DN94" s="32"/>
      <c r="DO94" s="32"/>
      <c r="DP94" s="32"/>
      <c r="DQ94" s="32"/>
      <c r="DR94" s="32"/>
      <c r="DS94" s="13">
        <f>+MEDIAN(BU94,CA94)</f>
        <v>7571.43</v>
      </c>
      <c r="DT94" s="13">
        <f>+AVERAGE(BU94,CA94)</f>
        <v>7571.43</v>
      </c>
      <c r="DU94" s="13">
        <f>+STDEV(BU94,CA94)</f>
        <v>606.08950642623756</v>
      </c>
      <c r="DV94" s="17">
        <f t="shared" si="1"/>
        <v>8.0049542348834699E-2</v>
      </c>
      <c r="DW94" s="373">
        <f t="shared" si="2"/>
        <v>7572</v>
      </c>
      <c r="DX94" s="13">
        <f t="shared" si="7"/>
        <v>60576</v>
      </c>
      <c r="DY94" s="10" t="s">
        <v>308</v>
      </c>
    </row>
    <row r="95" spans="1:129" ht="39" hidden="1" x14ac:dyDescent="0.3">
      <c r="A95" s="19">
        <v>73</v>
      </c>
      <c r="B95" s="40" t="s">
        <v>15</v>
      </c>
      <c r="C95" s="40" t="s">
        <v>29</v>
      </c>
      <c r="D95" s="41" t="s">
        <v>513</v>
      </c>
      <c r="E95" s="42" t="s">
        <v>38</v>
      </c>
      <c r="F95" s="40" t="s">
        <v>19</v>
      </c>
      <c r="G95" s="43">
        <v>8</v>
      </c>
      <c r="H95" s="43">
        <v>1</v>
      </c>
      <c r="I95" s="207"/>
      <c r="J95" s="207"/>
      <c r="K95" s="207"/>
      <c r="L95" s="207"/>
      <c r="M95" s="207"/>
      <c r="N95" s="207"/>
      <c r="O95" s="208"/>
      <c r="P95" s="217"/>
      <c r="Q95" s="209"/>
      <c r="R95" s="209"/>
      <c r="S95" s="209"/>
      <c r="T95" s="209"/>
      <c r="U95" s="209"/>
      <c r="V95" s="209"/>
      <c r="W95" s="209"/>
      <c r="X95" s="209"/>
      <c r="Y95" s="209"/>
      <c r="Z95" s="209"/>
      <c r="AA95" s="209"/>
      <c r="AB95" s="209"/>
      <c r="AC95" s="209"/>
      <c r="AD95" s="209"/>
      <c r="AE95" s="32"/>
      <c r="AF95" s="32"/>
      <c r="AG95" s="192"/>
      <c r="AH95" s="209"/>
      <c r="AI95" s="209"/>
      <c r="AJ95" s="209"/>
      <c r="AK95" s="209"/>
      <c r="AL95" s="209"/>
      <c r="AM95" s="209"/>
      <c r="AN95" s="209"/>
      <c r="AO95" s="209"/>
      <c r="AP95" s="209"/>
      <c r="AQ95" s="209"/>
      <c r="AR95" s="209"/>
      <c r="AS95" s="209"/>
      <c r="AT95" s="209"/>
      <c r="AU95" s="209"/>
      <c r="AV95" s="209"/>
      <c r="AW95" s="209"/>
      <c r="AX95" s="209"/>
      <c r="AY95" s="209"/>
      <c r="AZ95" s="209"/>
      <c r="BA95" s="209"/>
      <c r="BB95" s="209"/>
      <c r="BC95" s="209"/>
      <c r="BD95" s="209"/>
      <c r="BE95" s="209"/>
      <c r="BF95" s="209"/>
      <c r="BG95" s="209"/>
      <c r="BH95" s="209"/>
      <c r="BI95" s="209"/>
      <c r="BJ95" s="209"/>
      <c r="BK95" s="210"/>
      <c r="BL95" s="209"/>
      <c r="BM95" s="210"/>
      <c r="BN95" s="209"/>
      <c r="BO95" s="209"/>
      <c r="BP95" s="209"/>
      <c r="BQ95" s="209"/>
      <c r="BR95" s="209"/>
      <c r="BS95" s="209"/>
      <c r="BT95" s="209"/>
      <c r="BU95" s="260">
        <v>4500</v>
      </c>
      <c r="BV95" s="209">
        <f>BU95*G99</f>
        <v>22500</v>
      </c>
      <c r="BW95" s="209"/>
      <c r="BX95" s="209"/>
      <c r="BY95" s="209"/>
      <c r="BZ95" s="209"/>
      <c r="CA95" s="260">
        <v>3781.51</v>
      </c>
      <c r="CB95" s="209">
        <f>CA95*G99</f>
        <v>18907.550000000003</v>
      </c>
      <c r="CC95" s="260">
        <v>4000</v>
      </c>
      <c r="CD95" s="209">
        <f>CC95*G99</f>
        <v>20000</v>
      </c>
      <c r="CE95" s="209"/>
      <c r="CF95" s="209"/>
      <c r="CG95" s="209"/>
      <c r="CH95" s="209"/>
      <c r="CI95" s="209"/>
      <c r="CJ95" s="209"/>
      <c r="CK95" s="209"/>
      <c r="CL95" s="209"/>
      <c r="CM95" s="209"/>
      <c r="CN95" s="209"/>
      <c r="CO95" s="209"/>
      <c r="CP95" s="209"/>
      <c r="CQ95" s="209"/>
      <c r="CR95" s="209"/>
      <c r="CS95" s="209"/>
      <c r="CT95" s="209"/>
      <c r="CU95" s="209"/>
      <c r="CV95" s="209"/>
      <c r="CW95" s="209"/>
      <c r="CX95" s="209"/>
      <c r="CY95" s="209"/>
      <c r="CZ95" s="209"/>
      <c r="DA95" s="209"/>
      <c r="DB95" s="209"/>
      <c r="DC95" s="209"/>
      <c r="DD95" s="209"/>
      <c r="DE95" s="209"/>
      <c r="DF95" s="209"/>
      <c r="DG95" s="209"/>
      <c r="DH95" s="209"/>
      <c r="DI95" s="209"/>
      <c r="DJ95" s="209"/>
      <c r="DK95" s="209"/>
      <c r="DL95" s="209"/>
      <c r="DM95" s="209"/>
      <c r="DN95" s="209"/>
      <c r="DO95" s="209"/>
      <c r="DP95" s="209"/>
      <c r="DQ95" s="209"/>
      <c r="DR95" s="209"/>
      <c r="DS95" s="65">
        <f>+MEDIAN(BU95,CA95,CC95)</f>
        <v>4000</v>
      </c>
      <c r="DT95" s="65">
        <f>+AVERAGE(BU95,CA95,CC95)</f>
        <v>4093.8366666666666</v>
      </c>
      <c r="DU95" s="65">
        <f>+STDEV(BU95,CA95,CC95)</f>
        <v>368.32181585311133</v>
      </c>
      <c r="DV95" s="64">
        <f t="shared" si="1"/>
        <v>8.9969836572158804E-2</v>
      </c>
      <c r="DW95" s="375">
        <f t="shared" si="2"/>
        <v>4094</v>
      </c>
      <c r="DX95" s="65">
        <f t="shared" si="7"/>
        <v>32752</v>
      </c>
      <c r="DY95" s="42" t="s">
        <v>308</v>
      </c>
    </row>
    <row r="96" spans="1:129" ht="78" hidden="1" x14ac:dyDescent="0.3">
      <c r="A96" s="19">
        <v>74</v>
      </c>
      <c r="B96" s="14" t="s">
        <v>15</v>
      </c>
      <c r="C96" s="14" t="s">
        <v>29</v>
      </c>
      <c r="D96" s="38" t="s">
        <v>464</v>
      </c>
      <c r="E96" s="39" t="s">
        <v>39</v>
      </c>
      <c r="F96" s="14" t="s">
        <v>19</v>
      </c>
      <c r="G96" s="15">
        <v>48</v>
      </c>
      <c r="H96" s="15">
        <v>1</v>
      </c>
      <c r="I96" s="194"/>
      <c r="J96" s="194"/>
      <c r="K96" s="194"/>
      <c r="L96" s="194"/>
      <c r="M96" s="194"/>
      <c r="N96" s="194"/>
      <c r="O96" s="213"/>
      <c r="P96" s="242"/>
      <c r="Q96" s="197"/>
      <c r="R96" s="197"/>
      <c r="S96" s="197"/>
      <c r="T96" s="197"/>
      <c r="U96" s="197"/>
      <c r="V96" s="197"/>
      <c r="W96" s="197"/>
      <c r="X96" s="197"/>
      <c r="Y96" s="197"/>
      <c r="Z96" s="197"/>
      <c r="AA96" s="197"/>
      <c r="AB96" s="197"/>
      <c r="AC96" s="197"/>
      <c r="AD96" s="197"/>
      <c r="AE96" s="32"/>
      <c r="AF96" s="32"/>
      <c r="AG96" s="192"/>
      <c r="AH96" s="197"/>
      <c r="AI96" s="197"/>
      <c r="AJ96" s="197"/>
      <c r="AK96" s="197"/>
      <c r="AL96" s="197"/>
      <c r="AM96" s="197"/>
      <c r="AN96" s="197"/>
      <c r="AO96" s="197"/>
      <c r="AP96" s="197"/>
      <c r="AQ96" s="197"/>
      <c r="AR96" s="197"/>
      <c r="AS96" s="197"/>
      <c r="AT96" s="197"/>
      <c r="AU96" s="197"/>
      <c r="AV96" s="197"/>
      <c r="AW96" s="197"/>
      <c r="AX96" s="197"/>
      <c r="AY96" s="197"/>
      <c r="AZ96" s="197"/>
      <c r="BA96" s="197"/>
      <c r="BB96" s="197"/>
      <c r="BC96" s="197"/>
      <c r="BD96" s="197"/>
      <c r="BE96" s="197"/>
      <c r="BF96" s="197"/>
      <c r="BG96" s="197"/>
      <c r="BH96" s="197"/>
      <c r="BI96" s="197"/>
      <c r="BJ96" s="197"/>
      <c r="BK96" s="195"/>
      <c r="BL96" s="197"/>
      <c r="BM96" s="195"/>
      <c r="BN96" s="197"/>
      <c r="BO96" s="197"/>
      <c r="BP96" s="197"/>
      <c r="BQ96" s="197"/>
      <c r="BR96" s="197"/>
      <c r="BS96" s="197"/>
      <c r="BT96" s="197"/>
      <c r="BU96" s="259">
        <v>11000</v>
      </c>
      <c r="BV96" s="197">
        <f>BU96*G100</f>
        <v>55000</v>
      </c>
      <c r="BW96" s="197"/>
      <c r="BX96" s="197"/>
      <c r="BY96" s="259">
        <v>10000</v>
      </c>
      <c r="BZ96" s="197">
        <f>BY96*G96</f>
        <v>480000</v>
      </c>
      <c r="CA96" s="197"/>
      <c r="CB96" s="197"/>
      <c r="CC96" s="259">
        <v>8000</v>
      </c>
      <c r="CD96" s="197">
        <f>CC96*G100</f>
        <v>40000</v>
      </c>
      <c r="CE96" s="197"/>
      <c r="CF96" s="197"/>
      <c r="CG96" s="197"/>
      <c r="CH96" s="197"/>
      <c r="CI96" s="197"/>
      <c r="CJ96" s="197"/>
      <c r="CK96" s="197"/>
      <c r="CL96" s="197"/>
      <c r="CM96" s="197"/>
      <c r="CN96" s="197"/>
      <c r="CO96" s="197"/>
      <c r="CP96" s="197"/>
      <c r="CQ96" s="197"/>
      <c r="CR96" s="197"/>
      <c r="CS96" s="197"/>
      <c r="CT96" s="197"/>
      <c r="CU96" s="197"/>
      <c r="CV96" s="197"/>
      <c r="CW96" s="197"/>
      <c r="CX96" s="197"/>
      <c r="CY96" s="197"/>
      <c r="CZ96" s="197"/>
      <c r="DA96" s="197"/>
      <c r="DB96" s="197"/>
      <c r="DC96" s="197"/>
      <c r="DD96" s="197"/>
      <c r="DE96" s="197"/>
      <c r="DF96" s="197"/>
      <c r="DG96" s="197"/>
      <c r="DH96" s="197"/>
      <c r="DI96" s="197"/>
      <c r="DJ96" s="197"/>
      <c r="DK96" s="197"/>
      <c r="DL96" s="197"/>
      <c r="DM96" s="197"/>
      <c r="DN96" s="197"/>
      <c r="DO96" s="197"/>
      <c r="DP96" s="197"/>
      <c r="DQ96" s="197"/>
      <c r="DR96" s="197"/>
      <c r="DS96" s="73">
        <f>+MEDIAN(BU96,BY96,CC96)</f>
        <v>10000</v>
      </c>
      <c r="DT96" s="73">
        <f>+AVERAGE(BU96,BY96,CC96)</f>
        <v>9666.6666666666661</v>
      </c>
      <c r="DU96" s="73">
        <f>+STDEV(BU96,BY96,CC96)</f>
        <v>1527.52523165195</v>
      </c>
      <c r="DV96" s="72">
        <f t="shared" si="1"/>
        <v>0.15801985155020173</v>
      </c>
      <c r="DW96" s="376">
        <f t="shared" si="2"/>
        <v>10000</v>
      </c>
      <c r="DX96" s="73">
        <f t="shared" si="7"/>
        <v>480000</v>
      </c>
      <c r="DY96" s="39" t="s">
        <v>309</v>
      </c>
    </row>
    <row r="97" spans="1:132" s="63" customFormat="1" ht="21" hidden="1" customHeight="1" x14ac:dyDescent="0.3">
      <c r="A97" s="66" t="s">
        <v>361</v>
      </c>
      <c r="B97" s="66"/>
      <c r="C97" s="66"/>
      <c r="D97" s="66"/>
      <c r="E97" s="66"/>
      <c r="F97" s="67"/>
      <c r="G97" s="67"/>
      <c r="H97" s="67"/>
      <c r="I97" s="214"/>
      <c r="J97" s="214"/>
      <c r="K97" s="214"/>
      <c r="L97" s="214"/>
      <c r="M97" s="214"/>
      <c r="N97" s="214"/>
      <c r="O97" s="215"/>
      <c r="P97" s="215"/>
      <c r="Q97" s="215"/>
      <c r="R97" s="215"/>
      <c r="S97" s="215"/>
      <c r="T97" s="215"/>
      <c r="U97" s="215"/>
      <c r="V97" s="215"/>
      <c r="W97" s="215"/>
      <c r="X97" s="215"/>
      <c r="Y97" s="215"/>
      <c r="Z97" s="215"/>
      <c r="AA97" s="215"/>
      <c r="AB97" s="215"/>
      <c r="AC97" s="215"/>
      <c r="AD97" s="215"/>
      <c r="AE97" s="215"/>
      <c r="AF97" s="215"/>
      <c r="AG97" s="215"/>
      <c r="AH97" s="215"/>
      <c r="AI97" s="215"/>
      <c r="AJ97" s="215"/>
      <c r="AK97" s="215"/>
      <c r="AL97" s="215"/>
      <c r="AM97" s="215"/>
      <c r="AN97" s="215"/>
      <c r="AO97" s="215"/>
      <c r="AP97" s="215"/>
      <c r="AQ97" s="215"/>
      <c r="AR97" s="215"/>
      <c r="AS97" s="215"/>
      <c r="AT97" s="215"/>
      <c r="AU97" s="215"/>
      <c r="AV97" s="215"/>
      <c r="AW97" s="215"/>
      <c r="AX97" s="215"/>
      <c r="AY97" s="215"/>
      <c r="AZ97" s="215"/>
      <c r="BA97" s="215"/>
      <c r="BB97" s="215"/>
      <c r="BC97" s="215"/>
      <c r="BD97" s="215"/>
      <c r="BE97" s="215"/>
      <c r="BF97" s="215"/>
      <c r="BG97" s="215"/>
      <c r="BH97" s="215"/>
      <c r="BI97" s="215"/>
      <c r="BJ97" s="215"/>
      <c r="BK97" s="215"/>
      <c r="BL97" s="216"/>
      <c r="BM97" s="215"/>
      <c r="BN97" s="216"/>
      <c r="BO97" s="216"/>
      <c r="BP97" s="216"/>
      <c r="BQ97" s="216"/>
      <c r="BR97" s="216"/>
      <c r="BS97" s="216"/>
      <c r="BT97" s="216"/>
      <c r="BU97" s="216"/>
      <c r="BV97" s="216"/>
      <c r="BW97" s="216"/>
      <c r="BX97" s="216"/>
      <c r="BY97" s="216"/>
      <c r="BZ97" s="216"/>
      <c r="CA97" s="216"/>
      <c r="CB97" s="216"/>
      <c r="CC97" s="216"/>
      <c r="CD97" s="216"/>
      <c r="CE97" s="216"/>
      <c r="CF97" s="216"/>
      <c r="CG97" s="216"/>
      <c r="CH97" s="216"/>
      <c r="CI97" s="216"/>
      <c r="CJ97" s="216"/>
      <c r="CK97" s="216"/>
      <c r="CL97" s="216"/>
      <c r="CM97" s="216"/>
      <c r="CN97" s="216"/>
      <c r="CO97" s="216"/>
      <c r="CP97" s="216"/>
      <c r="CQ97" s="216"/>
      <c r="CR97" s="216"/>
      <c r="CS97" s="216"/>
      <c r="CT97" s="216"/>
      <c r="CU97" s="216"/>
      <c r="CV97" s="216"/>
      <c r="CW97" s="216"/>
      <c r="CX97" s="216"/>
      <c r="CY97" s="216"/>
      <c r="CZ97" s="216"/>
      <c r="DA97" s="216"/>
      <c r="DB97" s="216"/>
      <c r="DC97" s="216"/>
      <c r="DD97" s="216"/>
      <c r="DE97" s="216"/>
      <c r="DF97" s="216"/>
      <c r="DG97" s="216"/>
      <c r="DH97" s="216"/>
      <c r="DI97" s="216"/>
      <c r="DJ97" s="216"/>
      <c r="DK97" s="216"/>
      <c r="DL97" s="216"/>
      <c r="DM97" s="216"/>
      <c r="DN97" s="216"/>
      <c r="DO97" s="216"/>
      <c r="DP97" s="216"/>
      <c r="DQ97" s="216"/>
      <c r="DR97" s="216"/>
      <c r="DS97" s="215"/>
      <c r="DT97" s="215"/>
      <c r="DU97" s="215"/>
      <c r="DV97" s="68"/>
      <c r="DW97" s="69">
        <f>SUM(DW78:DW96)</f>
        <v>11872779.565217391</v>
      </c>
      <c r="DX97" s="69">
        <f>SUM(DX78:DX96)</f>
        <v>39305695</v>
      </c>
      <c r="DY97" s="165"/>
      <c r="DZ97" s="609"/>
      <c r="EA97" s="609"/>
      <c r="EB97" s="609"/>
    </row>
    <row r="98" spans="1:132" ht="52" hidden="1" x14ac:dyDescent="0.3">
      <c r="A98" s="19">
        <v>75</v>
      </c>
      <c r="B98" s="40" t="s">
        <v>15</v>
      </c>
      <c r="C98" s="103" t="s">
        <v>100</v>
      </c>
      <c r="D98" s="40" t="s">
        <v>221</v>
      </c>
      <c r="E98" s="44" t="s">
        <v>220</v>
      </c>
      <c r="F98" s="346" t="s">
        <v>240</v>
      </c>
      <c r="G98" s="43">
        <v>1</v>
      </c>
      <c r="H98" s="43">
        <v>1</v>
      </c>
      <c r="I98" s="347"/>
      <c r="J98" s="347"/>
      <c r="K98" s="347"/>
      <c r="L98" s="347"/>
      <c r="M98" s="347"/>
      <c r="N98" s="347"/>
      <c r="O98" s="348"/>
      <c r="P98" s="349"/>
      <c r="Q98" s="46"/>
      <c r="R98" s="46"/>
      <c r="S98" s="46"/>
      <c r="T98" s="46"/>
      <c r="U98" s="46"/>
      <c r="V98" s="46"/>
      <c r="W98" s="46"/>
      <c r="X98" s="46"/>
      <c r="Y98" s="46"/>
      <c r="Z98" s="46"/>
      <c r="AA98" s="46"/>
      <c r="AB98" s="46"/>
      <c r="AC98" s="46"/>
      <c r="AD98" s="46"/>
      <c r="AE98" s="46"/>
      <c r="AF98" s="46"/>
      <c r="AG98" s="350"/>
      <c r="AH98" s="46"/>
      <c r="AI98" s="46"/>
      <c r="AJ98" s="46"/>
      <c r="AK98" s="46"/>
      <c r="AL98" s="46"/>
      <c r="AM98" s="46"/>
      <c r="AN98" s="46"/>
      <c r="AO98" s="46"/>
      <c r="AP98" s="46"/>
      <c r="AQ98" s="46"/>
      <c r="AR98" s="46"/>
      <c r="AS98" s="46"/>
      <c r="AT98" s="46"/>
      <c r="AU98" s="46"/>
      <c r="AV98" s="46"/>
      <c r="AW98" s="46"/>
      <c r="AX98" s="46"/>
      <c r="AY98" s="46"/>
      <c r="AZ98" s="46"/>
      <c r="BA98" s="46"/>
      <c r="BB98" s="46"/>
      <c r="BC98" s="46"/>
      <c r="BD98" s="46"/>
      <c r="BE98" s="46"/>
      <c r="BF98" s="46"/>
      <c r="BG98" s="46">
        <f>500000+(500000*5.2%)</f>
        <v>526000</v>
      </c>
      <c r="BH98" s="46">
        <f>BG98*G98*H98</f>
        <v>526000</v>
      </c>
      <c r="BI98" s="46">
        <f>485000+(485000*5.2%)</f>
        <v>510220</v>
      </c>
      <c r="BJ98" s="46">
        <f>BI98*G98*H98</f>
        <v>510220</v>
      </c>
      <c r="BK98" s="350"/>
      <c r="BL98" s="46"/>
      <c r="BM98" s="350"/>
      <c r="BN98" s="46"/>
      <c r="BO98" s="46"/>
      <c r="BP98" s="46"/>
      <c r="BQ98" s="46"/>
      <c r="BR98" s="46"/>
      <c r="BS98" s="46"/>
      <c r="BT98" s="46"/>
      <c r="BU98" s="46"/>
      <c r="BV98" s="46"/>
      <c r="BW98" s="46"/>
      <c r="BX98" s="46"/>
      <c r="BY98" s="46"/>
      <c r="BZ98" s="46"/>
      <c r="CA98" s="46"/>
      <c r="CB98" s="46"/>
      <c r="CC98" s="46"/>
      <c r="CD98" s="46"/>
      <c r="CE98" s="46"/>
      <c r="CF98" s="46"/>
      <c r="CG98" s="46"/>
      <c r="CH98" s="46"/>
      <c r="CI98" s="46"/>
      <c r="CJ98" s="46"/>
      <c r="CK98" s="46"/>
      <c r="CL98" s="46"/>
      <c r="CM98" s="46"/>
      <c r="CN98" s="46"/>
      <c r="CO98" s="46"/>
      <c r="CP98" s="46"/>
      <c r="CQ98" s="46"/>
      <c r="CR98" s="46"/>
      <c r="CS98" s="46"/>
      <c r="CT98" s="46"/>
      <c r="CU98" s="46"/>
      <c r="CV98" s="46"/>
      <c r="CW98" s="46"/>
      <c r="CX98" s="46"/>
      <c r="CY98" s="46"/>
      <c r="CZ98" s="46"/>
      <c r="DA98" s="46"/>
      <c r="DB98" s="46"/>
      <c r="DC98" s="46"/>
      <c r="DD98" s="46"/>
      <c r="DE98" s="46"/>
      <c r="DF98" s="46"/>
      <c r="DG98" s="46"/>
      <c r="DH98" s="46"/>
      <c r="DI98" s="46"/>
      <c r="DJ98" s="46"/>
      <c r="DK98" s="46"/>
      <c r="DL98" s="46"/>
      <c r="DM98" s="46"/>
      <c r="DN98" s="46"/>
      <c r="DO98" s="46"/>
      <c r="DP98" s="46"/>
      <c r="DQ98" s="46"/>
      <c r="DR98" s="46"/>
      <c r="DS98" s="65">
        <f>+MEDIAN(BG98,BI98)</f>
        <v>518110</v>
      </c>
      <c r="DT98" s="65">
        <f>+AVERAGE(BG98,BI98)</f>
        <v>518110</v>
      </c>
      <c r="DU98" s="65">
        <f>+STDEV(BG98,BI98)</f>
        <v>11158.14500712372</v>
      </c>
      <c r="DV98" s="64">
        <f t="shared" si="1"/>
        <v>2.1536247142737486E-2</v>
      </c>
      <c r="DW98" s="375">
        <f t="shared" si="2"/>
        <v>518110</v>
      </c>
      <c r="DX98" s="65">
        <f t="shared" ref="DX98:DX116" si="8">+ROUND(DW98*G98*H98,0)</f>
        <v>518110</v>
      </c>
      <c r="DY98" s="42" t="s">
        <v>448</v>
      </c>
    </row>
    <row r="99" spans="1:132" ht="52" hidden="1" x14ac:dyDescent="0.3">
      <c r="A99" s="19">
        <v>76</v>
      </c>
      <c r="B99" s="9" t="s">
        <v>15</v>
      </c>
      <c r="C99" s="20" t="s">
        <v>100</v>
      </c>
      <c r="D99" s="26" t="s">
        <v>367</v>
      </c>
      <c r="E99" s="10" t="s">
        <v>266</v>
      </c>
      <c r="F99" s="116" t="s">
        <v>240</v>
      </c>
      <c r="G99" s="108">
        <v>5</v>
      </c>
      <c r="H99" s="108">
        <v>1</v>
      </c>
      <c r="I99" s="191"/>
      <c r="J99" s="191"/>
      <c r="K99" s="191"/>
      <c r="L99" s="191"/>
      <c r="M99" s="191"/>
      <c r="N99" s="191"/>
      <c r="O99" s="211"/>
      <c r="P99" s="212"/>
      <c r="Q99" s="32"/>
      <c r="R99" s="32"/>
      <c r="S99" s="32"/>
      <c r="T99" s="32"/>
      <c r="U99" s="32"/>
      <c r="V99" s="32"/>
      <c r="W99" s="32"/>
      <c r="X99" s="32"/>
      <c r="Y99" s="32">
        <f>108182+(108182*5.2%)</f>
        <v>113807.46400000001</v>
      </c>
      <c r="Z99" s="32">
        <f>Y99*G99</f>
        <v>569037.32000000007</v>
      </c>
      <c r="AA99" s="32"/>
      <c r="AB99" s="32"/>
      <c r="AC99" s="32">
        <f>100000+(100000*5.2%)</f>
        <v>105200</v>
      </c>
      <c r="AD99" s="32">
        <f>AC99*G99</f>
        <v>526000</v>
      </c>
      <c r="AE99" s="32"/>
      <c r="AF99" s="32"/>
      <c r="AG99" s="192"/>
      <c r="AH99" s="32"/>
      <c r="AI99" s="32"/>
      <c r="AJ99" s="32"/>
      <c r="AK99" s="32"/>
      <c r="AL99" s="32"/>
      <c r="AM99" s="32"/>
      <c r="AN99" s="32"/>
      <c r="AO99" s="32"/>
      <c r="AP99" s="32"/>
      <c r="AQ99" s="32"/>
      <c r="AR99" s="32"/>
      <c r="AS99" s="32"/>
      <c r="AT99" s="32"/>
      <c r="AU99" s="32"/>
      <c r="AV99" s="32"/>
      <c r="AW99" s="32"/>
      <c r="AX99" s="32"/>
      <c r="AY99" s="32"/>
      <c r="AZ99" s="32"/>
      <c r="BA99" s="32">
        <f>107000+(107000*5.2%)</f>
        <v>112564</v>
      </c>
      <c r="BB99" s="32">
        <f>BA99*G99</f>
        <v>562820</v>
      </c>
      <c r="BC99" s="32"/>
      <c r="BD99" s="32"/>
      <c r="BE99" s="32"/>
      <c r="BF99" s="32"/>
      <c r="BG99" s="32"/>
      <c r="BH99" s="32"/>
      <c r="BI99" s="32"/>
      <c r="BJ99" s="32"/>
      <c r="BK99" s="192"/>
      <c r="BL99" s="32"/>
      <c r="BM99" s="192"/>
      <c r="BN99" s="32"/>
      <c r="BO99" s="32"/>
      <c r="BP99" s="32"/>
      <c r="BQ99" s="32"/>
      <c r="BR99" s="32"/>
      <c r="BS99" s="32"/>
      <c r="BT99" s="32"/>
      <c r="BU99" s="32"/>
      <c r="BV99" s="32"/>
      <c r="BW99" s="32"/>
      <c r="BX99" s="32"/>
      <c r="BY99" s="32"/>
      <c r="BZ99" s="32"/>
      <c r="CA99" s="32"/>
      <c r="CB99" s="32"/>
      <c r="CC99" s="32"/>
      <c r="CD99" s="32"/>
      <c r="CE99" s="32"/>
      <c r="CF99" s="32"/>
      <c r="CG99" s="32"/>
      <c r="CH99" s="32"/>
      <c r="CI99" s="32"/>
      <c r="CJ99" s="32"/>
      <c r="CK99" s="32"/>
      <c r="CL99" s="32"/>
      <c r="CM99" s="32"/>
      <c r="CN99" s="32"/>
      <c r="CO99" s="32"/>
      <c r="CP99" s="32"/>
      <c r="CQ99" s="32"/>
      <c r="CR99" s="32"/>
      <c r="CS99" s="32"/>
      <c r="CT99" s="32"/>
      <c r="CU99" s="32"/>
      <c r="CV99" s="32"/>
      <c r="CW99" s="32"/>
      <c r="CX99" s="32"/>
      <c r="CY99" s="32"/>
      <c r="CZ99" s="32"/>
      <c r="DA99" s="32"/>
      <c r="DB99" s="32"/>
      <c r="DC99" s="32"/>
      <c r="DD99" s="32"/>
      <c r="DE99" s="32"/>
      <c r="DF99" s="32"/>
      <c r="DG99" s="32"/>
      <c r="DH99" s="32"/>
      <c r="DI99" s="32"/>
      <c r="DJ99" s="32"/>
      <c r="DK99" s="32"/>
      <c r="DL99" s="32"/>
      <c r="DM99" s="32"/>
      <c r="DN99" s="32"/>
      <c r="DO99" s="32"/>
      <c r="DP99" s="32"/>
      <c r="DQ99" s="32"/>
      <c r="DR99" s="32"/>
      <c r="DS99" s="13">
        <f>+MEDIAN(Y99,AC99,BA99)</f>
        <v>112564</v>
      </c>
      <c r="DT99" s="13">
        <f>+AVERAGE(Y99,AC99,BA99)</f>
        <v>110523.82133333334</v>
      </c>
      <c r="DU99" s="13">
        <f>+STDEV(Y99,AC99,BA99)</f>
        <v>4652.2957635736529</v>
      </c>
      <c r="DV99" s="17">
        <f t="shared" si="1"/>
        <v>4.2093149761286329E-2</v>
      </c>
      <c r="DW99" s="373">
        <f t="shared" si="2"/>
        <v>110524</v>
      </c>
      <c r="DX99" s="13">
        <f t="shared" si="8"/>
        <v>552620</v>
      </c>
      <c r="DY99" s="10" t="s">
        <v>308</v>
      </c>
    </row>
    <row r="100" spans="1:132" ht="93" hidden="1" customHeight="1" x14ac:dyDescent="0.3">
      <c r="A100" s="19">
        <v>77</v>
      </c>
      <c r="B100" s="14" t="s">
        <v>15</v>
      </c>
      <c r="C100" s="45" t="s">
        <v>100</v>
      </c>
      <c r="D100" s="38" t="s">
        <v>368</v>
      </c>
      <c r="E100" s="10" t="s">
        <v>525</v>
      </c>
      <c r="F100" s="113" t="s">
        <v>20</v>
      </c>
      <c r="G100" s="114">
        <v>5</v>
      </c>
      <c r="H100" s="114">
        <v>1</v>
      </c>
      <c r="I100" s="194"/>
      <c r="J100" s="194"/>
      <c r="K100" s="194"/>
      <c r="L100" s="194"/>
      <c r="M100" s="194"/>
      <c r="N100" s="194"/>
      <c r="O100" s="213"/>
      <c r="P100" s="242"/>
      <c r="Q100" s="197"/>
      <c r="R100" s="197"/>
      <c r="S100" s="197"/>
      <c r="T100" s="197"/>
      <c r="U100" s="197"/>
      <c r="V100" s="197"/>
      <c r="W100" s="197"/>
      <c r="X100" s="197"/>
      <c r="Y100" s="197"/>
      <c r="Z100" s="197"/>
      <c r="AA100" s="197"/>
      <c r="AB100" s="197"/>
      <c r="AC100" s="197"/>
      <c r="AD100" s="197"/>
      <c r="AE100" s="197"/>
      <c r="AF100" s="197"/>
      <c r="AG100" s="197"/>
      <c r="AH100" s="197"/>
      <c r="AI100" s="197"/>
      <c r="AJ100" s="197"/>
      <c r="AK100" s="197"/>
      <c r="AL100" s="197"/>
      <c r="AM100" s="197"/>
      <c r="AN100" s="197"/>
      <c r="AO100" s="197"/>
      <c r="AP100" s="197"/>
      <c r="AQ100" s="197"/>
      <c r="AR100" s="197"/>
      <c r="AS100" s="197"/>
      <c r="AT100" s="197"/>
      <c r="AU100" s="197"/>
      <c r="AV100" s="197"/>
      <c r="AW100" s="197"/>
      <c r="AX100" s="197"/>
      <c r="AY100" s="197"/>
      <c r="AZ100" s="197"/>
      <c r="BA100" s="197"/>
      <c r="BB100" s="197"/>
      <c r="BC100" s="197"/>
      <c r="BD100" s="197"/>
      <c r="BE100" s="197"/>
      <c r="BF100" s="197"/>
      <c r="BG100" s="197"/>
      <c r="BH100" s="197"/>
      <c r="BI100" s="197"/>
      <c r="BJ100" s="197"/>
      <c r="BK100" s="195"/>
      <c r="BL100" s="197"/>
      <c r="BM100" s="195"/>
      <c r="BN100" s="197"/>
      <c r="BO100" s="197"/>
      <c r="BP100" s="197"/>
      <c r="BQ100" s="197"/>
      <c r="BR100" s="197"/>
      <c r="BS100" s="197"/>
      <c r="BT100" s="197"/>
      <c r="BU100" s="197"/>
      <c r="BV100" s="197"/>
      <c r="BW100" s="197"/>
      <c r="BX100" s="197"/>
      <c r="BY100" s="197"/>
      <c r="BZ100" s="197"/>
      <c r="CA100" s="197"/>
      <c r="CB100" s="197"/>
      <c r="CC100" s="197"/>
      <c r="CD100" s="197"/>
      <c r="CE100" s="197"/>
      <c r="CF100" s="197"/>
      <c r="CG100" s="197"/>
      <c r="CH100" s="197"/>
      <c r="CI100" s="197"/>
      <c r="CJ100" s="197"/>
      <c r="CK100" s="197"/>
      <c r="CL100" s="197"/>
      <c r="CM100" s="197"/>
      <c r="CN100" s="197"/>
      <c r="CO100" s="261"/>
      <c r="CP100" s="197"/>
      <c r="CQ100" s="262">
        <v>400000</v>
      </c>
      <c r="CR100" s="32">
        <f>CQ100*G100</f>
        <v>2000000</v>
      </c>
      <c r="CS100" s="263">
        <v>300000</v>
      </c>
      <c r="CT100" s="25">
        <f>CS100*G100</f>
        <v>1500000</v>
      </c>
      <c r="CU100" s="262">
        <v>400000</v>
      </c>
      <c r="CV100" s="25">
        <f>CU100*G100</f>
        <v>2000000</v>
      </c>
      <c r="CW100" s="247"/>
      <c r="CX100" s="46"/>
      <c r="CY100" s="247">
        <v>400000</v>
      </c>
      <c r="CZ100" s="46">
        <f>CY100*G100*H100</f>
        <v>2000000</v>
      </c>
      <c r="DA100" s="46"/>
      <c r="DB100" s="46"/>
      <c r="DC100" s="247"/>
      <c r="DD100" s="46"/>
      <c r="DE100" s="46"/>
      <c r="DF100" s="46"/>
      <c r="DG100" s="46"/>
      <c r="DH100" s="46"/>
      <c r="DI100" s="46"/>
      <c r="DJ100" s="46"/>
      <c r="DK100" s="46"/>
      <c r="DL100" s="46"/>
      <c r="DM100" s="46"/>
      <c r="DN100" s="46"/>
      <c r="DO100" s="46"/>
      <c r="DP100" s="46"/>
      <c r="DQ100" s="46"/>
      <c r="DR100" s="46"/>
      <c r="DS100" s="13">
        <f>+MEDIAN(CQ100,CS100,CU100,CY100)</f>
        <v>400000</v>
      </c>
      <c r="DT100" s="13">
        <f>+AVERAGE(CQ100,CS100,CU100,CY100)</f>
        <v>375000</v>
      </c>
      <c r="DU100" s="13">
        <f>+STDEV(CQ100,CS100,CU100,CY100)</f>
        <v>50000</v>
      </c>
      <c r="DV100" s="17">
        <f t="shared" si="1"/>
        <v>0.13333333333333333</v>
      </c>
      <c r="DW100" s="373">
        <f t="shared" si="2"/>
        <v>375000</v>
      </c>
      <c r="DX100" s="13">
        <f t="shared" si="8"/>
        <v>1875000</v>
      </c>
      <c r="DY100" s="42" t="s">
        <v>448</v>
      </c>
    </row>
    <row r="101" spans="1:132" s="353" customFormat="1" ht="182" hidden="1" x14ac:dyDescent="0.3">
      <c r="A101" s="133">
        <v>78</v>
      </c>
      <c r="B101" s="134" t="s">
        <v>15</v>
      </c>
      <c r="C101" s="147" t="s">
        <v>100</v>
      </c>
      <c r="D101" s="135" t="s">
        <v>340</v>
      </c>
      <c r="E101" s="132" t="s">
        <v>422</v>
      </c>
      <c r="F101" s="133" t="s">
        <v>19</v>
      </c>
      <c r="G101" s="136">
        <v>1</v>
      </c>
      <c r="H101" s="136">
        <v>1</v>
      </c>
      <c r="I101" s="229"/>
      <c r="J101" s="229"/>
      <c r="K101" s="229"/>
      <c r="L101" s="229"/>
      <c r="M101" s="229"/>
      <c r="N101" s="229"/>
      <c r="O101" s="230"/>
      <c r="P101" s="264"/>
      <c r="Q101" s="150"/>
      <c r="R101" s="150"/>
      <c r="S101" s="150"/>
      <c r="T101" s="150"/>
      <c r="U101" s="150"/>
      <c r="V101" s="150"/>
      <c r="W101" s="150"/>
      <c r="X101" s="150"/>
      <c r="Y101" s="150"/>
      <c r="Z101" s="150"/>
      <c r="AA101" s="150"/>
      <c r="AB101" s="150"/>
      <c r="AC101" s="150"/>
      <c r="AD101" s="150"/>
      <c r="AE101" s="150"/>
      <c r="AF101" s="150"/>
      <c r="AG101" s="150"/>
      <c r="AH101" s="150"/>
      <c r="AI101" s="150"/>
      <c r="AJ101" s="150"/>
      <c r="AK101" s="150"/>
      <c r="AL101" s="150"/>
      <c r="AM101" s="150"/>
      <c r="AN101" s="150"/>
      <c r="AO101" s="150"/>
      <c r="AP101" s="150"/>
      <c r="AQ101" s="150"/>
      <c r="AR101" s="150"/>
      <c r="AS101" s="150"/>
      <c r="AT101" s="150"/>
      <c r="AU101" s="150"/>
      <c r="AV101" s="150"/>
      <c r="AW101" s="150"/>
      <c r="AX101" s="150"/>
      <c r="AY101" s="150"/>
      <c r="AZ101" s="150"/>
      <c r="BA101" s="150"/>
      <c r="BB101" s="150"/>
      <c r="BC101" s="150"/>
      <c r="BD101" s="150"/>
      <c r="BE101" s="150"/>
      <c r="BF101" s="150"/>
      <c r="BG101" s="150"/>
      <c r="BH101" s="150"/>
      <c r="BI101" s="150"/>
      <c r="BJ101" s="150"/>
      <c r="BK101" s="232"/>
      <c r="BL101" s="150"/>
      <c r="BM101" s="232"/>
      <c r="BN101" s="150"/>
      <c r="BO101" s="150"/>
      <c r="BP101" s="150"/>
      <c r="BQ101" s="150"/>
      <c r="BR101" s="150"/>
      <c r="BS101" s="150"/>
      <c r="BT101" s="150"/>
      <c r="BU101" s="150"/>
      <c r="BV101" s="150"/>
      <c r="BW101" s="150"/>
      <c r="BX101" s="150"/>
      <c r="BY101" s="150"/>
      <c r="BZ101" s="150"/>
      <c r="CA101" s="150"/>
      <c r="CB101" s="150"/>
      <c r="CC101" s="150"/>
      <c r="CD101" s="150"/>
      <c r="CE101" s="150"/>
      <c r="CF101" s="150"/>
      <c r="CG101" s="150"/>
      <c r="CH101" s="150"/>
      <c r="CI101" s="150"/>
      <c r="CJ101" s="150"/>
      <c r="CK101" s="150"/>
      <c r="CL101" s="150"/>
      <c r="CM101" s="150"/>
      <c r="CN101" s="150"/>
      <c r="CO101" s="150"/>
      <c r="CP101" s="150"/>
      <c r="CQ101" s="150"/>
      <c r="CR101" s="150"/>
      <c r="CS101" s="150"/>
      <c r="CT101" s="150"/>
      <c r="CU101" s="150"/>
      <c r="CV101" s="150"/>
      <c r="CW101" s="150"/>
      <c r="CX101" s="150"/>
      <c r="CY101" s="150"/>
      <c r="CZ101" s="150"/>
      <c r="DA101" s="150"/>
      <c r="DB101" s="150"/>
      <c r="DC101" s="150"/>
      <c r="DD101" s="150"/>
      <c r="DE101" s="150"/>
      <c r="DF101" s="150"/>
      <c r="DG101" s="150"/>
      <c r="DH101" s="150"/>
      <c r="DI101" s="150"/>
      <c r="DJ101" s="150"/>
      <c r="DK101" s="150"/>
      <c r="DL101" s="150"/>
      <c r="DM101" s="150"/>
      <c r="DN101" s="150"/>
      <c r="DO101" s="150"/>
      <c r="DP101" s="150"/>
      <c r="DQ101" s="150"/>
      <c r="DR101" s="150"/>
      <c r="DS101" s="146"/>
      <c r="DT101" s="146"/>
      <c r="DU101" s="146"/>
      <c r="DV101" s="138"/>
      <c r="DW101" s="273">
        <f>+DZ101+EB101</f>
        <v>3780000</v>
      </c>
      <c r="DX101" s="146">
        <f t="shared" si="8"/>
        <v>3780000</v>
      </c>
      <c r="DY101" s="139" t="s">
        <v>1150</v>
      </c>
      <c r="DZ101" s="613">
        <v>3000000</v>
      </c>
      <c r="EA101" s="604">
        <f>+DZ101*G101*H101</f>
        <v>3000000</v>
      </c>
      <c r="EB101" s="604">
        <f>+DZ101*26%</f>
        <v>780000</v>
      </c>
    </row>
    <row r="102" spans="1:132" s="353" customFormat="1" ht="182" hidden="1" x14ac:dyDescent="0.3">
      <c r="A102" s="133">
        <v>79</v>
      </c>
      <c r="B102" s="134" t="s">
        <v>15</v>
      </c>
      <c r="C102" s="147" t="s">
        <v>100</v>
      </c>
      <c r="D102" s="135" t="s">
        <v>341</v>
      </c>
      <c r="E102" s="132" t="s">
        <v>423</v>
      </c>
      <c r="F102" s="133" t="s">
        <v>19</v>
      </c>
      <c r="G102" s="136">
        <v>2</v>
      </c>
      <c r="H102" s="136">
        <v>1</v>
      </c>
      <c r="I102" s="229"/>
      <c r="J102" s="229"/>
      <c r="K102" s="229"/>
      <c r="L102" s="229"/>
      <c r="M102" s="229"/>
      <c r="N102" s="229"/>
      <c r="O102" s="230"/>
      <c r="P102" s="264"/>
      <c r="Q102" s="150"/>
      <c r="R102" s="150"/>
      <c r="S102" s="150"/>
      <c r="T102" s="150"/>
      <c r="U102" s="150"/>
      <c r="V102" s="150"/>
      <c r="W102" s="150"/>
      <c r="X102" s="150"/>
      <c r="Y102" s="150"/>
      <c r="Z102" s="150"/>
      <c r="AA102" s="150"/>
      <c r="AB102" s="150"/>
      <c r="AC102" s="150"/>
      <c r="AD102" s="150"/>
      <c r="AE102" s="150"/>
      <c r="AF102" s="150"/>
      <c r="AG102" s="150"/>
      <c r="AH102" s="150"/>
      <c r="AI102" s="150"/>
      <c r="AJ102" s="150"/>
      <c r="AK102" s="150"/>
      <c r="AL102" s="150"/>
      <c r="AM102" s="150"/>
      <c r="AN102" s="150"/>
      <c r="AO102" s="150"/>
      <c r="AP102" s="150"/>
      <c r="AQ102" s="150"/>
      <c r="AR102" s="150"/>
      <c r="AS102" s="150"/>
      <c r="AT102" s="150"/>
      <c r="AU102" s="150"/>
      <c r="AV102" s="150"/>
      <c r="AW102" s="150"/>
      <c r="AX102" s="150"/>
      <c r="AY102" s="150"/>
      <c r="AZ102" s="150"/>
      <c r="BA102" s="150"/>
      <c r="BB102" s="150"/>
      <c r="BC102" s="150"/>
      <c r="BD102" s="150"/>
      <c r="BE102" s="150"/>
      <c r="BF102" s="150"/>
      <c r="BG102" s="150"/>
      <c r="BH102" s="150"/>
      <c r="BI102" s="150"/>
      <c r="BJ102" s="150"/>
      <c r="BK102" s="232"/>
      <c r="BL102" s="150"/>
      <c r="BM102" s="232"/>
      <c r="BN102" s="150"/>
      <c r="BO102" s="150"/>
      <c r="BP102" s="150"/>
      <c r="BQ102" s="150"/>
      <c r="BR102" s="150"/>
      <c r="BS102" s="150"/>
      <c r="BT102" s="150"/>
      <c r="BU102" s="150"/>
      <c r="BV102" s="150"/>
      <c r="BW102" s="150"/>
      <c r="BX102" s="150"/>
      <c r="BY102" s="150"/>
      <c r="BZ102" s="150"/>
      <c r="CA102" s="150"/>
      <c r="CB102" s="150"/>
      <c r="CC102" s="150"/>
      <c r="CD102" s="150"/>
      <c r="CE102" s="150"/>
      <c r="CF102" s="150"/>
      <c r="CG102" s="150"/>
      <c r="CH102" s="150"/>
      <c r="CI102" s="150"/>
      <c r="CJ102" s="150"/>
      <c r="CK102" s="150"/>
      <c r="CL102" s="150"/>
      <c r="CM102" s="150"/>
      <c r="CN102" s="150"/>
      <c r="CO102" s="150"/>
      <c r="CP102" s="150"/>
      <c r="CQ102" s="150"/>
      <c r="CR102" s="150"/>
      <c r="CS102" s="150"/>
      <c r="CT102" s="150"/>
      <c r="CU102" s="150"/>
      <c r="CV102" s="150"/>
      <c r="CW102" s="150"/>
      <c r="CX102" s="150"/>
      <c r="CY102" s="150"/>
      <c r="CZ102" s="150"/>
      <c r="DA102" s="150"/>
      <c r="DB102" s="150"/>
      <c r="DC102" s="150"/>
      <c r="DD102" s="150"/>
      <c r="DE102" s="150"/>
      <c r="DF102" s="150"/>
      <c r="DG102" s="150"/>
      <c r="DH102" s="150"/>
      <c r="DI102" s="150"/>
      <c r="DJ102" s="150"/>
      <c r="DK102" s="150"/>
      <c r="DL102" s="150"/>
      <c r="DM102" s="150"/>
      <c r="DN102" s="150"/>
      <c r="DO102" s="150"/>
      <c r="DP102" s="150"/>
      <c r="DQ102" s="150"/>
      <c r="DR102" s="150"/>
      <c r="DS102" s="146"/>
      <c r="DT102" s="146"/>
      <c r="DU102" s="146"/>
      <c r="DV102" s="138"/>
      <c r="DW102" s="273">
        <f>+DZ102+EB102</f>
        <v>2520000</v>
      </c>
      <c r="DX102" s="146">
        <f t="shared" si="8"/>
        <v>5040000</v>
      </c>
      <c r="DY102" s="139" t="s">
        <v>1151</v>
      </c>
      <c r="DZ102" s="613">
        <v>2000000</v>
      </c>
      <c r="EA102" s="604">
        <f>+DZ102*G102*H102</f>
        <v>4000000</v>
      </c>
      <c r="EB102" s="604">
        <f>+DZ102*26%</f>
        <v>520000</v>
      </c>
    </row>
    <row r="103" spans="1:132" s="353" customFormat="1" ht="182" hidden="1" x14ac:dyDescent="0.3">
      <c r="A103" s="133">
        <v>80</v>
      </c>
      <c r="B103" s="134" t="s">
        <v>15</v>
      </c>
      <c r="C103" s="147" t="s">
        <v>100</v>
      </c>
      <c r="D103" s="135" t="s">
        <v>342</v>
      </c>
      <c r="E103" s="132" t="s">
        <v>424</v>
      </c>
      <c r="F103" s="133" t="s">
        <v>19</v>
      </c>
      <c r="G103" s="136">
        <v>3</v>
      </c>
      <c r="H103" s="136">
        <v>1</v>
      </c>
      <c r="I103" s="229"/>
      <c r="J103" s="229"/>
      <c r="K103" s="229"/>
      <c r="L103" s="229"/>
      <c r="M103" s="229"/>
      <c r="N103" s="229"/>
      <c r="O103" s="230"/>
      <c r="P103" s="264"/>
      <c r="Q103" s="150"/>
      <c r="R103" s="150"/>
      <c r="S103" s="150"/>
      <c r="T103" s="150"/>
      <c r="U103" s="150"/>
      <c r="V103" s="150"/>
      <c r="W103" s="150"/>
      <c r="X103" s="150"/>
      <c r="Y103" s="150"/>
      <c r="Z103" s="150"/>
      <c r="AA103" s="150"/>
      <c r="AB103" s="150"/>
      <c r="AC103" s="150"/>
      <c r="AD103" s="150"/>
      <c r="AE103" s="150"/>
      <c r="AF103" s="150"/>
      <c r="AG103" s="150"/>
      <c r="AH103" s="150"/>
      <c r="AI103" s="150"/>
      <c r="AJ103" s="150"/>
      <c r="AK103" s="150"/>
      <c r="AL103" s="150"/>
      <c r="AM103" s="150"/>
      <c r="AN103" s="150"/>
      <c r="AO103" s="150"/>
      <c r="AP103" s="150"/>
      <c r="AQ103" s="150"/>
      <c r="AR103" s="150"/>
      <c r="AS103" s="150"/>
      <c r="AT103" s="150"/>
      <c r="AU103" s="150"/>
      <c r="AV103" s="150"/>
      <c r="AW103" s="150"/>
      <c r="AX103" s="150"/>
      <c r="AY103" s="150"/>
      <c r="AZ103" s="150"/>
      <c r="BA103" s="150"/>
      <c r="BB103" s="150"/>
      <c r="BC103" s="150"/>
      <c r="BD103" s="150"/>
      <c r="BE103" s="150"/>
      <c r="BF103" s="150"/>
      <c r="BG103" s="150"/>
      <c r="BH103" s="150"/>
      <c r="BI103" s="150"/>
      <c r="BJ103" s="150"/>
      <c r="BK103" s="232"/>
      <c r="BL103" s="150"/>
      <c r="BM103" s="232"/>
      <c r="BN103" s="150"/>
      <c r="BO103" s="150"/>
      <c r="BP103" s="150"/>
      <c r="BQ103" s="150"/>
      <c r="BR103" s="150"/>
      <c r="BS103" s="150"/>
      <c r="BT103" s="150"/>
      <c r="BU103" s="150"/>
      <c r="BV103" s="150"/>
      <c r="BW103" s="150"/>
      <c r="BX103" s="150"/>
      <c r="BY103" s="150"/>
      <c r="BZ103" s="150"/>
      <c r="CA103" s="150"/>
      <c r="CB103" s="150"/>
      <c r="CC103" s="150"/>
      <c r="CD103" s="150"/>
      <c r="CE103" s="150"/>
      <c r="CF103" s="150"/>
      <c r="CG103" s="150"/>
      <c r="CH103" s="150"/>
      <c r="CI103" s="150"/>
      <c r="CJ103" s="150"/>
      <c r="CK103" s="150"/>
      <c r="CL103" s="150"/>
      <c r="CM103" s="150"/>
      <c r="CN103" s="150"/>
      <c r="CO103" s="150"/>
      <c r="CP103" s="150"/>
      <c r="CQ103" s="150"/>
      <c r="CR103" s="150"/>
      <c r="CS103" s="150"/>
      <c r="CT103" s="150"/>
      <c r="CU103" s="150"/>
      <c r="CV103" s="150"/>
      <c r="CW103" s="150"/>
      <c r="CX103" s="150"/>
      <c r="CY103" s="150"/>
      <c r="CZ103" s="150"/>
      <c r="DA103" s="150"/>
      <c r="DB103" s="150"/>
      <c r="DC103" s="150"/>
      <c r="DD103" s="150"/>
      <c r="DE103" s="150"/>
      <c r="DF103" s="150"/>
      <c r="DG103" s="150"/>
      <c r="DH103" s="150"/>
      <c r="DI103" s="150"/>
      <c r="DJ103" s="150"/>
      <c r="DK103" s="150"/>
      <c r="DL103" s="150"/>
      <c r="DM103" s="150"/>
      <c r="DN103" s="150"/>
      <c r="DO103" s="150"/>
      <c r="DP103" s="150"/>
      <c r="DQ103" s="150"/>
      <c r="DR103" s="150"/>
      <c r="DS103" s="146"/>
      <c r="DT103" s="146"/>
      <c r="DU103" s="146"/>
      <c r="DV103" s="138"/>
      <c r="DW103" s="273">
        <f>+DZ103+EB103</f>
        <v>1890000</v>
      </c>
      <c r="DX103" s="146">
        <f t="shared" si="8"/>
        <v>5670000</v>
      </c>
      <c r="DY103" s="139" t="s">
        <v>1152</v>
      </c>
      <c r="DZ103" s="613">
        <v>1500000</v>
      </c>
      <c r="EA103" s="604">
        <f>+DZ103*G103*H103</f>
        <v>4500000</v>
      </c>
      <c r="EB103" s="604">
        <f>+DZ103*26%</f>
        <v>390000</v>
      </c>
    </row>
    <row r="104" spans="1:132" s="353" customFormat="1" ht="182" hidden="1" x14ac:dyDescent="0.3">
      <c r="A104" s="133">
        <v>81</v>
      </c>
      <c r="B104" s="134" t="s">
        <v>15</v>
      </c>
      <c r="C104" s="147" t="s">
        <v>100</v>
      </c>
      <c r="D104" s="135" t="s">
        <v>343</v>
      </c>
      <c r="E104" s="132" t="s">
        <v>425</v>
      </c>
      <c r="F104" s="133" t="s">
        <v>19</v>
      </c>
      <c r="G104" s="136">
        <v>2</v>
      </c>
      <c r="H104" s="136">
        <v>1</v>
      </c>
      <c r="I104" s="229"/>
      <c r="J104" s="229"/>
      <c r="K104" s="229"/>
      <c r="L104" s="229"/>
      <c r="M104" s="229"/>
      <c r="N104" s="229"/>
      <c r="O104" s="230"/>
      <c r="P104" s="264"/>
      <c r="Q104" s="150"/>
      <c r="R104" s="150"/>
      <c r="S104" s="150"/>
      <c r="T104" s="150"/>
      <c r="U104" s="150"/>
      <c r="V104" s="150"/>
      <c r="W104" s="150"/>
      <c r="X104" s="150"/>
      <c r="Y104" s="150"/>
      <c r="Z104" s="150"/>
      <c r="AA104" s="150"/>
      <c r="AB104" s="150"/>
      <c r="AC104" s="150"/>
      <c r="AD104" s="150"/>
      <c r="AE104" s="150"/>
      <c r="AF104" s="150"/>
      <c r="AG104" s="150"/>
      <c r="AH104" s="150"/>
      <c r="AI104" s="150"/>
      <c r="AJ104" s="150"/>
      <c r="AK104" s="150"/>
      <c r="AL104" s="150"/>
      <c r="AM104" s="150"/>
      <c r="AN104" s="150"/>
      <c r="AO104" s="150"/>
      <c r="AP104" s="150"/>
      <c r="AQ104" s="150"/>
      <c r="AR104" s="150"/>
      <c r="AS104" s="150"/>
      <c r="AT104" s="150"/>
      <c r="AU104" s="150"/>
      <c r="AV104" s="150"/>
      <c r="AW104" s="150"/>
      <c r="AX104" s="150"/>
      <c r="AY104" s="150"/>
      <c r="AZ104" s="150"/>
      <c r="BA104" s="150"/>
      <c r="BB104" s="150"/>
      <c r="BC104" s="150"/>
      <c r="BD104" s="150"/>
      <c r="BE104" s="150"/>
      <c r="BF104" s="150"/>
      <c r="BG104" s="150"/>
      <c r="BH104" s="150"/>
      <c r="BI104" s="150"/>
      <c r="BJ104" s="150"/>
      <c r="BK104" s="232"/>
      <c r="BL104" s="150"/>
      <c r="BM104" s="232"/>
      <c r="BN104" s="150"/>
      <c r="BO104" s="150"/>
      <c r="BP104" s="150"/>
      <c r="BQ104" s="150"/>
      <c r="BR104" s="150"/>
      <c r="BS104" s="150"/>
      <c r="BT104" s="150"/>
      <c r="BU104" s="150"/>
      <c r="BV104" s="150"/>
      <c r="BW104" s="150"/>
      <c r="BX104" s="150"/>
      <c r="BY104" s="150"/>
      <c r="BZ104" s="150"/>
      <c r="CA104" s="150"/>
      <c r="CB104" s="150"/>
      <c r="CC104" s="150"/>
      <c r="CD104" s="150"/>
      <c r="CE104" s="150"/>
      <c r="CF104" s="150"/>
      <c r="CG104" s="150"/>
      <c r="CH104" s="150"/>
      <c r="CI104" s="150"/>
      <c r="CJ104" s="150"/>
      <c r="CK104" s="150"/>
      <c r="CL104" s="150"/>
      <c r="CM104" s="150"/>
      <c r="CN104" s="150"/>
      <c r="CO104" s="150"/>
      <c r="CP104" s="150"/>
      <c r="CQ104" s="150"/>
      <c r="CR104" s="150"/>
      <c r="CS104" s="150"/>
      <c r="CT104" s="150"/>
      <c r="CU104" s="150"/>
      <c r="CV104" s="150"/>
      <c r="CW104" s="150"/>
      <c r="CX104" s="150"/>
      <c r="CY104" s="150"/>
      <c r="CZ104" s="150"/>
      <c r="DA104" s="150"/>
      <c r="DB104" s="150"/>
      <c r="DC104" s="150"/>
      <c r="DD104" s="150"/>
      <c r="DE104" s="150"/>
      <c r="DF104" s="150"/>
      <c r="DG104" s="150"/>
      <c r="DH104" s="150"/>
      <c r="DI104" s="150"/>
      <c r="DJ104" s="150"/>
      <c r="DK104" s="150"/>
      <c r="DL104" s="150"/>
      <c r="DM104" s="150"/>
      <c r="DN104" s="150"/>
      <c r="DO104" s="150"/>
      <c r="DP104" s="150"/>
      <c r="DQ104" s="150"/>
      <c r="DR104" s="150"/>
      <c r="DS104" s="146"/>
      <c r="DT104" s="146"/>
      <c r="DU104" s="146"/>
      <c r="DV104" s="138"/>
      <c r="DW104" s="273">
        <f>+DZ104+EB104</f>
        <v>1260000</v>
      </c>
      <c r="DX104" s="146">
        <f t="shared" si="8"/>
        <v>2520000</v>
      </c>
      <c r="DY104" s="139" t="s">
        <v>1153</v>
      </c>
      <c r="DZ104" s="613">
        <v>1000000</v>
      </c>
      <c r="EA104" s="604">
        <f>+DZ104*G104*H104</f>
        <v>2000000</v>
      </c>
      <c r="EB104" s="604">
        <f>+DZ104*26%</f>
        <v>260000</v>
      </c>
    </row>
    <row r="105" spans="1:132" s="353" customFormat="1" ht="182" hidden="1" x14ac:dyDescent="0.3">
      <c r="A105" s="133">
        <v>82</v>
      </c>
      <c r="B105" s="134" t="s">
        <v>15</v>
      </c>
      <c r="C105" s="147" t="s">
        <v>100</v>
      </c>
      <c r="D105" s="135" t="s">
        <v>366</v>
      </c>
      <c r="E105" s="132" t="s">
        <v>426</v>
      </c>
      <c r="F105" s="133" t="s">
        <v>19</v>
      </c>
      <c r="G105" s="136">
        <v>1</v>
      </c>
      <c r="H105" s="136">
        <v>1</v>
      </c>
      <c r="I105" s="229"/>
      <c r="J105" s="229"/>
      <c r="K105" s="229"/>
      <c r="L105" s="229"/>
      <c r="M105" s="229"/>
      <c r="N105" s="229"/>
      <c r="O105" s="230"/>
      <c r="P105" s="264"/>
      <c r="Q105" s="150"/>
      <c r="R105" s="150"/>
      <c r="S105" s="150"/>
      <c r="T105" s="150"/>
      <c r="U105" s="150"/>
      <c r="V105" s="150"/>
      <c r="W105" s="150"/>
      <c r="X105" s="150"/>
      <c r="Y105" s="150"/>
      <c r="Z105" s="150"/>
      <c r="AA105" s="150"/>
      <c r="AB105" s="150"/>
      <c r="AC105" s="150"/>
      <c r="AD105" s="150"/>
      <c r="AE105" s="150"/>
      <c r="AF105" s="150"/>
      <c r="AG105" s="150"/>
      <c r="AH105" s="150"/>
      <c r="AI105" s="150"/>
      <c r="AJ105" s="150"/>
      <c r="AK105" s="150"/>
      <c r="AL105" s="150"/>
      <c r="AM105" s="150"/>
      <c r="AN105" s="150"/>
      <c r="AO105" s="150"/>
      <c r="AP105" s="150"/>
      <c r="AQ105" s="150"/>
      <c r="AR105" s="150"/>
      <c r="AS105" s="150"/>
      <c r="AT105" s="150"/>
      <c r="AU105" s="150"/>
      <c r="AV105" s="150"/>
      <c r="AW105" s="150"/>
      <c r="AX105" s="150"/>
      <c r="AY105" s="150"/>
      <c r="AZ105" s="150"/>
      <c r="BA105" s="150"/>
      <c r="BB105" s="150"/>
      <c r="BC105" s="150"/>
      <c r="BD105" s="150"/>
      <c r="BE105" s="150"/>
      <c r="BF105" s="150"/>
      <c r="BG105" s="150"/>
      <c r="BH105" s="150"/>
      <c r="BI105" s="150"/>
      <c r="BJ105" s="150"/>
      <c r="BK105" s="232"/>
      <c r="BL105" s="150"/>
      <c r="BM105" s="232"/>
      <c r="BN105" s="150"/>
      <c r="BO105" s="150"/>
      <c r="BP105" s="150"/>
      <c r="BQ105" s="150"/>
      <c r="BR105" s="150"/>
      <c r="BS105" s="150"/>
      <c r="BT105" s="150"/>
      <c r="BU105" s="150"/>
      <c r="BV105" s="150"/>
      <c r="BW105" s="150"/>
      <c r="BX105" s="150"/>
      <c r="BY105" s="150"/>
      <c r="BZ105" s="150"/>
      <c r="CA105" s="150"/>
      <c r="CB105" s="150"/>
      <c r="CC105" s="150"/>
      <c r="CD105" s="150"/>
      <c r="CE105" s="150"/>
      <c r="CF105" s="150"/>
      <c r="CG105" s="150"/>
      <c r="CH105" s="150"/>
      <c r="CI105" s="150"/>
      <c r="CJ105" s="150"/>
      <c r="CK105" s="150"/>
      <c r="CL105" s="150"/>
      <c r="CM105" s="150"/>
      <c r="CN105" s="150"/>
      <c r="CO105" s="150"/>
      <c r="CP105" s="150"/>
      <c r="CQ105" s="150"/>
      <c r="CR105" s="150"/>
      <c r="CS105" s="150"/>
      <c r="CT105" s="150"/>
      <c r="CU105" s="150"/>
      <c r="CV105" s="150"/>
      <c r="CW105" s="150"/>
      <c r="CX105" s="150"/>
      <c r="CY105" s="150"/>
      <c r="CZ105" s="150"/>
      <c r="DA105" s="150"/>
      <c r="DB105" s="150"/>
      <c r="DC105" s="150"/>
      <c r="DD105" s="150"/>
      <c r="DE105" s="150"/>
      <c r="DF105" s="150"/>
      <c r="DG105" s="150"/>
      <c r="DH105" s="150"/>
      <c r="DI105" s="150"/>
      <c r="DJ105" s="150"/>
      <c r="DK105" s="150"/>
      <c r="DL105" s="150"/>
      <c r="DM105" s="150"/>
      <c r="DN105" s="150"/>
      <c r="DO105" s="150"/>
      <c r="DP105" s="150"/>
      <c r="DQ105" s="150"/>
      <c r="DR105" s="150"/>
      <c r="DS105" s="146"/>
      <c r="DT105" s="146"/>
      <c r="DU105" s="146"/>
      <c r="DV105" s="138"/>
      <c r="DW105" s="273">
        <f>+DZ105+EB105</f>
        <v>1008000</v>
      </c>
      <c r="DX105" s="146">
        <f t="shared" si="8"/>
        <v>1008000</v>
      </c>
      <c r="DY105" s="139" t="s">
        <v>1154</v>
      </c>
      <c r="DZ105" s="613">
        <v>800000</v>
      </c>
      <c r="EA105" s="604">
        <f>+DZ105*G105*H105</f>
        <v>800000</v>
      </c>
      <c r="EB105" s="604">
        <f>+DZ105*26%</f>
        <v>208000</v>
      </c>
    </row>
    <row r="106" spans="1:132" ht="155" hidden="1" x14ac:dyDescent="0.3">
      <c r="A106" s="19">
        <v>83</v>
      </c>
      <c r="B106" s="9" t="s">
        <v>15</v>
      </c>
      <c r="C106" s="20" t="s">
        <v>100</v>
      </c>
      <c r="D106" s="9" t="s">
        <v>444</v>
      </c>
      <c r="E106" s="60" t="s">
        <v>212</v>
      </c>
      <c r="F106" s="9" t="s">
        <v>474</v>
      </c>
      <c r="G106" s="11">
        <v>1</v>
      </c>
      <c r="H106" s="11">
        <v>1</v>
      </c>
      <c r="I106" s="191"/>
      <c r="J106" s="191"/>
      <c r="K106" s="191"/>
      <c r="L106" s="191"/>
      <c r="M106" s="191"/>
      <c r="N106" s="191"/>
      <c r="O106" s="211"/>
      <c r="P106" s="212"/>
      <c r="Q106" s="32"/>
      <c r="R106" s="32"/>
      <c r="S106" s="32"/>
      <c r="T106" s="32"/>
      <c r="U106" s="32"/>
      <c r="V106" s="32"/>
      <c r="W106" s="32"/>
      <c r="X106" s="32"/>
      <c r="Y106" s="32"/>
      <c r="Z106" s="32"/>
      <c r="AA106" s="32"/>
      <c r="AB106" s="32"/>
      <c r="AC106" s="32"/>
      <c r="AD106" s="192"/>
      <c r="AE106" s="192"/>
      <c r="AF106" s="19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c r="BI106" s="32"/>
      <c r="BJ106" s="32"/>
      <c r="BK106" s="192"/>
      <c r="BL106" s="32"/>
      <c r="BM106" s="192"/>
      <c r="BN106" s="32"/>
      <c r="BO106" s="32"/>
      <c r="BP106" s="32"/>
      <c r="BQ106" s="32"/>
      <c r="BR106" s="32"/>
      <c r="BS106" s="32"/>
      <c r="BT106" s="32"/>
      <c r="BU106" s="32"/>
      <c r="BV106" s="32"/>
      <c r="BW106" s="32"/>
      <c r="BX106" s="32"/>
      <c r="BY106" s="32"/>
      <c r="BZ106" s="32"/>
      <c r="CA106" s="32"/>
      <c r="CB106" s="32"/>
      <c r="CC106" s="32"/>
      <c r="CD106" s="32"/>
      <c r="CE106" s="32"/>
      <c r="CF106" s="32"/>
      <c r="CG106" s="32"/>
      <c r="CH106" s="32"/>
      <c r="CI106" s="32"/>
      <c r="CJ106" s="32"/>
      <c r="CK106" s="246">
        <f>1138011+(1138011*5.2%)</f>
        <v>1197187.5719999999</v>
      </c>
      <c r="CL106" s="32">
        <f>CK106*G106</f>
        <v>1197187.5719999999</v>
      </c>
      <c r="CM106" s="246">
        <f>1200000+(1200000*5.2%)</f>
        <v>1262400</v>
      </c>
      <c r="CN106" s="32">
        <f>CM106*G106</f>
        <v>1262400</v>
      </c>
      <c r="CO106" s="32"/>
      <c r="CP106" s="32"/>
      <c r="CQ106" s="32"/>
      <c r="CR106" s="32"/>
      <c r="CS106" s="32"/>
      <c r="CT106" s="32"/>
      <c r="CU106" s="32"/>
      <c r="CV106" s="32"/>
      <c r="CW106" s="32"/>
      <c r="CX106" s="32"/>
      <c r="CY106" s="32"/>
      <c r="CZ106" s="32"/>
      <c r="DA106" s="32"/>
      <c r="DB106" s="32"/>
      <c r="DC106" s="32"/>
      <c r="DD106" s="32"/>
      <c r="DE106" s="32"/>
      <c r="DF106" s="32"/>
      <c r="DG106" s="32"/>
      <c r="DH106" s="32"/>
      <c r="DI106" s="32"/>
      <c r="DJ106" s="32"/>
      <c r="DK106" s="32"/>
      <c r="DL106" s="32"/>
      <c r="DM106" s="32"/>
      <c r="DN106" s="32"/>
      <c r="DO106" s="32"/>
      <c r="DP106" s="32"/>
      <c r="DQ106" s="32"/>
      <c r="DR106" s="32"/>
      <c r="DS106" s="265">
        <f>MEDIAN(CK106,CM106)</f>
        <v>1229793.7859999998</v>
      </c>
      <c r="DT106" s="265">
        <f>AVERAGE(CK106,CM106)</f>
        <v>1229793.7859999998</v>
      </c>
      <c r="DU106" s="265">
        <f>STDEV(CK106,CM106)</f>
        <v>46112.150056439539</v>
      </c>
      <c r="DV106" s="48">
        <f>DU106/DT106</f>
        <v>3.7495839206037058E-2</v>
      </c>
      <c r="DW106" s="377">
        <f>ROUNDUP(IF(DV106&lt;15%,DT106,DS106),0)</f>
        <v>1229794</v>
      </c>
      <c r="DX106" s="13">
        <f t="shared" si="8"/>
        <v>1229794</v>
      </c>
      <c r="DY106" s="10" t="s">
        <v>308</v>
      </c>
    </row>
    <row r="107" spans="1:132" ht="221" hidden="1" x14ac:dyDescent="0.3">
      <c r="A107" s="415">
        <v>84</v>
      </c>
      <c r="B107" s="416" t="s">
        <v>15</v>
      </c>
      <c r="C107" s="531" t="s">
        <v>100</v>
      </c>
      <c r="D107" s="417" t="s">
        <v>369</v>
      </c>
      <c r="E107" s="418" t="s">
        <v>891</v>
      </c>
      <c r="F107" s="415" t="s">
        <v>28</v>
      </c>
      <c r="G107" s="420">
        <v>1</v>
      </c>
      <c r="H107" s="420">
        <v>1</v>
      </c>
      <c r="I107" s="421"/>
      <c r="J107" s="421"/>
      <c r="K107" s="421"/>
      <c r="L107" s="421"/>
      <c r="M107" s="421"/>
      <c r="N107" s="421"/>
      <c r="O107" s="422"/>
      <c r="P107" s="423"/>
      <c r="Q107" s="424"/>
      <c r="R107" s="424"/>
      <c r="S107" s="424"/>
      <c r="T107" s="424"/>
      <c r="U107" s="424"/>
      <c r="V107" s="424"/>
      <c r="W107" s="424"/>
      <c r="X107" s="424"/>
      <c r="Y107" s="424"/>
      <c r="Z107" s="424"/>
      <c r="AA107" s="424"/>
      <c r="AB107" s="424"/>
      <c r="AC107" s="424"/>
      <c r="AD107" s="424"/>
      <c r="AE107" s="424"/>
      <c r="AF107" s="424"/>
      <c r="AG107" s="424"/>
      <c r="AH107" s="424"/>
      <c r="AI107" s="424"/>
      <c r="AJ107" s="424"/>
      <c r="AK107" s="424"/>
      <c r="AL107" s="424"/>
      <c r="AM107" s="424"/>
      <c r="AN107" s="424"/>
      <c r="AO107" s="424"/>
      <c r="AP107" s="424"/>
      <c r="AQ107" s="424"/>
      <c r="AR107" s="424"/>
      <c r="AS107" s="424"/>
      <c r="AT107" s="424"/>
      <c r="AU107" s="424"/>
      <c r="AV107" s="424"/>
      <c r="AW107" s="424"/>
      <c r="AX107" s="424"/>
      <c r="AY107" s="424"/>
      <c r="AZ107" s="424"/>
      <c r="BA107" s="424"/>
      <c r="BB107" s="424"/>
      <c r="BC107" s="424"/>
      <c r="BD107" s="424"/>
      <c r="BE107" s="424"/>
      <c r="BF107" s="424"/>
      <c r="BG107" s="424"/>
      <c r="BH107" s="424"/>
      <c r="BI107" s="424"/>
      <c r="BJ107" s="424"/>
      <c r="BK107" s="425"/>
      <c r="BL107" s="424"/>
      <c r="BM107" s="425"/>
      <c r="BN107" s="424"/>
      <c r="BO107" s="424"/>
      <c r="BP107" s="424"/>
      <c r="BQ107" s="424"/>
      <c r="BR107" s="424"/>
      <c r="BS107" s="424"/>
      <c r="BT107" s="424"/>
      <c r="BU107" s="424"/>
      <c r="BV107" s="424"/>
      <c r="BW107" s="424"/>
      <c r="BX107" s="424"/>
      <c r="BY107" s="424"/>
      <c r="BZ107" s="424"/>
      <c r="CA107" s="424"/>
      <c r="CB107" s="424"/>
      <c r="CC107" s="424"/>
      <c r="CD107" s="424"/>
      <c r="CE107" s="424"/>
      <c r="CF107" s="424"/>
      <c r="CG107" s="424"/>
      <c r="CH107" s="424"/>
      <c r="CI107" s="424"/>
      <c r="CJ107" s="424"/>
      <c r="CK107" s="424"/>
      <c r="CL107" s="424"/>
      <c r="CM107" s="424"/>
      <c r="CN107" s="424"/>
      <c r="CO107" s="424"/>
      <c r="CP107" s="424"/>
      <c r="CQ107" s="424"/>
      <c r="CR107" s="424"/>
      <c r="CS107" s="424"/>
      <c r="CT107" s="424"/>
      <c r="CU107" s="424"/>
      <c r="CV107" s="424"/>
      <c r="CW107" s="424"/>
      <c r="CX107" s="424"/>
      <c r="CY107" s="424"/>
      <c r="CZ107" s="424"/>
      <c r="DA107" s="424"/>
      <c r="DB107" s="424"/>
      <c r="DC107" s="424"/>
      <c r="DD107" s="424"/>
      <c r="DE107" s="424"/>
      <c r="DF107" s="424"/>
      <c r="DG107" s="424"/>
      <c r="DH107" s="424"/>
      <c r="DI107" s="424"/>
      <c r="DJ107" s="424"/>
      <c r="DK107" s="424"/>
      <c r="DL107" s="424"/>
      <c r="DM107" s="424"/>
      <c r="DN107" s="424"/>
      <c r="DO107" s="424"/>
      <c r="DP107" s="424"/>
      <c r="DQ107" s="424"/>
      <c r="DR107" s="424"/>
      <c r="DS107" s="426"/>
      <c r="DT107" s="426"/>
      <c r="DU107" s="426"/>
      <c r="DV107" s="427"/>
      <c r="DW107" s="532">
        <f>16000000*1.34</f>
        <v>21440000</v>
      </c>
      <c r="DX107" s="426">
        <f t="shared" si="8"/>
        <v>21440000</v>
      </c>
      <c r="DY107" s="429" t="s">
        <v>892</v>
      </c>
    </row>
    <row r="108" spans="1:132" ht="78" hidden="1" x14ac:dyDescent="0.3">
      <c r="A108" s="19">
        <v>85</v>
      </c>
      <c r="B108" s="9" t="s">
        <v>15</v>
      </c>
      <c r="C108" s="20" t="s">
        <v>100</v>
      </c>
      <c r="D108" s="26" t="s">
        <v>102</v>
      </c>
      <c r="E108" s="10" t="s">
        <v>370</v>
      </c>
      <c r="F108" s="19" t="s">
        <v>40</v>
      </c>
      <c r="G108" s="21">
        <v>1</v>
      </c>
      <c r="H108" s="11">
        <v>1</v>
      </c>
      <c r="I108" s="191"/>
      <c r="J108" s="191"/>
      <c r="K108" s="191"/>
      <c r="L108" s="191"/>
      <c r="M108" s="191"/>
      <c r="N108" s="191"/>
      <c r="O108" s="211"/>
      <c r="P108" s="21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c r="BI108" s="32"/>
      <c r="BJ108" s="32"/>
      <c r="BK108" s="192"/>
      <c r="BL108" s="32"/>
      <c r="BM108" s="192"/>
      <c r="BN108" s="32"/>
      <c r="BO108" s="32"/>
      <c r="BP108" s="32"/>
      <c r="BQ108" s="32"/>
      <c r="BR108" s="32"/>
      <c r="BS108" s="32"/>
      <c r="BT108" s="32"/>
      <c r="BU108" s="32"/>
      <c r="BV108" s="32"/>
      <c r="BW108" s="32"/>
      <c r="BX108" s="32"/>
      <c r="BY108" s="32"/>
      <c r="BZ108" s="32"/>
      <c r="CA108" s="32"/>
      <c r="CB108" s="32"/>
      <c r="CC108" s="32"/>
      <c r="CD108" s="32"/>
      <c r="CE108" s="32"/>
      <c r="CF108" s="32"/>
      <c r="CG108" s="32"/>
      <c r="CH108" s="32"/>
      <c r="CI108" s="32"/>
      <c r="CJ108" s="32"/>
      <c r="CK108" s="32"/>
      <c r="CL108" s="32"/>
      <c r="CM108" s="32"/>
      <c r="CN108" s="32"/>
      <c r="CO108" s="211"/>
      <c r="CP108" s="32"/>
      <c r="CQ108" s="225"/>
      <c r="CR108" s="32"/>
      <c r="CS108" s="28"/>
      <c r="CT108" s="25"/>
      <c r="CU108" s="225"/>
      <c r="CV108" s="25"/>
      <c r="CW108" s="266"/>
      <c r="CX108" s="25"/>
      <c r="CY108" s="266"/>
      <c r="CZ108" s="25"/>
      <c r="DA108" s="25">
        <v>2847000</v>
      </c>
      <c r="DB108" s="25">
        <f>DA108*G108*H108</f>
        <v>2847000</v>
      </c>
      <c r="DC108" s="266"/>
      <c r="DD108" s="25"/>
      <c r="DE108" s="25"/>
      <c r="DF108" s="25"/>
      <c r="DG108" s="25"/>
      <c r="DH108" s="25"/>
      <c r="DI108" s="25"/>
      <c r="DJ108" s="25"/>
      <c r="DK108" s="25"/>
      <c r="DL108" s="25"/>
      <c r="DM108" s="25"/>
      <c r="DN108" s="25"/>
      <c r="DO108" s="25"/>
      <c r="DP108" s="25"/>
      <c r="DQ108" s="25"/>
      <c r="DR108" s="25"/>
      <c r="DS108" s="13"/>
      <c r="DT108" s="13"/>
      <c r="DU108" s="13"/>
      <c r="DV108" s="17"/>
      <c r="DW108" s="373">
        <f>DA108</f>
        <v>2847000</v>
      </c>
      <c r="DX108" s="13">
        <f t="shared" si="8"/>
        <v>2847000</v>
      </c>
      <c r="DY108" s="166" t="s">
        <v>334</v>
      </c>
    </row>
    <row r="109" spans="1:132" ht="52" hidden="1" x14ac:dyDescent="0.3">
      <c r="A109" s="19">
        <v>86</v>
      </c>
      <c r="B109" s="9" t="s">
        <v>15</v>
      </c>
      <c r="C109" s="20" t="s">
        <v>100</v>
      </c>
      <c r="D109" s="26" t="s">
        <v>515</v>
      </c>
      <c r="E109" s="10" t="s">
        <v>41</v>
      </c>
      <c r="F109" s="27" t="s">
        <v>473</v>
      </c>
      <c r="G109" s="21">
        <v>1</v>
      </c>
      <c r="H109" s="11">
        <v>1</v>
      </c>
      <c r="I109" s="191"/>
      <c r="J109" s="191"/>
      <c r="K109" s="191"/>
      <c r="L109" s="191"/>
      <c r="M109" s="191"/>
      <c r="N109" s="191"/>
      <c r="O109" s="211"/>
      <c r="P109" s="212"/>
      <c r="Q109" s="32"/>
      <c r="R109" s="32"/>
      <c r="S109" s="32"/>
      <c r="T109" s="32"/>
      <c r="U109" s="32"/>
      <c r="V109" s="32"/>
      <c r="W109" s="32"/>
      <c r="X109" s="32"/>
      <c r="Y109" s="32"/>
      <c r="Z109" s="32"/>
      <c r="AA109" s="32">
        <v>4500000</v>
      </c>
      <c r="AB109" s="32">
        <f>AA109*G109</f>
        <v>4500000</v>
      </c>
      <c r="AC109" s="32"/>
      <c r="AD109" s="32"/>
      <c r="AE109" s="32"/>
      <c r="AF109" s="32"/>
      <c r="AG109" s="32">
        <v>4200000</v>
      </c>
      <c r="AH109" s="32">
        <f>AG109*G109</f>
        <v>4200000</v>
      </c>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c r="BI109" s="32"/>
      <c r="BJ109" s="32"/>
      <c r="BK109" s="192"/>
      <c r="BL109" s="32"/>
      <c r="BM109" s="192"/>
      <c r="BN109" s="32"/>
      <c r="BO109" s="32"/>
      <c r="BP109" s="32"/>
      <c r="BQ109" s="32"/>
      <c r="BR109" s="32"/>
      <c r="BS109" s="32"/>
      <c r="BT109" s="32"/>
      <c r="BU109" s="32"/>
      <c r="BV109" s="32"/>
      <c r="BW109" s="32"/>
      <c r="BX109" s="32"/>
      <c r="BY109" s="32"/>
      <c r="BZ109" s="32"/>
      <c r="CA109" s="32"/>
      <c r="CB109" s="32"/>
      <c r="CC109" s="32"/>
      <c r="CD109" s="32"/>
      <c r="CE109" s="32"/>
      <c r="CF109" s="32"/>
      <c r="CG109" s="32"/>
      <c r="CH109" s="32"/>
      <c r="CI109" s="32"/>
      <c r="CJ109" s="32"/>
      <c r="CK109" s="32"/>
      <c r="CL109" s="32"/>
      <c r="CM109" s="32"/>
      <c r="CN109" s="32"/>
      <c r="CO109" s="32"/>
      <c r="CP109" s="32"/>
      <c r="CQ109" s="32"/>
      <c r="CR109" s="32"/>
      <c r="CS109" s="32"/>
      <c r="CT109" s="32"/>
      <c r="CU109" s="32"/>
      <c r="CV109" s="32"/>
      <c r="CW109" s="32"/>
      <c r="CX109" s="32"/>
      <c r="CY109" s="32"/>
      <c r="CZ109" s="32"/>
      <c r="DA109" s="32"/>
      <c r="DB109" s="32"/>
      <c r="DC109" s="32"/>
      <c r="DD109" s="32"/>
      <c r="DE109" s="32"/>
      <c r="DF109" s="32"/>
      <c r="DG109" s="32"/>
      <c r="DH109" s="32"/>
      <c r="DI109" s="32"/>
      <c r="DJ109" s="32"/>
      <c r="DK109" s="32"/>
      <c r="DL109" s="32"/>
      <c r="DM109" s="32"/>
      <c r="DN109" s="32"/>
      <c r="DO109" s="32"/>
      <c r="DP109" s="32"/>
      <c r="DQ109" s="32"/>
      <c r="DR109" s="32"/>
      <c r="DS109" s="13">
        <f t="shared" ref="DS109:DS114" si="9">+MEDIAN(AA109,AG109)</f>
        <v>4350000</v>
      </c>
      <c r="DT109" s="13">
        <f t="shared" ref="DT109:DT114" si="10">+AVERAGE(AA109,AG109)</f>
        <v>4350000</v>
      </c>
      <c r="DU109" s="13">
        <f t="shared" ref="DU109:DU114" si="11">+STDEV(AA109,AG109)</f>
        <v>212132.03435596425</v>
      </c>
      <c r="DV109" s="17">
        <f t="shared" ref="DV109:DV116" si="12">DU109/DT109</f>
        <v>4.8765984909417068E-2</v>
      </c>
      <c r="DW109" s="373">
        <f t="shared" ref="DW109:DW116" si="13">+ROUNDUP(IF(DV109&lt;15%,DT109,DS109),0)</f>
        <v>4350000</v>
      </c>
      <c r="DX109" s="13">
        <f t="shared" si="8"/>
        <v>4350000</v>
      </c>
      <c r="DY109" s="10" t="s">
        <v>308</v>
      </c>
    </row>
    <row r="110" spans="1:132" ht="143" hidden="1" x14ac:dyDescent="0.3">
      <c r="A110" s="19">
        <v>87</v>
      </c>
      <c r="B110" s="9" t="s">
        <v>15</v>
      </c>
      <c r="C110" s="20" t="s">
        <v>100</v>
      </c>
      <c r="D110" s="26" t="s">
        <v>372</v>
      </c>
      <c r="E110" s="10" t="s">
        <v>42</v>
      </c>
      <c r="F110" s="19" t="s">
        <v>31</v>
      </c>
      <c r="G110" s="21">
        <v>1</v>
      </c>
      <c r="H110" s="11">
        <v>1</v>
      </c>
      <c r="I110" s="191"/>
      <c r="J110" s="191"/>
      <c r="K110" s="191"/>
      <c r="L110" s="191"/>
      <c r="M110" s="191"/>
      <c r="N110" s="191"/>
      <c r="O110" s="211"/>
      <c r="P110" s="212"/>
      <c r="Q110" s="32"/>
      <c r="R110" s="32"/>
      <c r="S110" s="32"/>
      <c r="T110" s="32"/>
      <c r="U110" s="32"/>
      <c r="V110" s="32"/>
      <c r="W110" s="32"/>
      <c r="X110" s="32"/>
      <c r="Y110" s="32"/>
      <c r="Z110" s="32"/>
      <c r="AA110" s="32">
        <v>5000000</v>
      </c>
      <c r="AB110" s="32">
        <f>AA110*G110</f>
        <v>5000000</v>
      </c>
      <c r="AC110" s="32"/>
      <c r="AD110" s="32"/>
      <c r="AE110" s="32"/>
      <c r="AF110" s="32"/>
      <c r="AG110" s="32">
        <v>5200000</v>
      </c>
      <c r="AH110" s="32">
        <f>AG110*G110</f>
        <v>5200000</v>
      </c>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c r="BI110" s="32"/>
      <c r="BJ110" s="32"/>
      <c r="BK110" s="192"/>
      <c r="BL110" s="32"/>
      <c r="BM110" s="192"/>
      <c r="BN110" s="32"/>
      <c r="BO110" s="32"/>
      <c r="BP110" s="32"/>
      <c r="BQ110" s="32"/>
      <c r="BR110" s="32"/>
      <c r="BS110" s="32"/>
      <c r="BT110" s="32"/>
      <c r="BU110" s="32"/>
      <c r="BV110" s="32"/>
      <c r="BW110" s="32"/>
      <c r="BX110" s="32"/>
      <c r="BY110" s="32"/>
      <c r="BZ110" s="32"/>
      <c r="CA110" s="32"/>
      <c r="CB110" s="32"/>
      <c r="CC110" s="32"/>
      <c r="CD110" s="32"/>
      <c r="CE110" s="32"/>
      <c r="CF110" s="32"/>
      <c r="CG110" s="32"/>
      <c r="CH110" s="32"/>
      <c r="CI110" s="32"/>
      <c r="CJ110" s="32"/>
      <c r="CK110" s="32"/>
      <c r="CL110" s="32"/>
      <c r="CM110" s="32"/>
      <c r="CN110" s="32"/>
      <c r="CO110" s="32"/>
      <c r="CP110" s="32"/>
      <c r="CQ110" s="32"/>
      <c r="CR110" s="32"/>
      <c r="CS110" s="32"/>
      <c r="CT110" s="32"/>
      <c r="CU110" s="32"/>
      <c r="CV110" s="32"/>
      <c r="CW110" s="32"/>
      <c r="CX110" s="32"/>
      <c r="CY110" s="32"/>
      <c r="CZ110" s="32"/>
      <c r="DA110" s="32"/>
      <c r="DB110" s="32"/>
      <c r="DC110" s="32"/>
      <c r="DD110" s="32"/>
      <c r="DE110" s="32"/>
      <c r="DF110" s="32"/>
      <c r="DG110" s="32"/>
      <c r="DH110" s="32"/>
      <c r="DI110" s="32"/>
      <c r="DJ110" s="32"/>
      <c r="DK110" s="32"/>
      <c r="DL110" s="32"/>
      <c r="DM110" s="32"/>
      <c r="DN110" s="32"/>
      <c r="DO110" s="32"/>
      <c r="DP110" s="32"/>
      <c r="DQ110" s="32"/>
      <c r="DR110" s="32"/>
      <c r="DS110" s="13">
        <f t="shared" si="9"/>
        <v>5100000</v>
      </c>
      <c r="DT110" s="13">
        <f t="shared" si="10"/>
        <v>5100000</v>
      </c>
      <c r="DU110" s="13">
        <f t="shared" si="11"/>
        <v>141421.35623730952</v>
      </c>
      <c r="DV110" s="17">
        <f t="shared" si="12"/>
        <v>2.7729677693590103E-2</v>
      </c>
      <c r="DW110" s="373">
        <f t="shared" si="13"/>
        <v>5100000</v>
      </c>
      <c r="DX110" s="13">
        <f t="shared" si="8"/>
        <v>5100000</v>
      </c>
      <c r="DY110" s="10" t="s">
        <v>308</v>
      </c>
    </row>
    <row r="111" spans="1:132" ht="52" hidden="1" x14ac:dyDescent="0.3">
      <c r="A111" s="19">
        <v>88</v>
      </c>
      <c r="B111" s="9" t="s">
        <v>15</v>
      </c>
      <c r="C111" s="20" t="s">
        <v>100</v>
      </c>
      <c r="D111" s="26" t="s">
        <v>433</v>
      </c>
      <c r="E111" s="10" t="s">
        <v>43</v>
      </c>
      <c r="F111" s="27" t="s">
        <v>473</v>
      </c>
      <c r="G111" s="21">
        <v>60</v>
      </c>
      <c r="H111" s="11">
        <v>1</v>
      </c>
      <c r="I111" s="191"/>
      <c r="J111" s="191"/>
      <c r="K111" s="191"/>
      <c r="L111" s="191"/>
      <c r="M111" s="191"/>
      <c r="N111" s="191"/>
      <c r="O111" s="211"/>
      <c r="P111" s="212"/>
      <c r="Q111" s="32"/>
      <c r="R111" s="32"/>
      <c r="S111" s="32"/>
      <c r="T111" s="32"/>
      <c r="U111" s="32"/>
      <c r="V111" s="32"/>
      <c r="W111" s="32"/>
      <c r="X111" s="32"/>
      <c r="Y111" s="32"/>
      <c r="Z111" s="32"/>
      <c r="AA111" s="32">
        <v>42000</v>
      </c>
      <c r="AB111" s="32">
        <f>AA111*G111</f>
        <v>2520000</v>
      </c>
      <c r="AC111" s="32"/>
      <c r="AD111" s="32"/>
      <c r="AE111" s="32"/>
      <c r="AF111" s="32"/>
      <c r="AG111" s="32">
        <v>50000</v>
      </c>
      <c r="AH111" s="32">
        <f>AG111*G111</f>
        <v>3000000</v>
      </c>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c r="BI111" s="32"/>
      <c r="BJ111" s="32"/>
      <c r="BK111" s="192"/>
      <c r="BL111" s="32"/>
      <c r="BM111" s="192"/>
      <c r="BN111" s="32"/>
      <c r="BO111" s="32"/>
      <c r="BP111" s="32"/>
      <c r="BQ111" s="32"/>
      <c r="BR111" s="32"/>
      <c r="BS111" s="32"/>
      <c r="BT111" s="32"/>
      <c r="BU111" s="32"/>
      <c r="BV111" s="32"/>
      <c r="BW111" s="32"/>
      <c r="BX111" s="32"/>
      <c r="BY111" s="32"/>
      <c r="BZ111" s="32"/>
      <c r="CA111" s="32"/>
      <c r="CB111" s="32"/>
      <c r="CC111" s="32"/>
      <c r="CD111" s="32"/>
      <c r="CE111" s="32"/>
      <c r="CF111" s="32"/>
      <c r="CG111" s="32"/>
      <c r="CH111" s="32"/>
      <c r="CI111" s="32"/>
      <c r="CJ111" s="32"/>
      <c r="CK111" s="32"/>
      <c r="CL111" s="32"/>
      <c r="CM111" s="32"/>
      <c r="CN111" s="32"/>
      <c r="CO111" s="32"/>
      <c r="CP111" s="32"/>
      <c r="CQ111" s="32"/>
      <c r="CR111" s="32"/>
      <c r="CS111" s="32"/>
      <c r="CT111" s="32"/>
      <c r="CU111" s="32"/>
      <c r="CV111" s="32"/>
      <c r="CW111" s="32"/>
      <c r="CX111" s="32"/>
      <c r="CY111" s="32"/>
      <c r="CZ111" s="32"/>
      <c r="DA111" s="32"/>
      <c r="DB111" s="32"/>
      <c r="DC111" s="32"/>
      <c r="DD111" s="32"/>
      <c r="DE111" s="32"/>
      <c r="DF111" s="32"/>
      <c r="DG111" s="32"/>
      <c r="DH111" s="32"/>
      <c r="DI111" s="32"/>
      <c r="DJ111" s="32"/>
      <c r="DK111" s="32"/>
      <c r="DL111" s="32"/>
      <c r="DM111" s="32"/>
      <c r="DN111" s="32"/>
      <c r="DO111" s="32"/>
      <c r="DP111" s="32"/>
      <c r="DQ111" s="32"/>
      <c r="DR111" s="32"/>
      <c r="DS111" s="13">
        <f t="shared" si="9"/>
        <v>46000</v>
      </c>
      <c r="DT111" s="13">
        <f t="shared" si="10"/>
        <v>46000</v>
      </c>
      <c r="DU111" s="13">
        <f t="shared" si="11"/>
        <v>5656.8542494923804</v>
      </c>
      <c r="DV111" s="17">
        <f t="shared" si="12"/>
        <v>0.12297509238026914</v>
      </c>
      <c r="DW111" s="373">
        <f t="shared" si="13"/>
        <v>46000</v>
      </c>
      <c r="DX111" s="13">
        <f t="shared" si="8"/>
        <v>2760000</v>
      </c>
      <c r="DY111" s="10" t="s">
        <v>308</v>
      </c>
    </row>
    <row r="112" spans="1:132" ht="169" hidden="1" x14ac:dyDescent="0.3">
      <c r="A112" s="19">
        <v>89</v>
      </c>
      <c r="B112" s="9" t="s">
        <v>15</v>
      </c>
      <c r="C112" s="20" t="s">
        <v>100</v>
      </c>
      <c r="D112" s="26" t="s">
        <v>488</v>
      </c>
      <c r="E112" s="10" t="s">
        <v>300</v>
      </c>
      <c r="F112" s="19" t="s">
        <v>31</v>
      </c>
      <c r="G112" s="21">
        <v>4</v>
      </c>
      <c r="H112" s="11">
        <v>1</v>
      </c>
      <c r="I112" s="191"/>
      <c r="J112" s="191"/>
      <c r="K112" s="191"/>
      <c r="L112" s="191"/>
      <c r="M112" s="191"/>
      <c r="N112" s="191"/>
      <c r="O112" s="211"/>
      <c r="P112" s="212"/>
      <c r="Q112" s="32"/>
      <c r="R112" s="32"/>
      <c r="S112" s="32"/>
      <c r="T112" s="32"/>
      <c r="U112" s="32"/>
      <c r="V112" s="32"/>
      <c r="W112" s="32"/>
      <c r="X112" s="32"/>
      <c r="Y112" s="32"/>
      <c r="Z112" s="32"/>
      <c r="AA112" s="32">
        <v>450000</v>
      </c>
      <c r="AB112" s="32">
        <f>AA112*G112*H112</f>
        <v>1800000</v>
      </c>
      <c r="AC112" s="32"/>
      <c r="AD112" s="32"/>
      <c r="AE112" s="32"/>
      <c r="AF112" s="32"/>
      <c r="AG112" s="32">
        <v>480000</v>
      </c>
      <c r="AH112" s="32">
        <f>AG112*G112</f>
        <v>1920000</v>
      </c>
      <c r="AI112" s="32"/>
      <c r="AJ112" s="32"/>
      <c r="AK112" s="32"/>
      <c r="AL112" s="32"/>
      <c r="AM112" s="32"/>
      <c r="AN112" s="32"/>
      <c r="AO112" s="32"/>
      <c r="AP112" s="32"/>
      <c r="AQ112" s="32"/>
      <c r="AR112" s="32"/>
      <c r="AS112" s="32"/>
      <c r="AT112" s="32"/>
      <c r="AU112" s="32"/>
      <c r="AV112" s="32"/>
      <c r="AW112" s="32"/>
      <c r="AX112" s="32"/>
      <c r="AY112" s="32"/>
      <c r="AZ112" s="32"/>
      <c r="BA112" s="32"/>
      <c r="BB112" s="32"/>
      <c r="BC112" s="32"/>
      <c r="BD112" s="32"/>
      <c r="BE112" s="32"/>
      <c r="BF112" s="32"/>
      <c r="BG112" s="32"/>
      <c r="BH112" s="32"/>
      <c r="BI112" s="32"/>
      <c r="BJ112" s="32"/>
      <c r="BK112" s="192"/>
      <c r="BL112" s="32"/>
      <c r="BM112" s="192"/>
      <c r="BN112" s="32"/>
      <c r="BO112" s="32"/>
      <c r="BP112" s="32"/>
      <c r="BQ112" s="32"/>
      <c r="BR112" s="32"/>
      <c r="BS112" s="32"/>
      <c r="BT112" s="32"/>
      <c r="BU112" s="32"/>
      <c r="BV112" s="32"/>
      <c r="BW112" s="32"/>
      <c r="BX112" s="32"/>
      <c r="BY112" s="32"/>
      <c r="BZ112" s="32"/>
      <c r="CA112" s="32"/>
      <c r="CB112" s="32"/>
      <c r="CC112" s="32"/>
      <c r="CD112" s="32"/>
      <c r="CE112" s="32"/>
      <c r="CF112" s="32"/>
      <c r="CG112" s="32"/>
      <c r="CH112" s="32"/>
      <c r="CI112" s="32"/>
      <c r="CJ112" s="32"/>
      <c r="CK112" s="32"/>
      <c r="CL112" s="32"/>
      <c r="CM112" s="32"/>
      <c r="CN112" s="32"/>
      <c r="CO112" s="32"/>
      <c r="CP112" s="32"/>
      <c r="CQ112" s="32"/>
      <c r="CR112" s="32"/>
      <c r="CS112" s="32"/>
      <c r="CT112" s="32"/>
      <c r="CU112" s="32"/>
      <c r="CV112" s="32"/>
      <c r="CW112" s="32"/>
      <c r="CX112" s="32"/>
      <c r="CY112" s="32"/>
      <c r="CZ112" s="32"/>
      <c r="DA112" s="32"/>
      <c r="DB112" s="32"/>
      <c r="DC112" s="32"/>
      <c r="DD112" s="32"/>
      <c r="DE112" s="32"/>
      <c r="DF112" s="32"/>
      <c r="DG112" s="32"/>
      <c r="DH112" s="32"/>
      <c r="DI112" s="32"/>
      <c r="DJ112" s="32"/>
      <c r="DK112" s="32"/>
      <c r="DL112" s="32"/>
      <c r="DM112" s="32"/>
      <c r="DN112" s="32"/>
      <c r="DO112" s="32"/>
      <c r="DP112" s="32"/>
      <c r="DQ112" s="32"/>
      <c r="DR112" s="32"/>
      <c r="DS112" s="13">
        <f t="shared" si="9"/>
        <v>465000</v>
      </c>
      <c r="DT112" s="13">
        <f t="shared" si="10"/>
        <v>465000</v>
      </c>
      <c r="DU112" s="13">
        <f t="shared" si="11"/>
        <v>21213.203435596424</v>
      </c>
      <c r="DV112" s="17">
        <f t="shared" si="12"/>
        <v>4.5619792334615966E-2</v>
      </c>
      <c r="DW112" s="373">
        <f t="shared" si="13"/>
        <v>465000</v>
      </c>
      <c r="DX112" s="13">
        <f t="shared" si="8"/>
        <v>1860000</v>
      </c>
      <c r="DY112" s="10" t="s">
        <v>455</v>
      </c>
    </row>
    <row r="113" spans="1:132" ht="52" hidden="1" x14ac:dyDescent="0.3">
      <c r="A113" s="19">
        <v>90</v>
      </c>
      <c r="B113" s="9" t="s">
        <v>15</v>
      </c>
      <c r="C113" s="20" t="s">
        <v>100</v>
      </c>
      <c r="D113" s="26" t="s">
        <v>516</v>
      </c>
      <c r="E113" s="10" t="s">
        <v>346</v>
      </c>
      <c r="F113" s="19" t="s">
        <v>31</v>
      </c>
      <c r="G113" s="21">
        <v>1</v>
      </c>
      <c r="H113" s="11">
        <v>1</v>
      </c>
      <c r="I113" s="191"/>
      <c r="J113" s="191"/>
      <c r="K113" s="191"/>
      <c r="L113" s="191"/>
      <c r="M113" s="191"/>
      <c r="N113" s="191"/>
      <c r="O113" s="211"/>
      <c r="P113" s="212"/>
      <c r="Q113" s="32"/>
      <c r="R113" s="32"/>
      <c r="S113" s="32"/>
      <c r="T113" s="32"/>
      <c r="U113" s="32"/>
      <c r="V113" s="32"/>
      <c r="W113" s="32"/>
      <c r="X113" s="32"/>
      <c r="Y113" s="32"/>
      <c r="Z113" s="32"/>
      <c r="AA113" s="1">
        <v>1700000</v>
      </c>
      <c r="AB113" s="32">
        <f>AA113*G113*H113</f>
        <v>1700000</v>
      </c>
      <c r="AC113" s="1"/>
      <c r="AD113" s="32"/>
      <c r="AE113" s="32"/>
      <c r="AF113" s="32"/>
      <c r="AG113" s="32">
        <v>1700000</v>
      </c>
      <c r="AH113" s="32">
        <f>AG113*G113*H113</f>
        <v>1700000</v>
      </c>
      <c r="AI113" s="32"/>
      <c r="AJ113" s="32"/>
      <c r="AK113" s="32"/>
      <c r="AL113" s="32"/>
      <c r="AM113" s="176"/>
      <c r="AN113" s="32"/>
      <c r="AO113" s="32"/>
      <c r="AP113" s="32"/>
      <c r="AQ113" s="32"/>
      <c r="AR113" s="32"/>
      <c r="AS113" s="32"/>
      <c r="AT113" s="32"/>
      <c r="AU113" s="32"/>
      <c r="AV113" s="32"/>
      <c r="AW113" s="32"/>
      <c r="AX113" s="32"/>
      <c r="AY113" s="32"/>
      <c r="AZ113" s="32"/>
      <c r="BA113" s="32"/>
      <c r="BB113" s="32"/>
      <c r="BC113" s="32"/>
      <c r="BD113" s="32"/>
      <c r="BE113" s="32"/>
      <c r="BF113" s="32"/>
      <c r="BG113" s="32"/>
      <c r="BH113" s="32"/>
      <c r="BI113" s="32"/>
      <c r="BJ113" s="32"/>
      <c r="BK113" s="192"/>
      <c r="BL113" s="32"/>
      <c r="BM113" s="192"/>
      <c r="BN113" s="32"/>
      <c r="BO113" s="32"/>
      <c r="BP113" s="32"/>
      <c r="BQ113" s="32"/>
      <c r="BR113" s="32"/>
      <c r="BS113" s="32"/>
      <c r="BT113" s="32"/>
      <c r="BU113" s="32"/>
      <c r="BV113" s="32"/>
      <c r="BW113" s="32"/>
      <c r="BX113" s="32"/>
      <c r="BY113" s="32"/>
      <c r="BZ113" s="32"/>
      <c r="CA113" s="32"/>
      <c r="CB113" s="32"/>
      <c r="CC113" s="32"/>
      <c r="CD113" s="32"/>
      <c r="CE113" s="32"/>
      <c r="CF113" s="32"/>
      <c r="CG113" s="32"/>
      <c r="CH113" s="32"/>
      <c r="CI113" s="32"/>
      <c r="CJ113" s="32"/>
      <c r="CK113" s="32"/>
      <c r="CL113" s="32"/>
      <c r="CM113" s="32"/>
      <c r="CN113" s="32"/>
      <c r="CO113" s="32"/>
      <c r="CP113" s="32"/>
      <c r="CQ113" s="32"/>
      <c r="CR113" s="32"/>
      <c r="CS113" s="32"/>
      <c r="CT113" s="32"/>
      <c r="CU113" s="32"/>
      <c r="CV113" s="32"/>
      <c r="CW113" s="32"/>
      <c r="CX113" s="32"/>
      <c r="CY113" s="32"/>
      <c r="CZ113" s="32"/>
      <c r="DA113" s="32"/>
      <c r="DB113" s="32"/>
      <c r="DC113" s="32"/>
      <c r="DD113" s="32"/>
      <c r="DE113" s="32"/>
      <c r="DF113" s="32"/>
      <c r="DG113" s="32"/>
      <c r="DH113" s="32"/>
      <c r="DI113" s="32"/>
      <c r="DJ113" s="32"/>
      <c r="DK113" s="32"/>
      <c r="DL113" s="32"/>
      <c r="DM113" s="32"/>
      <c r="DN113" s="32"/>
      <c r="DO113" s="32"/>
      <c r="DP113" s="32"/>
      <c r="DQ113" s="32"/>
      <c r="DR113" s="32"/>
      <c r="DS113" s="13">
        <f t="shared" si="9"/>
        <v>1700000</v>
      </c>
      <c r="DT113" s="13">
        <f t="shared" si="10"/>
        <v>1700000</v>
      </c>
      <c r="DU113" s="13">
        <f t="shared" si="11"/>
        <v>0</v>
      </c>
      <c r="DV113" s="17">
        <f t="shared" si="12"/>
        <v>0</v>
      </c>
      <c r="DW113" s="373">
        <f t="shared" si="13"/>
        <v>1700000</v>
      </c>
      <c r="DX113" s="13">
        <f t="shared" si="8"/>
        <v>1700000</v>
      </c>
      <c r="DY113" s="10" t="s">
        <v>308</v>
      </c>
    </row>
    <row r="114" spans="1:132" ht="52" hidden="1" x14ac:dyDescent="0.3">
      <c r="A114" s="19">
        <v>91</v>
      </c>
      <c r="B114" s="9" t="s">
        <v>15</v>
      </c>
      <c r="C114" s="20" t="s">
        <v>100</v>
      </c>
      <c r="D114" s="26" t="s">
        <v>492</v>
      </c>
      <c r="E114" s="10" t="s">
        <v>44</v>
      </c>
      <c r="F114" s="19" t="s">
        <v>112</v>
      </c>
      <c r="G114" s="21">
        <v>2</v>
      </c>
      <c r="H114" s="11">
        <v>1</v>
      </c>
      <c r="I114" s="191"/>
      <c r="J114" s="191"/>
      <c r="K114" s="191"/>
      <c r="L114" s="191"/>
      <c r="M114" s="191"/>
      <c r="N114" s="191"/>
      <c r="O114" s="211"/>
      <c r="P114" s="212"/>
      <c r="Q114" s="32"/>
      <c r="R114" s="32"/>
      <c r="S114" s="32"/>
      <c r="T114" s="32"/>
      <c r="U114" s="32"/>
      <c r="V114" s="32"/>
      <c r="W114" s="32"/>
      <c r="X114" s="32"/>
      <c r="Y114" s="32"/>
      <c r="Z114" s="32"/>
      <c r="AA114" s="32">
        <v>480000</v>
      </c>
      <c r="AB114" s="32">
        <f>AA114*H114</f>
        <v>480000</v>
      </c>
      <c r="AC114" s="32"/>
      <c r="AD114" s="32"/>
      <c r="AE114" s="32"/>
      <c r="AF114" s="32"/>
      <c r="AG114" s="32">
        <v>495000</v>
      </c>
      <c r="AH114" s="32">
        <f>AG114*G114*H114</f>
        <v>990000</v>
      </c>
      <c r="AI114" s="32"/>
      <c r="AJ114" s="32"/>
      <c r="AK114" s="32"/>
      <c r="AL114" s="32"/>
      <c r="AM114" s="32"/>
      <c r="AN114" s="32"/>
      <c r="AO114" s="32"/>
      <c r="AP114" s="32"/>
      <c r="AQ114" s="32"/>
      <c r="AR114" s="32"/>
      <c r="AS114" s="32"/>
      <c r="AT114" s="32"/>
      <c r="AU114" s="32"/>
      <c r="AV114" s="32"/>
      <c r="AW114" s="32"/>
      <c r="AX114" s="32"/>
      <c r="AY114" s="32"/>
      <c r="AZ114" s="32"/>
      <c r="BA114" s="32"/>
      <c r="BB114" s="32"/>
      <c r="BC114" s="32"/>
      <c r="BD114" s="32"/>
      <c r="BE114" s="32"/>
      <c r="BF114" s="32"/>
      <c r="BG114" s="32"/>
      <c r="BH114" s="32"/>
      <c r="BI114" s="32"/>
      <c r="BJ114" s="32"/>
      <c r="BK114" s="192"/>
      <c r="BL114" s="32"/>
      <c r="BM114" s="192"/>
      <c r="BN114" s="32"/>
      <c r="BO114" s="32"/>
      <c r="BP114" s="32"/>
      <c r="BQ114" s="32"/>
      <c r="BR114" s="32"/>
      <c r="BS114" s="32"/>
      <c r="BT114" s="32"/>
      <c r="BU114" s="32"/>
      <c r="BV114" s="32"/>
      <c r="BW114" s="32"/>
      <c r="BX114" s="32"/>
      <c r="BY114" s="32"/>
      <c r="BZ114" s="32"/>
      <c r="CA114" s="32"/>
      <c r="CB114" s="32"/>
      <c r="CC114" s="32"/>
      <c r="CD114" s="32"/>
      <c r="CE114" s="32"/>
      <c r="CF114" s="32"/>
      <c r="CG114" s="32"/>
      <c r="CH114" s="32"/>
      <c r="CI114" s="32"/>
      <c r="CJ114" s="32"/>
      <c r="CK114" s="32"/>
      <c r="CL114" s="32"/>
      <c r="CM114" s="32"/>
      <c r="CN114" s="32"/>
      <c r="CO114" s="32"/>
      <c r="CP114" s="32"/>
      <c r="CQ114" s="32"/>
      <c r="CR114" s="32"/>
      <c r="CS114" s="32"/>
      <c r="CT114" s="32"/>
      <c r="CU114" s="32"/>
      <c r="CV114" s="32"/>
      <c r="CW114" s="32"/>
      <c r="CX114" s="32"/>
      <c r="CY114" s="32"/>
      <c r="CZ114" s="32"/>
      <c r="DA114" s="32"/>
      <c r="DB114" s="32"/>
      <c r="DC114" s="32"/>
      <c r="DD114" s="32"/>
      <c r="DE114" s="32"/>
      <c r="DF114" s="32"/>
      <c r="DG114" s="32"/>
      <c r="DH114" s="32"/>
      <c r="DI114" s="32"/>
      <c r="DJ114" s="32"/>
      <c r="DK114" s="32"/>
      <c r="DL114" s="32"/>
      <c r="DM114" s="32"/>
      <c r="DN114" s="32"/>
      <c r="DO114" s="32"/>
      <c r="DP114" s="32"/>
      <c r="DQ114" s="32"/>
      <c r="DR114" s="32"/>
      <c r="DS114" s="13">
        <f t="shared" si="9"/>
        <v>487500</v>
      </c>
      <c r="DT114" s="13">
        <f t="shared" si="10"/>
        <v>487500</v>
      </c>
      <c r="DU114" s="13">
        <f t="shared" si="11"/>
        <v>10606.601717798212</v>
      </c>
      <c r="DV114" s="17">
        <f t="shared" si="12"/>
        <v>2.1757131728816846E-2</v>
      </c>
      <c r="DW114" s="373">
        <f t="shared" si="13"/>
        <v>487500</v>
      </c>
      <c r="DX114" s="13">
        <f t="shared" si="8"/>
        <v>975000</v>
      </c>
      <c r="DY114" s="10" t="s">
        <v>308</v>
      </c>
    </row>
    <row r="115" spans="1:132" ht="52" hidden="1" x14ac:dyDescent="0.3">
      <c r="A115" s="19">
        <v>92</v>
      </c>
      <c r="B115" s="9" t="s">
        <v>15</v>
      </c>
      <c r="C115" s="20" t="s">
        <v>100</v>
      </c>
      <c r="D115" s="26" t="s">
        <v>414</v>
      </c>
      <c r="E115" s="10" t="s">
        <v>45</v>
      </c>
      <c r="F115" s="26" t="s">
        <v>255</v>
      </c>
      <c r="G115" s="21">
        <v>6</v>
      </c>
      <c r="H115" s="11">
        <v>1</v>
      </c>
      <c r="I115" s="191"/>
      <c r="J115" s="191"/>
      <c r="K115" s="191"/>
      <c r="L115" s="191"/>
      <c r="M115" s="191"/>
      <c r="N115" s="191"/>
      <c r="O115" s="211"/>
      <c r="P115" s="212"/>
      <c r="Q115" s="32"/>
      <c r="R115" s="32"/>
      <c r="S115" s="32"/>
      <c r="T115" s="32"/>
      <c r="U115" s="32"/>
      <c r="V115" s="32"/>
      <c r="W115" s="32"/>
      <c r="X115" s="32"/>
      <c r="Y115" s="32"/>
      <c r="Z115" s="32"/>
      <c r="AA115" s="32"/>
      <c r="AB115" s="32"/>
      <c r="AC115" s="32"/>
      <c r="AD115" s="32"/>
      <c r="AE115" s="32"/>
      <c r="AF115" s="32"/>
      <c r="AG115" s="32"/>
      <c r="AH115" s="32"/>
      <c r="AI115" s="32"/>
      <c r="AJ115" s="32"/>
      <c r="AK115" s="32">
        <v>22000</v>
      </c>
      <c r="AL115" s="32">
        <f>AK115*G115</f>
        <v>132000</v>
      </c>
      <c r="AN115" s="32"/>
      <c r="AO115" s="32">
        <f>28800+(28800*5.2%)</f>
        <v>30297.599999999999</v>
      </c>
      <c r="AP115" s="32">
        <f>AO115*G115</f>
        <v>181785.59999999998</v>
      </c>
      <c r="AQ115" s="32"/>
      <c r="AR115" s="32"/>
      <c r="AS115" s="32">
        <v>36000</v>
      </c>
      <c r="AT115" s="32">
        <f>AS115*G115</f>
        <v>216000</v>
      </c>
      <c r="AU115" s="32"/>
      <c r="AV115" s="32"/>
      <c r="AW115" s="32"/>
      <c r="AX115" s="32"/>
      <c r="AY115" s="32"/>
      <c r="AZ115" s="32"/>
      <c r="BA115" s="32"/>
      <c r="BB115" s="32"/>
      <c r="BC115" s="32"/>
      <c r="BD115" s="32"/>
      <c r="BE115" s="32"/>
      <c r="BF115" s="32"/>
      <c r="BG115" s="32"/>
      <c r="BH115" s="32"/>
      <c r="BI115" s="32"/>
      <c r="BJ115" s="32"/>
      <c r="BK115" s="192"/>
      <c r="BL115" s="32"/>
      <c r="BM115" s="192"/>
      <c r="BN115" s="32"/>
      <c r="BO115" s="32"/>
      <c r="BP115" s="32"/>
      <c r="BQ115" s="32"/>
      <c r="BR115" s="32"/>
      <c r="BS115" s="32"/>
      <c r="BT115" s="32"/>
      <c r="BU115" s="32"/>
      <c r="BV115" s="32"/>
      <c r="BW115" s="32"/>
      <c r="BX115" s="32"/>
      <c r="BY115" s="32"/>
      <c r="BZ115" s="32"/>
      <c r="CA115" s="32"/>
      <c r="CB115" s="32"/>
      <c r="CC115" s="32"/>
      <c r="CD115" s="32"/>
      <c r="CE115" s="32"/>
      <c r="CF115" s="32"/>
      <c r="CG115" s="32"/>
      <c r="CH115" s="32"/>
      <c r="CI115" s="32"/>
      <c r="CJ115" s="32"/>
      <c r="CK115" s="32"/>
      <c r="CL115" s="32"/>
      <c r="CM115" s="32"/>
      <c r="CN115" s="32"/>
      <c r="CO115" s="32"/>
      <c r="CP115" s="32"/>
      <c r="CQ115" s="32"/>
      <c r="CR115" s="32"/>
      <c r="CS115" s="32"/>
      <c r="CT115" s="32"/>
      <c r="CU115" s="32"/>
      <c r="CV115" s="32"/>
      <c r="CW115" s="32"/>
      <c r="CX115" s="32"/>
      <c r="CY115" s="32"/>
      <c r="CZ115" s="32"/>
      <c r="DA115" s="32"/>
      <c r="DB115" s="32"/>
      <c r="DC115" s="32"/>
      <c r="DD115" s="32"/>
      <c r="DE115" s="32"/>
      <c r="DF115" s="32"/>
      <c r="DG115" s="32"/>
      <c r="DH115" s="32"/>
      <c r="DI115" s="32"/>
      <c r="DJ115" s="32"/>
      <c r="DK115" s="32"/>
      <c r="DL115" s="32"/>
      <c r="DM115" s="32"/>
      <c r="DN115" s="32"/>
      <c r="DO115" s="32"/>
      <c r="DP115" s="32"/>
      <c r="DQ115" s="32"/>
      <c r="DR115" s="32"/>
      <c r="DS115" s="13">
        <f>+MEDIAN(AK115,AO115,AS115)</f>
        <v>30297.599999999999</v>
      </c>
      <c r="DT115" s="13">
        <f>+AVERAGE(AK115,AO115,AS115)</f>
        <v>29432.533333333336</v>
      </c>
      <c r="DU115" s="13">
        <f>+STDEV(AK115,AO115,AS115)</f>
        <v>7039.9755151089194</v>
      </c>
      <c r="DV115" s="17">
        <f t="shared" si="12"/>
        <v>0.23919026729295875</v>
      </c>
      <c r="DW115" s="373">
        <f t="shared" si="13"/>
        <v>30298</v>
      </c>
      <c r="DX115" s="13">
        <f t="shared" si="8"/>
        <v>181788</v>
      </c>
      <c r="DY115" s="10" t="s">
        <v>309</v>
      </c>
    </row>
    <row r="116" spans="1:132" ht="195" hidden="1" x14ac:dyDescent="0.3">
      <c r="A116" s="19">
        <v>93</v>
      </c>
      <c r="B116" s="14" t="s">
        <v>15</v>
      </c>
      <c r="C116" s="45" t="s">
        <v>100</v>
      </c>
      <c r="D116" s="38" t="s">
        <v>363</v>
      </c>
      <c r="E116" s="39" t="s">
        <v>244</v>
      </c>
      <c r="F116" s="37" t="s">
        <v>19</v>
      </c>
      <c r="G116" s="57">
        <v>130</v>
      </c>
      <c r="H116" s="15">
        <v>1</v>
      </c>
      <c r="I116" s="194"/>
      <c r="J116" s="194"/>
      <c r="K116" s="194"/>
      <c r="L116" s="194"/>
      <c r="M116" s="194"/>
      <c r="N116" s="194"/>
      <c r="O116" s="213"/>
      <c r="P116" s="242"/>
      <c r="Q116" s="197"/>
      <c r="R116" s="197"/>
      <c r="S116" s="197"/>
      <c r="T116" s="197"/>
      <c r="U116" s="197"/>
      <c r="V116" s="197"/>
      <c r="W116" s="197"/>
      <c r="X116" s="197"/>
      <c r="Y116" s="197"/>
      <c r="Z116" s="197"/>
      <c r="AA116" s="197"/>
      <c r="AB116" s="197"/>
      <c r="AC116" s="197"/>
      <c r="AD116" s="197"/>
      <c r="AE116" s="197"/>
      <c r="AF116" s="197"/>
      <c r="AG116" s="197"/>
      <c r="AH116" s="197"/>
      <c r="AI116" s="197"/>
      <c r="AJ116" s="197"/>
      <c r="AK116" s="197">
        <v>27000</v>
      </c>
      <c r="AL116" s="197">
        <f>AK116*G116</f>
        <v>3510000</v>
      </c>
      <c r="AM116" s="197">
        <f>18000+(18000*5.2%)</f>
        <v>18936</v>
      </c>
      <c r="AN116" s="197">
        <f>AM116*G116</f>
        <v>2461680</v>
      </c>
      <c r="AO116" s="197">
        <f>13400+(13400*5.2%)</f>
        <v>14096.8</v>
      </c>
      <c r="AP116" s="197">
        <f>AO116*G116</f>
        <v>1832584</v>
      </c>
      <c r="AQ116" s="197">
        <f>16900+(16900*5.2%)</f>
        <v>17778.8</v>
      </c>
      <c r="AR116" s="197">
        <f>AQ116*G116</f>
        <v>2311244</v>
      </c>
      <c r="AS116" s="197"/>
      <c r="AT116" s="197"/>
      <c r="AU116" s="197"/>
      <c r="AV116" s="197"/>
      <c r="AW116" s="197"/>
      <c r="AX116" s="197"/>
      <c r="AY116" s="197"/>
      <c r="AZ116" s="197"/>
      <c r="BA116" s="197"/>
      <c r="BB116" s="197"/>
      <c r="BC116" s="197"/>
      <c r="BD116" s="197"/>
      <c r="BE116" s="197"/>
      <c r="BF116" s="197"/>
      <c r="BG116" s="197"/>
      <c r="BH116" s="197"/>
      <c r="BI116" s="197"/>
      <c r="BJ116" s="197"/>
      <c r="BK116" s="195"/>
      <c r="BL116" s="197"/>
      <c r="BM116" s="195"/>
      <c r="BN116" s="197"/>
      <c r="BO116" s="197"/>
      <c r="BP116" s="197"/>
      <c r="BQ116" s="197"/>
      <c r="BR116" s="197"/>
      <c r="BS116" s="197"/>
      <c r="BT116" s="197"/>
      <c r="BU116" s="197"/>
      <c r="BV116" s="197"/>
      <c r="BW116" s="197"/>
      <c r="BX116" s="197"/>
      <c r="BY116" s="197"/>
      <c r="BZ116" s="197"/>
      <c r="CA116" s="197"/>
      <c r="CB116" s="197"/>
      <c r="CC116" s="197"/>
      <c r="CD116" s="197"/>
      <c r="CE116" s="197"/>
      <c r="CF116" s="197"/>
      <c r="CG116" s="197"/>
      <c r="CH116" s="197"/>
      <c r="CI116" s="197"/>
      <c r="CJ116" s="197"/>
      <c r="CK116" s="197"/>
      <c r="CL116" s="197"/>
      <c r="CM116" s="197"/>
      <c r="CN116" s="197"/>
      <c r="CO116" s="197"/>
      <c r="CP116" s="197"/>
      <c r="CQ116" s="197"/>
      <c r="CR116" s="197"/>
      <c r="CS116" s="197"/>
      <c r="CT116" s="197"/>
      <c r="CU116" s="197"/>
      <c r="CV116" s="197"/>
      <c r="CW116" s="197"/>
      <c r="CX116" s="197"/>
      <c r="CY116" s="197"/>
      <c r="CZ116" s="197"/>
      <c r="DA116" s="197"/>
      <c r="DB116" s="197"/>
      <c r="DC116" s="197"/>
      <c r="DD116" s="197"/>
      <c r="DE116" s="197"/>
      <c r="DF116" s="197"/>
      <c r="DG116" s="197"/>
      <c r="DH116" s="197"/>
      <c r="DI116" s="197"/>
      <c r="DJ116" s="197"/>
      <c r="DK116" s="197"/>
      <c r="DL116" s="197"/>
      <c r="DM116" s="197"/>
      <c r="DN116" s="197"/>
      <c r="DO116" s="197"/>
      <c r="DP116" s="197"/>
      <c r="DQ116" s="197"/>
      <c r="DR116" s="197"/>
      <c r="DS116" s="73">
        <f>+MEDIAN(AK116,AM116,AO116,AQ116)</f>
        <v>18357.400000000001</v>
      </c>
      <c r="DT116" s="73">
        <f>+AVERAGE(AK116,AM116,AO116,AQ116)</f>
        <v>19452.900000000001</v>
      </c>
      <c r="DU116" s="73">
        <f>+STDEV(AK116,AM116,AO116,AQ116)</f>
        <v>5438.0242135049912</v>
      </c>
      <c r="DV116" s="72">
        <f t="shared" si="12"/>
        <v>0.27954825313989129</v>
      </c>
      <c r="DW116" s="376">
        <f t="shared" si="13"/>
        <v>18358</v>
      </c>
      <c r="DX116" s="73">
        <f t="shared" si="8"/>
        <v>2386540</v>
      </c>
      <c r="DY116" s="39" t="s">
        <v>309</v>
      </c>
    </row>
    <row r="117" spans="1:132" s="63" customFormat="1" ht="20.5" hidden="1" customHeight="1" x14ac:dyDescent="0.3">
      <c r="A117" s="354" t="s">
        <v>371</v>
      </c>
      <c r="B117" s="66"/>
      <c r="C117" s="66"/>
      <c r="D117" s="66"/>
      <c r="E117" s="66"/>
      <c r="F117" s="67"/>
      <c r="G117" s="67"/>
      <c r="H117" s="67"/>
      <c r="I117" s="214"/>
      <c r="J117" s="214"/>
      <c r="K117" s="214"/>
      <c r="L117" s="214"/>
      <c r="M117" s="214"/>
      <c r="N117" s="214"/>
      <c r="O117" s="215"/>
      <c r="P117" s="215"/>
      <c r="Q117" s="215"/>
      <c r="R117" s="215"/>
      <c r="S117" s="215"/>
      <c r="T117" s="215"/>
      <c r="U117" s="215"/>
      <c r="V117" s="215"/>
      <c r="W117" s="215"/>
      <c r="X117" s="215"/>
      <c r="Y117" s="215"/>
      <c r="Z117" s="215"/>
      <c r="AA117" s="215"/>
      <c r="AB117" s="215"/>
      <c r="AC117" s="215"/>
      <c r="AD117" s="215"/>
      <c r="AE117" s="215"/>
      <c r="AF117" s="215"/>
      <c r="AG117" s="215"/>
      <c r="AH117" s="215"/>
      <c r="AI117" s="215"/>
      <c r="AJ117" s="215"/>
      <c r="AK117" s="215"/>
      <c r="AL117" s="215"/>
      <c r="AM117" s="215"/>
      <c r="AN117" s="215"/>
      <c r="AO117" s="215"/>
      <c r="AP117" s="215"/>
      <c r="AQ117" s="215"/>
      <c r="AR117" s="215"/>
      <c r="AS117" s="215"/>
      <c r="AT117" s="215"/>
      <c r="AU117" s="215"/>
      <c r="AV117" s="215"/>
      <c r="AW117" s="215"/>
      <c r="AX117" s="215"/>
      <c r="AY117" s="215"/>
      <c r="AZ117" s="215"/>
      <c r="BA117" s="215"/>
      <c r="BB117" s="215"/>
      <c r="BC117" s="215"/>
      <c r="BD117" s="215"/>
      <c r="BE117" s="215"/>
      <c r="BF117" s="215"/>
      <c r="BG117" s="215"/>
      <c r="BH117" s="215"/>
      <c r="BI117" s="215"/>
      <c r="BJ117" s="215"/>
      <c r="BK117" s="215"/>
      <c r="BL117" s="216"/>
      <c r="BM117" s="215"/>
      <c r="BN117" s="216"/>
      <c r="BO117" s="216"/>
      <c r="BP117" s="216"/>
      <c r="BQ117" s="216"/>
      <c r="BR117" s="216"/>
      <c r="BS117" s="216"/>
      <c r="BT117" s="216"/>
      <c r="BU117" s="216"/>
      <c r="BV117" s="216"/>
      <c r="BW117" s="216"/>
      <c r="BX117" s="216"/>
      <c r="BY117" s="216"/>
      <c r="BZ117" s="216"/>
      <c r="CA117" s="216"/>
      <c r="CB117" s="216"/>
      <c r="CC117" s="216"/>
      <c r="CD117" s="216"/>
      <c r="CE117" s="216"/>
      <c r="CF117" s="216"/>
      <c r="CG117" s="216"/>
      <c r="CH117" s="216"/>
      <c r="CI117" s="216"/>
      <c r="CJ117" s="216"/>
      <c r="CK117" s="216"/>
      <c r="CL117" s="216"/>
      <c r="CM117" s="216"/>
      <c r="CN117" s="216"/>
      <c r="CO117" s="216"/>
      <c r="CP117" s="216"/>
      <c r="CQ117" s="216"/>
      <c r="CR117" s="216"/>
      <c r="CS117" s="216"/>
      <c r="CT117" s="216"/>
      <c r="CU117" s="216"/>
      <c r="CV117" s="216"/>
      <c r="CW117" s="216"/>
      <c r="CX117" s="216"/>
      <c r="CY117" s="216"/>
      <c r="CZ117" s="216"/>
      <c r="DA117" s="216"/>
      <c r="DB117" s="216"/>
      <c r="DC117" s="216"/>
      <c r="DD117" s="216"/>
      <c r="DE117" s="216"/>
      <c r="DF117" s="216"/>
      <c r="DG117" s="216"/>
      <c r="DH117" s="216"/>
      <c r="DI117" s="216"/>
      <c r="DJ117" s="216"/>
      <c r="DK117" s="216"/>
      <c r="DL117" s="216"/>
      <c r="DM117" s="216"/>
      <c r="DN117" s="216"/>
      <c r="DO117" s="216"/>
      <c r="DP117" s="216"/>
      <c r="DQ117" s="216"/>
      <c r="DR117" s="216"/>
      <c r="DS117" s="215"/>
      <c r="DT117" s="215"/>
      <c r="DU117" s="215"/>
      <c r="DV117" s="68"/>
      <c r="DW117" s="69">
        <f>SUM(DW98:DW116)</f>
        <v>49175584</v>
      </c>
      <c r="DX117" s="69">
        <f>SUM(DX98:DX116)</f>
        <v>65793852</v>
      </c>
      <c r="DY117" s="165"/>
      <c r="DZ117" s="609"/>
      <c r="EA117" s="609"/>
      <c r="EB117" s="609"/>
    </row>
    <row r="118" spans="1:132" ht="52" hidden="1" x14ac:dyDescent="0.3">
      <c r="A118" s="19">
        <v>94</v>
      </c>
      <c r="B118" s="40" t="s">
        <v>15</v>
      </c>
      <c r="C118" s="383" t="s">
        <v>46</v>
      </c>
      <c r="D118" s="103" t="s">
        <v>357</v>
      </c>
      <c r="E118" s="42" t="s">
        <v>1175</v>
      </c>
      <c r="F118" s="70" t="s">
        <v>14</v>
      </c>
      <c r="G118" s="102">
        <v>2</v>
      </c>
      <c r="H118" s="43">
        <v>3</v>
      </c>
      <c r="I118" s="405">
        <v>7688000</v>
      </c>
      <c r="J118" s="386">
        <f>I118*G118*H118</f>
        <v>46128000</v>
      </c>
      <c r="K118" s="386"/>
      <c r="L118" s="386"/>
      <c r="M118" s="386"/>
      <c r="N118" s="386"/>
      <c r="O118" s="387"/>
      <c r="P118" s="393"/>
      <c r="Q118" s="389"/>
      <c r="R118" s="389"/>
      <c r="S118" s="389"/>
      <c r="T118" s="389"/>
      <c r="U118" s="389"/>
      <c r="V118" s="389"/>
      <c r="W118" s="389"/>
      <c r="X118" s="389"/>
      <c r="Y118" s="389"/>
      <c r="Z118" s="389"/>
      <c r="AA118" s="389"/>
      <c r="AB118" s="389"/>
      <c r="AC118" s="389"/>
      <c r="AD118" s="389"/>
      <c r="AE118" s="389"/>
      <c r="AF118" s="389"/>
      <c r="AG118" s="389"/>
      <c r="AH118" s="389"/>
      <c r="AI118" s="389"/>
      <c r="AJ118" s="389"/>
      <c r="AK118" s="389"/>
      <c r="AL118" s="389"/>
      <c r="AM118" s="389"/>
      <c r="AN118" s="389"/>
      <c r="AO118" s="389"/>
      <c r="AP118" s="389"/>
      <c r="AQ118" s="389"/>
      <c r="AR118" s="389"/>
      <c r="AS118" s="389"/>
      <c r="AT118" s="389"/>
      <c r="AU118" s="389"/>
      <c r="AV118" s="389"/>
      <c r="AW118" s="389"/>
      <c r="AX118" s="389"/>
      <c r="AY118" s="389"/>
      <c r="AZ118" s="389"/>
      <c r="BA118" s="389"/>
      <c r="BB118" s="389"/>
      <c r="BC118" s="389"/>
      <c r="BD118" s="389"/>
      <c r="BE118" s="389"/>
      <c r="BF118" s="389"/>
      <c r="BG118" s="389"/>
      <c r="BH118" s="389"/>
      <c r="BI118" s="389"/>
      <c r="BJ118" s="389"/>
      <c r="BK118" s="390"/>
      <c r="BL118" s="389"/>
      <c r="BM118" s="390"/>
      <c r="BN118" s="389"/>
      <c r="BO118" s="389"/>
      <c r="BP118" s="389"/>
      <c r="BQ118" s="389"/>
      <c r="BR118" s="389"/>
      <c r="BS118" s="389"/>
      <c r="BT118" s="389"/>
      <c r="BU118" s="389"/>
      <c r="BV118" s="389"/>
      <c r="BW118" s="389"/>
      <c r="BX118" s="389"/>
      <c r="BY118" s="389"/>
      <c r="BZ118" s="389"/>
      <c r="CA118" s="389"/>
      <c r="CB118" s="389"/>
      <c r="CC118" s="389"/>
      <c r="CD118" s="389"/>
      <c r="CE118" s="389"/>
      <c r="CF118" s="389"/>
      <c r="CG118" s="389"/>
      <c r="CH118" s="389"/>
      <c r="CI118" s="389"/>
      <c r="CJ118" s="389"/>
      <c r="CK118" s="389"/>
      <c r="CL118" s="389"/>
      <c r="CM118" s="389"/>
      <c r="CN118" s="389"/>
      <c r="CO118" s="389"/>
      <c r="CP118" s="389"/>
      <c r="CQ118" s="389"/>
      <c r="CR118" s="389"/>
      <c r="CS118" s="389"/>
      <c r="CT118" s="389"/>
      <c r="CU118" s="389"/>
      <c r="CV118" s="389"/>
      <c r="CW118" s="389"/>
      <c r="CX118" s="389"/>
      <c r="CY118" s="389"/>
      <c r="CZ118" s="389"/>
      <c r="DA118" s="389"/>
      <c r="DB118" s="389"/>
      <c r="DC118" s="389"/>
      <c r="DD118" s="389"/>
      <c r="DE118" s="389"/>
      <c r="DF118" s="389"/>
      <c r="DG118" s="389"/>
      <c r="DH118" s="389"/>
      <c r="DI118" s="389"/>
      <c r="DJ118" s="389"/>
      <c r="DK118" s="389"/>
      <c r="DL118" s="389"/>
      <c r="DM118" s="389"/>
      <c r="DN118" s="389"/>
      <c r="DO118" s="389"/>
      <c r="DP118" s="389"/>
      <c r="DQ118" s="389"/>
      <c r="DR118" s="389"/>
      <c r="DS118" s="400"/>
      <c r="DT118" s="400"/>
      <c r="DU118" s="400"/>
      <c r="DV118" s="64"/>
      <c r="DW118" s="374">
        <f>I118</f>
        <v>7688000</v>
      </c>
      <c r="DX118" s="65">
        <f t="shared" ref="DX118:DX131" si="14">+ROUND(DW118*G118*H118,0)</f>
        <v>46128000</v>
      </c>
      <c r="DY118" s="362" t="s">
        <v>323</v>
      </c>
    </row>
    <row r="119" spans="1:132" ht="37" hidden="1" customHeight="1" x14ac:dyDescent="0.3">
      <c r="A119" s="19">
        <v>95</v>
      </c>
      <c r="B119" s="9" t="s">
        <v>15</v>
      </c>
      <c r="C119" s="384" t="s">
        <v>46</v>
      </c>
      <c r="D119" s="20" t="s">
        <v>357</v>
      </c>
      <c r="E119" s="42" t="s">
        <v>1175</v>
      </c>
      <c r="F119" s="19" t="s">
        <v>14</v>
      </c>
      <c r="G119" s="21">
        <v>1</v>
      </c>
      <c r="H119" s="11">
        <v>3</v>
      </c>
      <c r="I119" s="406">
        <v>7688000</v>
      </c>
      <c r="J119" s="303">
        <f>I119*G119*H119</f>
        <v>23064000</v>
      </c>
      <c r="K119" s="303"/>
      <c r="L119" s="303"/>
      <c r="M119" s="303"/>
      <c r="N119" s="303"/>
      <c r="O119" s="304"/>
      <c r="P119" s="305"/>
      <c r="Q119" s="97"/>
      <c r="R119" s="97"/>
      <c r="S119" s="97"/>
      <c r="T119" s="97"/>
      <c r="U119" s="97"/>
      <c r="V119" s="97"/>
      <c r="W119" s="97"/>
      <c r="X119" s="97"/>
      <c r="Y119" s="97"/>
      <c r="Z119" s="97"/>
      <c r="AA119" s="97"/>
      <c r="AB119" s="97"/>
      <c r="AC119" s="97"/>
      <c r="AD119" s="97"/>
      <c r="AE119" s="97"/>
      <c r="AF119" s="97"/>
      <c r="AG119" s="97"/>
      <c r="AH119" s="97"/>
      <c r="AI119" s="97"/>
      <c r="AJ119" s="97"/>
      <c r="AK119" s="97"/>
      <c r="AL119" s="97"/>
      <c r="AM119" s="97"/>
      <c r="AN119" s="97"/>
      <c r="AO119" s="97"/>
      <c r="AP119" s="97"/>
      <c r="AQ119" s="97"/>
      <c r="AR119" s="97"/>
      <c r="AS119" s="97"/>
      <c r="AT119" s="97"/>
      <c r="AU119" s="97"/>
      <c r="AV119" s="97"/>
      <c r="AW119" s="97"/>
      <c r="AX119" s="97"/>
      <c r="AY119" s="97"/>
      <c r="AZ119" s="97"/>
      <c r="BA119" s="97"/>
      <c r="BB119" s="97"/>
      <c r="BC119" s="97"/>
      <c r="BD119" s="97"/>
      <c r="BE119" s="97"/>
      <c r="BF119" s="97"/>
      <c r="BG119" s="97"/>
      <c r="BH119" s="97"/>
      <c r="BI119" s="97"/>
      <c r="BJ119" s="97"/>
      <c r="BK119" s="306"/>
      <c r="BL119" s="97"/>
      <c r="BM119" s="306"/>
      <c r="BN119" s="97"/>
      <c r="BO119" s="97"/>
      <c r="BP119" s="97"/>
      <c r="BQ119" s="97"/>
      <c r="BR119" s="97"/>
      <c r="BS119" s="97"/>
      <c r="BT119" s="97"/>
      <c r="BU119" s="97"/>
      <c r="BV119" s="97"/>
      <c r="BW119" s="97"/>
      <c r="BX119" s="97"/>
      <c r="BY119" s="97"/>
      <c r="BZ119" s="97"/>
      <c r="CA119" s="97"/>
      <c r="CB119" s="97"/>
      <c r="CC119" s="97"/>
      <c r="CD119" s="97"/>
      <c r="CE119" s="97"/>
      <c r="CF119" s="97"/>
      <c r="CG119" s="97"/>
      <c r="CH119" s="97"/>
      <c r="CI119" s="97"/>
      <c r="CJ119" s="97"/>
      <c r="CK119" s="97"/>
      <c r="CL119" s="97"/>
      <c r="CM119" s="97"/>
      <c r="CN119" s="97"/>
      <c r="CO119" s="97"/>
      <c r="CP119" s="97"/>
      <c r="CQ119" s="97"/>
      <c r="CR119" s="97"/>
      <c r="CS119" s="97"/>
      <c r="CT119" s="97"/>
      <c r="CU119" s="97"/>
      <c r="CV119" s="97"/>
      <c r="CW119" s="97"/>
      <c r="CX119" s="97"/>
      <c r="CY119" s="97"/>
      <c r="CZ119" s="97"/>
      <c r="DA119" s="97"/>
      <c r="DB119" s="97"/>
      <c r="DC119" s="97"/>
      <c r="DD119" s="97"/>
      <c r="DE119" s="97"/>
      <c r="DF119" s="97"/>
      <c r="DG119" s="97"/>
      <c r="DH119" s="97"/>
      <c r="DI119" s="97"/>
      <c r="DJ119" s="97"/>
      <c r="DK119" s="97"/>
      <c r="DL119" s="97"/>
      <c r="DM119" s="97"/>
      <c r="DN119" s="97"/>
      <c r="DO119" s="97"/>
      <c r="DP119" s="97"/>
      <c r="DQ119" s="97"/>
      <c r="DR119" s="97"/>
      <c r="DS119" s="310"/>
      <c r="DT119" s="310"/>
      <c r="DU119" s="310"/>
      <c r="DV119" s="17"/>
      <c r="DW119" s="371">
        <f>I119</f>
        <v>7688000</v>
      </c>
      <c r="DX119" s="13">
        <f t="shared" si="14"/>
        <v>23064000</v>
      </c>
      <c r="DY119" s="161" t="s">
        <v>323</v>
      </c>
    </row>
    <row r="120" spans="1:132" ht="78" hidden="1" x14ac:dyDescent="0.3">
      <c r="A120" s="19">
        <v>96</v>
      </c>
      <c r="B120" s="9" t="s">
        <v>15</v>
      </c>
      <c r="C120" s="20" t="s">
        <v>46</v>
      </c>
      <c r="D120" s="9" t="s">
        <v>118</v>
      </c>
      <c r="E120" s="10" t="s">
        <v>119</v>
      </c>
      <c r="F120" s="9" t="s">
        <v>120</v>
      </c>
      <c r="G120" s="11">
        <v>12</v>
      </c>
      <c r="H120" s="11">
        <v>6</v>
      </c>
      <c r="I120" s="191"/>
      <c r="J120" s="191"/>
      <c r="K120" s="191"/>
      <c r="L120" s="191"/>
      <c r="M120" s="191"/>
      <c r="N120" s="191"/>
      <c r="O120" s="211"/>
      <c r="P120" s="212"/>
      <c r="Q120" s="32"/>
      <c r="R120" s="32"/>
      <c r="S120" s="32"/>
      <c r="T120" s="32"/>
      <c r="U120" s="32"/>
      <c r="V120" s="32"/>
      <c r="W120" s="32"/>
      <c r="X120" s="32"/>
      <c r="Y120" s="32"/>
      <c r="Z120" s="32"/>
      <c r="AA120" s="32"/>
      <c r="AB120" s="32"/>
      <c r="AC120" s="32"/>
      <c r="AD120" s="32"/>
      <c r="AE120" s="32"/>
      <c r="AF120" s="32"/>
      <c r="AG120" s="32"/>
      <c r="AH120" s="32"/>
      <c r="AI120" s="32"/>
      <c r="AJ120" s="32"/>
      <c r="AK120" s="32"/>
      <c r="AL120" s="32"/>
      <c r="AM120" s="32"/>
      <c r="AN120" s="32"/>
      <c r="AO120" s="32"/>
      <c r="AP120" s="32"/>
      <c r="AQ120" s="32"/>
      <c r="AR120" s="32"/>
      <c r="AS120" s="32"/>
      <c r="AT120" s="32"/>
      <c r="AU120" s="32"/>
      <c r="AV120" s="32"/>
      <c r="AW120" s="32"/>
      <c r="AX120" s="32"/>
      <c r="AY120" s="32"/>
      <c r="AZ120" s="32"/>
      <c r="BA120" s="32"/>
      <c r="BB120" s="32"/>
      <c r="BC120" s="32"/>
      <c r="BD120" s="32"/>
      <c r="BE120" s="32"/>
      <c r="BF120" s="32"/>
      <c r="BG120" s="32"/>
      <c r="BH120" s="32"/>
      <c r="BI120" s="32"/>
      <c r="BJ120" s="32"/>
      <c r="BK120" s="192"/>
      <c r="BL120" s="32"/>
      <c r="BM120" s="192"/>
      <c r="BN120" s="32"/>
      <c r="BO120" s="32"/>
      <c r="BP120" s="32"/>
      <c r="BQ120" s="32"/>
      <c r="BR120" s="32"/>
      <c r="BS120" s="32"/>
      <c r="BT120" s="32"/>
      <c r="BU120" s="32"/>
      <c r="BV120" s="32"/>
      <c r="BW120" s="32"/>
      <c r="BX120" s="32"/>
      <c r="BY120" s="32"/>
      <c r="BZ120" s="32"/>
      <c r="CA120" s="32"/>
      <c r="CB120" s="32"/>
      <c r="CC120" s="32"/>
      <c r="CD120" s="32"/>
      <c r="CE120" s="32"/>
      <c r="CF120" s="32"/>
      <c r="CG120" s="32"/>
      <c r="CH120" s="32"/>
      <c r="CI120" s="32"/>
      <c r="CJ120" s="32"/>
      <c r="CK120" s="32"/>
      <c r="CL120" s="32"/>
      <c r="CM120" s="32"/>
      <c r="CN120" s="32"/>
      <c r="CO120" s="32">
        <v>200000</v>
      </c>
      <c r="CP120" s="32">
        <f>CO120*G120*H120</f>
        <v>14400000</v>
      </c>
      <c r="CQ120" s="225">
        <v>190000</v>
      </c>
      <c r="CR120" s="32">
        <f>CQ120*G120*H120</f>
        <v>13680000</v>
      </c>
      <c r="CS120" s="224">
        <v>150000</v>
      </c>
      <c r="CT120" s="32">
        <f>CS120*G120*H120</f>
        <v>10800000</v>
      </c>
      <c r="CU120" s="225">
        <v>190000</v>
      </c>
      <c r="CV120" s="32">
        <f>CU120*G120*H120</f>
        <v>13680000</v>
      </c>
      <c r="CW120" s="245"/>
      <c r="CX120" s="32"/>
      <c r="CY120" s="245"/>
      <c r="CZ120" s="32"/>
      <c r="DA120" s="32"/>
      <c r="DB120" s="32"/>
      <c r="DC120" s="245"/>
      <c r="DD120" s="32"/>
      <c r="DE120" s="32"/>
      <c r="DF120" s="32"/>
      <c r="DG120" s="32"/>
      <c r="DH120" s="32"/>
      <c r="DI120" s="32"/>
      <c r="DJ120" s="32"/>
      <c r="DK120" s="32"/>
      <c r="DL120" s="32"/>
      <c r="DM120" s="32"/>
      <c r="DN120" s="32"/>
      <c r="DO120" s="32"/>
      <c r="DP120" s="32"/>
      <c r="DQ120" s="32"/>
      <c r="DR120" s="32"/>
      <c r="DS120" s="13">
        <f>+MEDIAN(CO120,CQ120,CS120,CU120)</f>
        <v>190000</v>
      </c>
      <c r="DT120" s="13">
        <f>+AVERAGE(CO120,CQ120,CS120,CU120)</f>
        <v>182500</v>
      </c>
      <c r="DU120" s="13">
        <f>+STDEV(CO120,CQ120,CS120,CU120)</f>
        <v>22173.557826083452</v>
      </c>
      <c r="DV120" s="17">
        <f t="shared" ref="DV120:DV130" si="15">DU120/DT120</f>
        <v>0.12149894699223809</v>
      </c>
      <c r="DW120" s="373">
        <f>+ROUNDUP(IF(DV120&lt;15%,DT120,DS120),0)</f>
        <v>182500</v>
      </c>
      <c r="DX120" s="13">
        <f t="shared" si="14"/>
        <v>13140000</v>
      </c>
      <c r="DY120" s="10" t="s">
        <v>448</v>
      </c>
    </row>
    <row r="121" spans="1:132" ht="195" hidden="1" x14ac:dyDescent="0.3">
      <c r="A121" s="19">
        <v>97</v>
      </c>
      <c r="B121" s="9" t="s">
        <v>15</v>
      </c>
      <c r="C121" s="47" t="s">
        <v>46</v>
      </c>
      <c r="D121" s="26" t="s">
        <v>364</v>
      </c>
      <c r="E121" s="10" t="s">
        <v>244</v>
      </c>
      <c r="F121" s="19" t="s">
        <v>19</v>
      </c>
      <c r="G121" s="21">
        <v>300</v>
      </c>
      <c r="H121" s="11">
        <v>2</v>
      </c>
      <c r="I121" s="191"/>
      <c r="J121" s="191"/>
      <c r="K121" s="191"/>
      <c r="L121" s="191"/>
      <c r="M121" s="191"/>
      <c r="N121" s="191"/>
      <c r="O121" s="211"/>
      <c r="P121" s="212"/>
      <c r="Q121" s="32"/>
      <c r="R121" s="32"/>
      <c r="S121" s="32"/>
      <c r="T121" s="32"/>
      <c r="U121" s="32"/>
      <c r="V121" s="32"/>
      <c r="W121" s="32"/>
      <c r="X121" s="32"/>
      <c r="Y121" s="32"/>
      <c r="Z121" s="32"/>
      <c r="AA121" s="32"/>
      <c r="AB121" s="32"/>
      <c r="AC121" s="32"/>
      <c r="AD121" s="32"/>
      <c r="AE121" s="32"/>
      <c r="AF121" s="32"/>
      <c r="AG121" s="32"/>
      <c r="AH121" s="32"/>
      <c r="AI121" s="32"/>
      <c r="AJ121" s="32"/>
      <c r="AK121" s="32">
        <v>27000</v>
      </c>
      <c r="AL121" s="32">
        <f>AK121*G121</f>
        <v>8100000</v>
      </c>
      <c r="AM121" s="32">
        <f>18000+(18000*5.2%)</f>
        <v>18936</v>
      </c>
      <c r="AN121" s="32">
        <f>AM121*G121</f>
        <v>5680800</v>
      </c>
      <c r="AO121" s="32">
        <f>13400+(13400*5.2%)</f>
        <v>14096.8</v>
      </c>
      <c r="AP121" s="32">
        <f>AO121*G121</f>
        <v>4229040</v>
      </c>
      <c r="AQ121" s="32">
        <f>16900+(16900*5.2%)</f>
        <v>17778.8</v>
      </c>
      <c r="AR121" s="32">
        <f>AQ121*G121</f>
        <v>5333640</v>
      </c>
      <c r="AS121" s="32"/>
      <c r="AT121" s="32"/>
      <c r="AU121" s="32"/>
      <c r="AV121" s="32"/>
      <c r="AW121" s="32"/>
      <c r="AX121" s="32"/>
      <c r="AY121" s="32"/>
      <c r="AZ121" s="32"/>
      <c r="BA121" s="32"/>
      <c r="BB121" s="32"/>
      <c r="BC121" s="32"/>
      <c r="BD121" s="32"/>
      <c r="BE121" s="32"/>
      <c r="BF121" s="32"/>
      <c r="BG121" s="32"/>
      <c r="BH121" s="32"/>
      <c r="BI121" s="32"/>
      <c r="BJ121" s="32"/>
      <c r="BK121" s="192"/>
      <c r="BL121" s="32"/>
      <c r="BM121" s="192"/>
      <c r="BN121" s="32"/>
      <c r="BO121" s="32"/>
      <c r="BP121" s="32"/>
      <c r="BQ121" s="32"/>
      <c r="BR121" s="32"/>
      <c r="BS121" s="32"/>
      <c r="BT121" s="32"/>
      <c r="BU121" s="32"/>
      <c r="BV121" s="32"/>
      <c r="BW121" s="32"/>
      <c r="BX121" s="32"/>
      <c r="BY121" s="32"/>
      <c r="BZ121" s="32"/>
      <c r="CA121" s="32"/>
      <c r="CB121" s="32"/>
      <c r="CC121" s="32"/>
      <c r="CD121" s="32"/>
      <c r="CE121" s="32"/>
      <c r="CF121" s="32"/>
      <c r="CG121" s="32"/>
      <c r="CH121" s="32"/>
      <c r="CI121" s="32"/>
      <c r="CJ121" s="32"/>
      <c r="CK121" s="32"/>
      <c r="CL121" s="32"/>
      <c r="CM121" s="32"/>
      <c r="CN121" s="32"/>
      <c r="CO121" s="32"/>
      <c r="CP121" s="32"/>
      <c r="CQ121" s="32"/>
      <c r="CR121" s="32"/>
      <c r="CS121" s="32"/>
      <c r="CT121" s="32"/>
      <c r="CU121" s="32"/>
      <c r="CV121" s="32"/>
      <c r="CW121" s="32"/>
      <c r="CX121" s="32"/>
      <c r="CY121" s="32"/>
      <c r="CZ121" s="32"/>
      <c r="DA121" s="32"/>
      <c r="DB121" s="32"/>
      <c r="DC121" s="32"/>
      <c r="DD121" s="32"/>
      <c r="DE121" s="32"/>
      <c r="DF121" s="32"/>
      <c r="DG121" s="32"/>
      <c r="DH121" s="32"/>
      <c r="DI121" s="32"/>
      <c r="DJ121" s="32"/>
      <c r="DK121" s="32"/>
      <c r="DL121" s="32"/>
      <c r="DM121" s="32"/>
      <c r="DN121" s="32"/>
      <c r="DO121" s="32"/>
      <c r="DP121" s="32"/>
      <c r="DQ121" s="32"/>
      <c r="DR121" s="32"/>
      <c r="DS121" s="13">
        <f>+MEDIAN(AK121,AM121,AO121,AQ121)</f>
        <v>18357.400000000001</v>
      </c>
      <c r="DT121" s="13">
        <f>+AVERAGE(AK121,AM121,AO121,AQ121)</f>
        <v>19452.900000000001</v>
      </c>
      <c r="DU121" s="13">
        <f>+STDEV(AK121,AM121,AO121,AQ121)</f>
        <v>5438.0242135049912</v>
      </c>
      <c r="DV121" s="17">
        <f t="shared" si="15"/>
        <v>0.27954825313989129</v>
      </c>
      <c r="DW121" s="373">
        <f>+ROUNDUP(IF(DV121&lt;15%,DT121,DS121),0)</f>
        <v>18358</v>
      </c>
      <c r="DX121" s="13">
        <f t="shared" si="14"/>
        <v>11014800</v>
      </c>
      <c r="DY121" s="10" t="s">
        <v>309</v>
      </c>
    </row>
    <row r="122" spans="1:132" ht="39" hidden="1" x14ac:dyDescent="0.3">
      <c r="A122" s="19">
        <v>98</v>
      </c>
      <c r="B122" s="9" t="s">
        <v>15</v>
      </c>
      <c r="C122" s="47" t="s">
        <v>46</v>
      </c>
      <c r="D122" s="9" t="s">
        <v>152</v>
      </c>
      <c r="E122" s="10" t="s">
        <v>153</v>
      </c>
      <c r="F122" s="9" t="s">
        <v>19</v>
      </c>
      <c r="G122" s="11">
        <v>50</v>
      </c>
      <c r="H122" s="11">
        <v>1</v>
      </c>
      <c r="I122" s="191"/>
      <c r="J122" s="191"/>
      <c r="K122" s="191"/>
      <c r="L122" s="191"/>
      <c r="M122" s="191"/>
      <c r="N122" s="191"/>
      <c r="O122" s="211"/>
      <c r="P122" s="212"/>
      <c r="Q122" s="32"/>
      <c r="R122" s="32"/>
      <c r="S122" s="32"/>
      <c r="T122" s="32"/>
      <c r="U122" s="25">
        <v>148</v>
      </c>
      <c r="V122" s="32">
        <f>U122*G122</f>
        <v>7400</v>
      </c>
      <c r="W122" s="25">
        <v>180</v>
      </c>
      <c r="X122" s="32">
        <f>W122*G122</f>
        <v>9000</v>
      </c>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c r="BI122" s="32"/>
      <c r="BJ122" s="32"/>
      <c r="BK122" s="192"/>
      <c r="BL122" s="32"/>
      <c r="BM122" s="192"/>
      <c r="BN122" s="32"/>
      <c r="BO122" s="32"/>
      <c r="BP122" s="32"/>
      <c r="BQ122" s="32"/>
      <c r="BR122" s="32"/>
      <c r="BS122" s="32"/>
      <c r="BT122" s="32"/>
      <c r="BU122" s="32"/>
      <c r="BV122" s="32"/>
      <c r="BW122" s="32"/>
      <c r="BX122" s="32"/>
      <c r="BY122" s="32"/>
      <c r="BZ122" s="32"/>
      <c r="CA122" s="32"/>
      <c r="CB122" s="32"/>
      <c r="CC122" s="32"/>
      <c r="CD122" s="32"/>
      <c r="CE122" s="32"/>
      <c r="CF122" s="32"/>
      <c r="CG122" s="32"/>
      <c r="CH122" s="32"/>
      <c r="CI122" s="32"/>
      <c r="CJ122" s="32"/>
      <c r="CK122" s="32"/>
      <c r="CL122" s="32"/>
      <c r="CM122" s="32"/>
      <c r="CN122" s="32"/>
      <c r="CO122" s="32"/>
      <c r="CP122" s="32"/>
      <c r="CQ122" s="32"/>
      <c r="CR122" s="32"/>
      <c r="CS122" s="32"/>
      <c r="CT122" s="32"/>
      <c r="CU122" s="32"/>
      <c r="CV122" s="32"/>
      <c r="CW122" s="32"/>
      <c r="CX122" s="32"/>
      <c r="CY122" s="32"/>
      <c r="CZ122" s="32"/>
      <c r="DA122" s="32"/>
      <c r="DB122" s="32"/>
      <c r="DC122" s="32"/>
      <c r="DD122" s="32"/>
      <c r="DE122" s="32"/>
      <c r="DF122" s="32"/>
      <c r="DG122" s="32"/>
      <c r="DH122" s="32"/>
      <c r="DI122" s="32"/>
      <c r="DJ122" s="32"/>
      <c r="DK122" s="32"/>
      <c r="DL122" s="32"/>
      <c r="DM122" s="32"/>
      <c r="DN122" s="32"/>
      <c r="DO122" s="32"/>
      <c r="DP122" s="32"/>
      <c r="DQ122" s="32"/>
      <c r="DR122" s="32"/>
      <c r="DS122" s="265">
        <f>MEDIAN(U122,W122)</f>
        <v>164</v>
      </c>
      <c r="DT122" s="265">
        <f>AVERAGE(U122,W122)</f>
        <v>164</v>
      </c>
      <c r="DU122" s="265">
        <f>STDEV(U122,W122)</f>
        <v>22.627416997969522</v>
      </c>
      <c r="DV122" s="48">
        <f t="shared" si="15"/>
        <v>0.13797205486566783</v>
      </c>
      <c r="DW122" s="377">
        <f>ROUNDUP(IF(DV122&lt;15%,DT122,DS122),0)</f>
        <v>164</v>
      </c>
      <c r="DX122" s="13">
        <f t="shared" si="14"/>
        <v>8200</v>
      </c>
      <c r="DY122" s="10" t="s">
        <v>313</v>
      </c>
    </row>
    <row r="123" spans="1:132" ht="39" hidden="1" x14ac:dyDescent="0.3">
      <c r="A123" s="19">
        <v>99</v>
      </c>
      <c r="B123" s="9" t="s">
        <v>15</v>
      </c>
      <c r="C123" s="47" t="s">
        <v>46</v>
      </c>
      <c r="D123" s="26" t="s">
        <v>269</v>
      </c>
      <c r="E123" s="10" t="s">
        <v>47</v>
      </c>
      <c r="F123" s="9" t="s">
        <v>24</v>
      </c>
      <c r="G123" s="11">
        <v>12</v>
      </c>
      <c r="H123" s="11">
        <v>1</v>
      </c>
      <c r="I123" s="191"/>
      <c r="J123" s="191"/>
      <c r="K123" s="191"/>
      <c r="L123" s="191"/>
      <c r="M123" s="191"/>
      <c r="N123" s="191"/>
      <c r="O123" s="211"/>
      <c r="P123" s="212"/>
      <c r="Q123" s="25">
        <v>12000</v>
      </c>
      <c r="R123" s="32">
        <f>Q123*G123</f>
        <v>144000</v>
      </c>
      <c r="S123" s="25">
        <v>10500</v>
      </c>
      <c r="T123" s="32">
        <f>S123*G123</f>
        <v>126000</v>
      </c>
      <c r="U123" s="32"/>
      <c r="V123" s="32"/>
      <c r="W123" s="32"/>
      <c r="X123" s="32"/>
      <c r="Y123" s="32"/>
      <c r="Z123" s="32"/>
      <c r="AA123" s="32"/>
      <c r="AB123" s="32"/>
      <c r="AC123" s="32"/>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c r="BI123" s="32"/>
      <c r="BJ123" s="32"/>
      <c r="BK123" s="192"/>
      <c r="BL123" s="32"/>
      <c r="BM123" s="192"/>
      <c r="BN123" s="32"/>
      <c r="BO123" s="32"/>
      <c r="BP123" s="32"/>
      <c r="BQ123" s="32"/>
      <c r="BR123" s="32"/>
      <c r="BS123" s="32"/>
      <c r="BT123" s="32"/>
      <c r="BU123" s="32"/>
      <c r="BV123" s="32"/>
      <c r="BW123" s="32"/>
      <c r="BX123" s="32"/>
      <c r="BY123" s="32"/>
      <c r="BZ123" s="32"/>
      <c r="CA123" s="32"/>
      <c r="CB123" s="32"/>
      <c r="CC123" s="32"/>
      <c r="CD123" s="32"/>
      <c r="CE123" s="32"/>
      <c r="CF123" s="32"/>
      <c r="CG123" s="32"/>
      <c r="CH123" s="32"/>
      <c r="CI123" s="32"/>
      <c r="CJ123" s="32"/>
      <c r="CK123" s="32"/>
      <c r="CL123" s="32"/>
      <c r="CM123" s="32"/>
      <c r="CN123" s="32"/>
      <c r="CO123" s="32"/>
      <c r="CP123" s="32"/>
      <c r="CQ123" s="32"/>
      <c r="CR123" s="32"/>
      <c r="CS123" s="32"/>
      <c r="CT123" s="32"/>
      <c r="CU123" s="32"/>
      <c r="CV123" s="32"/>
      <c r="CW123" s="32"/>
      <c r="CX123" s="32"/>
      <c r="CY123" s="32"/>
      <c r="CZ123" s="32"/>
      <c r="DA123" s="32"/>
      <c r="DB123" s="32"/>
      <c r="DC123" s="32"/>
      <c r="DD123" s="32"/>
      <c r="DE123" s="32"/>
      <c r="DF123" s="32"/>
      <c r="DG123" s="32"/>
      <c r="DH123" s="32"/>
      <c r="DI123" s="32"/>
      <c r="DJ123" s="32"/>
      <c r="DK123" s="32"/>
      <c r="DL123" s="32"/>
      <c r="DM123" s="32"/>
      <c r="DN123" s="32"/>
      <c r="DO123" s="32"/>
      <c r="DP123" s="32"/>
      <c r="DQ123" s="32"/>
      <c r="DR123" s="32"/>
      <c r="DS123" s="13">
        <f>+MEDIAN(Q123,S123)</f>
        <v>11250</v>
      </c>
      <c r="DT123" s="13">
        <f>+AVERAGE(Q123,S123)</f>
        <v>11250</v>
      </c>
      <c r="DU123" s="13">
        <f>+STDEV(Q123,S123)</f>
        <v>1060.6601717798212</v>
      </c>
      <c r="DV123" s="17">
        <f t="shared" si="15"/>
        <v>9.4280904158206336E-2</v>
      </c>
      <c r="DW123" s="373">
        <f t="shared" ref="DW123:DW130" si="16">+ROUNDUP(IF(DV123&lt;15%,DT123,DS123),0)</f>
        <v>11250</v>
      </c>
      <c r="DX123" s="13">
        <f t="shared" si="14"/>
        <v>135000</v>
      </c>
      <c r="DY123" s="10" t="s">
        <v>308</v>
      </c>
    </row>
    <row r="124" spans="1:132" ht="39" hidden="1" x14ac:dyDescent="0.3">
      <c r="A124" s="19">
        <v>100</v>
      </c>
      <c r="B124" s="9" t="s">
        <v>15</v>
      </c>
      <c r="C124" s="47" t="s">
        <v>46</v>
      </c>
      <c r="D124" s="9" t="s">
        <v>125</v>
      </c>
      <c r="E124" s="10" t="s">
        <v>126</v>
      </c>
      <c r="F124" s="9" t="s">
        <v>19</v>
      </c>
      <c r="G124" s="11">
        <v>12</v>
      </c>
      <c r="H124" s="11">
        <v>1</v>
      </c>
      <c r="I124" s="191"/>
      <c r="J124" s="191"/>
      <c r="K124" s="191"/>
      <c r="L124" s="191"/>
      <c r="M124" s="191"/>
      <c r="N124" s="191"/>
      <c r="O124" s="211"/>
      <c r="P124" s="212"/>
      <c r="Q124" s="32"/>
      <c r="R124" s="32"/>
      <c r="S124" s="32"/>
      <c r="T124" s="25"/>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c r="BI124" s="32"/>
      <c r="BJ124" s="32"/>
      <c r="BK124" s="192"/>
      <c r="BL124" s="32"/>
      <c r="BM124" s="192"/>
      <c r="BN124" s="32"/>
      <c r="BO124" s="32"/>
      <c r="BP124" s="32"/>
      <c r="BQ124" s="32"/>
      <c r="BR124" s="32"/>
      <c r="BS124" s="32"/>
      <c r="BT124" s="32"/>
      <c r="BU124" s="32"/>
      <c r="BV124" s="32"/>
      <c r="BW124" s="32"/>
      <c r="BX124" s="32"/>
      <c r="BY124" s="32"/>
      <c r="BZ124" s="32"/>
      <c r="CA124" s="32"/>
      <c r="CB124" s="32"/>
      <c r="CC124" s="32"/>
      <c r="CD124" s="32"/>
      <c r="CE124" s="32"/>
      <c r="CF124" s="32"/>
      <c r="CG124" s="32"/>
      <c r="CH124" s="32"/>
      <c r="CI124" s="32"/>
      <c r="CJ124" s="32"/>
      <c r="CK124" s="32"/>
      <c r="CL124" s="32"/>
      <c r="CM124" s="32"/>
      <c r="CN124" s="32"/>
      <c r="CO124" s="211">
        <v>20000</v>
      </c>
      <c r="CP124" s="32">
        <f>CO124*G124</f>
        <v>240000</v>
      </c>
      <c r="CQ124" s="225"/>
      <c r="CR124" s="32"/>
      <c r="CS124" s="28">
        <v>20000</v>
      </c>
      <c r="CT124" s="32">
        <f>CS124*G124*H124</f>
        <v>240000</v>
      </c>
      <c r="CU124" s="225"/>
      <c r="CV124" s="25"/>
      <c r="CW124" s="245"/>
      <c r="CX124" s="32"/>
      <c r="CY124" s="245">
        <v>22000</v>
      </c>
      <c r="CZ124" s="32">
        <f>CY124*G124*H124</f>
        <v>264000</v>
      </c>
      <c r="DA124" s="25"/>
      <c r="DB124" s="25"/>
      <c r="DC124" s="245"/>
      <c r="DD124" s="32"/>
      <c r="DE124" s="25"/>
      <c r="DF124" s="25"/>
      <c r="DG124" s="25"/>
      <c r="DH124" s="25"/>
      <c r="DI124" s="25"/>
      <c r="DJ124" s="25"/>
      <c r="DK124" s="25"/>
      <c r="DL124" s="25"/>
      <c r="DM124" s="25"/>
      <c r="DN124" s="25"/>
      <c r="DO124" s="25"/>
      <c r="DP124" s="25"/>
      <c r="DQ124" s="25"/>
      <c r="DR124" s="25"/>
      <c r="DS124" s="13">
        <f>+MEDIAN(CO124,CS124,CY124)</f>
        <v>20000</v>
      </c>
      <c r="DT124" s="13">
        <f>+AVERAGE(CO124,CS124,CY124)</f>
        <v>20666.666666666668</v>
      </c>
      <c r="DU124" s="13">
        <f>+STDEV(CO124,CS124,CY124)</f>
        <v>1154.7005383792514</v>
      </c>
      <c r="DV124" s="17">
        <f t="shared" si="15"/>
        <v>5.5872606695770224E-2</v>
      </c>
      <c r="DW124" s="373">
        <f t="shared" si="16"/>
        <v>20667</v>
      </c>
      <c r="DX124" s="13">
        <f t="shared" si="14"/>
        <v>248004</v>
      </c>
      <c r="DY124" s="10" t="s">
        <v>322</v>
      </c>
    </row>
    <row r="125" spans="1:132" ht="52" hidden="1" x14ac:dyDescent="0.3">
      <c r="A125" s="19">
        <v>101</v>
      </c>
      <c r="B125" s="9" t="s">
        <v>15</v>
      </c>
      <c r="C125" s="47" t="s">
        <v>46</v>
      </c>
      <c r="D125" s="9" t="s">
        <v>378</v>
      </c>
      <c r="E125" s="29" t="s">
        <v>445</v>
      </c>
      <c r="F125" s="35" t="s">
        <v>473</v>
      </c>
      <c r="G125" s="21">
        <v>3</v>
      </c>
      <c r="H125" s="11">
        <v>1</v>
      </c>
      <c r="I125" s="191"/>
      <c r="J125" s="191"/>
      <c r="K125" s="191"/>
      <c r="L125" s="191"/>
      <c r="M125" s="191"/>
      <c r="N125" s="191"/>
      <c r="O125" s="267"/>
      <c r="P125" s="212"/>
      <c r="Q125" s="32"/>
      <c r="R125" s="32"/>
      <c r="S125" s="32"/>
      <c r="T125" s="32"/>
      <c r="U125" s="32"/>
      <c r="V125" s="32"/>
      <c r="W125" s="32"/>
      <c r="X125" s="32"/>
      <c r="Y125" s="32"/>
      <c r="Z125" s="32"/>
      <c r="AA125" s="32">
        <v>1200000</v>
      </c>
      <c r="AB125" s="32">
        <f>AA125*H125</f>
        <v>1200000</v>
      </c>
      <c r="AC125" s="32"/>
      <c r="AD125" s="32"/>
      <c r="AE125" s="32"/>
      <c r="AF125" s="32"/>
      <c r="AG125" s="32">
        <v>1230000</v>
      </c>
      <c r="AH125" s="32">
        <f>AG125*G125*H125</f>
        <v>3690000</v>
      </c>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c r="BI125" s="32"/>
      <c r="BJ125" s="32"/>
      <c r="BK125" s="192"/>
      <c r="BL125" s="32"/>
      <c r="BM125" s="192"/>
      <c r="BN125" s="32"/>
      <c r="BO125" s="32"/>
      <c r="BP125" s="32"/>
      <c r="BQ125" s="32"/>
      <c r="BR125" s="32"/>
      <c r="BS125" s="32"/>
      <c r="BT125" s="32"/>
      <c r="BU125" s="32"/>
      <c r="BV125" s="32"/>
      <c r="BW125" s="32"/>
      <c r="BX125" s="32"/>
      <c r="BY125" s="32"/>
      <c r="BZ125" s="32"/>
      <c r="CA125" s="32"/>
      <c r="CB125" s="32"/>
      <c r="CC125" s="32"/>
      <c r="CD125" s="32"/>
      <c r="CE125" s="32"/>
      <c r="CF125" s="32"/>
      <c r="CG125" s="32"/>
      <c r="CH125" s="32"/>
      <c r="CI125" s="32"/>
      <c r="CJ125" s="32"/>
      <c r="CK125" s="32"/>
      <c r="CL125" s="32"/>
      <c r="CM125" s="32"/>
      <c r="CN125" s="32"/>
      <c r="CO125" s="32"/>
      <c r="CP125" s="32"/>
      <c r="CQ125" s="225"/>
      <c r="CR125" s="32"/>
      <c r="CS125" s="32"/>
      <c r="CT125" s="32"/>
      <c r="CU125" s="32"/>
      <c r="CV125" s="32"/>
      <c r="CW125" s="32"/>
      <c r="CX125" s="32"/>
      <c r="CY125" s="32"/>
      <c r="CZ125" s="32"/>
      <c r="DA125" s="32"/>
      <c r="DB125" s="32"/>
      <c r="DC125" s="32"/>
      <c r="DD125" s="32"/>
      <c r="DE125" s="32"/>
      <c r="DF125" s="32"/>
      <c r="DG125" s="32"/>
      <c r="DH125" s="32"/>
      <c r="DI125" s="32"/>
      <c r="DJ125" s="32"/>
      <c r="DK125" s="32"/>
      <c r="DL125" s="32"/>
      <c r="DM125" s="32"/>
      <c r="DN125" s="32"/>
      <c r="DO125" s="32"/>
      <c r="DP125" s="32"/>
      <c r="DQ125" s="32"/>
      <c r="DR125" s="32"/>
      <c r="DS125" s="13">
        <f>+MEDIAN(AA125,AG125)</f>
        <v>1215000</v>
      </c>
      <c r="DT125" s="13">
        <f>+AVERAGE(AA125,AG125)</f>
        <v>1215000</v>
      </c>
      <c r="DU125" s="13">
        <f>+STDEV(AA125,AG125)</f>
        <v>21213.203435596424</v>
      </c>
      <c r="DV125" s="17">
        <f t="shared" si="15"/>
        <v>1.7459426695964134E-2</v>
      </c>
      <c r="DW125" s="373">
        <f t="shared" si="16"/>
        <v>1215000</v>
      </c>
      <c r="DX125" s="13">
        <f t="shared" si="14"/>
        <v>3645000</v>
      </c>
      <c r="DY125" s="10" t="s">
        <v>309</v>
      </c>
    </row>
    <row r="126" spans="1:132" ht="92.15" hidden="1" customHeight="1" x14ac:dyDescent="0.3">
      <c r="A126" s="19">
        <v>102</v>
      </c>
      <c r="B126" s="9" t="s">
        <v>15</v>
      </c>
      <c r="C126" s="85" t="s">
        <v>46</v>
      </c>
      <c r="D126" s="9" t="s">
        <v>1340</v>
      </c>
      <c r="E126" s="10" t="s">
        <v>1336</v>
      </c>
      <c r="F126" s="35" t="s">
        <v>19</v>
      </c>
      <c r="G126" s="21">
        <v>3</v>
      </c>
      <c r="H126" s="11"/>
      <c r="I126" s="649"/>
      <c r="J126" s="649"/>
      <c r="K126" s="649"/>
      <c r="L126" s="649"/>
      <c r="M126" s="649"/>
      <c r="N126" s="649"/>
      <c r="O126" s="650"/>
      <c r="P126" s="651"/>
      <c r="Q126" s="205"/>
      <c r="R126" s="205"/>
      <c r="S126" s="205"/>
      <c r="T126" s="205"/>
      <c r="U126" s="205"/>
      <c r="V126" s="205"/>
      <c r="W126" s="205"/>
      <c r="X126" s="205"/>
      <c r="Y126" s="205">
        <v>350000</v>
      </c>
      <c r="Z126" s="205">
        <f>+Y126*G126*H126</f>
        <v>0</v>
      </c>
      <c r="AA126" s="205"/>
      <c r="AB126" s="205"/>
      <c r="AC126" s="205">
        <v>350000</v>
      </c>
      <c r="AD126" s="205">
        <f>+AC126*G126*H126</f>
        <v>0</v>
      </c>
      <c r="AE126" s="205"/>
      <c r="AF126" s="205"/>
      <c r="AG126" s="205"/>
      <c r="AH126" s="205"/>
      <c r="AI126" s="205"/>
      <c r="AJ126" s="205"/>
      <c r="AK126" s="205"/>
      <c r="AL126" s="205"/>
      <c r="AM126" s="205"/>
      <c r="AN126" s="205"/>
      <c r="AO126" s="205"/>
      <c r="AP126" s="205"/>
      <c r="AQ126" s="205"/>
      <c r="AR126" s="205"/>
      <c r="AS126" s="205"/>
      <c r="AT126" s="205"/>
      <c r="AU126" s="205"/>
      <c r="AV126" s="205"/>
      <c r="AW126" s="205"/>
      <c r="AX126" s="205"/>
      <c r="AY126" s="205"/>
      <c r="AZ126" s="205"/>
      <c r="BA126" s="205"/>
      <c r="BB126" s="205"/>
      <c r="BC126" s="205"/>
      <c r="BD126" s="205"/>
      <c r="BE126" s="205"/>
      <c r="BF126" s="205"/>
      <c r="BG126" s="205"/>
      <c r="BH126" s="205"/>
      <c r="BI126" s="205"/>
      <c r="BJ126" s="205"/>
      <c r="BK126" s="206"/>
      <c r="BL126" s="205"/>
      <c r="BM126" s="206"/>
      <c r="BN126" s="205"/>
      <c r="BO126" s="205"/>
      <c r="BP126" s="205"/>
      <c r="BQ126" s="205"/>
      <c r="BR126" s="205"/>
      <c r="BS126" s="205"/>
      <c r="BT126" s="205"/>
      <c r="BU126" s="205"/>
      <c r="BV126" s="205"/>
      <c r="BW126" s="205"/>
      <c r="BX126" s="205"/>
      <c r="BY126" s="205"/>
      <c r="BZ126" s="205"/>
      <c r="CA126" s="205"/>
      <c r="CB126" s="205"/>
      <c r="CC126" s="205"/>
      <c r="CD126" s="205"/>
      <c r="CE126" s="205"/>
      <c r="CF126" s="205"/>
      <c r="CG126" s="205"/>
      <c r="CH126" s="205"/>
      <c r="CI126" s="205"/>
      <c r="CJ126" s="205"/>
      <c r="CK126" s="205"/>
      <c r="CL126" s="205"/>
      <c r="CM126" s="205"/>
      <c r="CN126" s="205"/>
      <c r="CO126" s="205"/>
      <c r="CP126" s="205"/>
      <c r="CQ126" s="205"/>
      <c r="CR126" s="205"/>
      <c r="CS126" s="205"/>
      <c r="CT126" s="205"/>
      <c r="CU126" s="205"/>
      <c r="CV126" s="205"/>
      <c r="CW126" s="205"/>
      <c r="CX126" s="205"/>
      <c r="CY126" s="205"/>
      <c r="CZ126" s="205"/>
      <c r="DA126" s="205"/>
      <c r="DB126" s="205"/>
      <c r="DC126" s="205"/>
      <c r="DD126" s="205"/>
      <c r="DE126" s="205"/>
      <c r="DF126" s="205"/>
      <c r="DG126" s="205"/>
      <c r="DH126" s="205"/>
      <c r="DI126" s="205"/>
      <c r="DJ126" s="205"/>
      <c r="DK126" s="205"/>
      <c r="DL126" s="205"/>
      <c r="DM126" s="205"/>
      <c r="DN126" s="205"/>
      <c r="DO126" s="659">
        <v>658000</v>
      </c>
      <c r="DP126" s="205">
        <f>DO126*G126</f>
        <v>1974000</v>
      </c>
      <c r="DQ126" s="659">
        <v>690000</v>
      </c>
      <c r="DR126" s="205">
        <f>DQ126*G126</f>
        <v>2070000</v>
      </c>
      <c r="DS126" s="656">
        <f>+MEDIAN(DO126,DQ126)</f>
        <v>674000</v>
      </c>
      <c r="DT126" s="656">
        <f>+AVERAGE(DO126,DQ126)</f>
        <v>674000</v>
      </c>
      <c r="DU126" s="656">
        <f>+STDEV(DO126,DQ126)</f>
        <v>22627.416997969522</v>
      </c>
      <c r="DV126" s="657">
        <f t="shared" si="15"/>
        <v>3.3571835308560123E-2</v>
      </c>
      <c r="DW126" s="662">
        <f t="shared" si="16"/>
        <v>674000</v>
      </c>
      <c r="DX126" s="13">
        <f>+ROUND(DW126*G126,0)</f>
        <v>2022000</v>
      </c>
      <c r="DY126" s="10" t="s">
        <v>308</v>
      </c>
    </row>
    <row r="127" spans="1:132" ht="195" hidden="1" x14ac:dyDescent="0.3">
      <c r="A127" s="19">
        <v>103</v>
      </c>
      <c r="B127" s="9" t="s">
        <v>15</v>
      </c>
      <c r="C127" s="47" t="s">
        <v>46</v>
      </c>
      <c r="D127" s="26" t="s">
        <v>364</v>
      </c>
      <c r="E127" s="10" t="s">
        <v>244</v>
      </c>
      <c r="F127" s="19" t="s">
        <v>19</v>
      </c>
      <c r="G127" s="21">
        <v>100</v>
      </c>
      <c r="H127" s="11">
        <v>3</v>
      </c>
      <c r="I127" s="191"/>
      <c r="J127" s="191"/>
      <c r="K127" s="191"/>
      <c r="L127" s="191"/>
      <c r="M127" s="191"/>
      <c r="N127" s="191"/>
      <c r="O127" s="211"/>
      <c r="P127" s="212"/>
      <c r="Q127" s="32"/>
      <c r="R127" s="32"/>
      <c r="S127" s="32"/>
      <c r="T127" s="32"/>
      <c r="U127" s="32"/>
      <c r="V127" s="32"/>
      <c r="W127" s="32"/>
      <c r="X127" s="32"/>
      <c r="Y127" s="32"/>
      <c r="Z127" s="32"/>
      <c r="AA127" s="32"/>
      <c r="AB127" s="32"/>
      <c r="AC127" s="32"/>
      <c r="AD127" s="32"/>
      <c r="AE127" s="32"/>
      <c r="AF127" s="32"/>
      <c r="AG127" s="32"/>
      <c r="AH127" s="32"/>
      <c r="AI127" s="32"/>
      <c r="AJ127" s="32"/>
      <c r="AK127" s="32">
        <v>27000</v>
      </c>
      <c r="AL127" s="32">
        <f>AK127*G127</f>
        <v>2700000</v>
      </c>
      <c r="AM127" s="32">
        <f>18000+(18000*5.2%)</f>
        <v>18936</v>
      </c>
      <c r="AN127" s="32">
        <f>AM127*G127</f>
        <v>1893600</v>
      </c>
      <c r="AO127" s="32">
        <f>13400+(13400*5.2%)</f>
        <v>14096.8</v>
      </c>
      <c r="AP127" s="32">
        <f>AO127*G127</f>
        <v>1409680</v>
      </c>
      <c r="AQ127" s="32">
        <f>16900+(16900*5.2%)</f>
        <v>17778.8</v>
      </c>
      <c r="AR127" s="32">
        <f>AQ127*G127</f>
        <v>1777880</v>
      </c>
      <c r="AS127" s="32"/>
      <c r="AT127" s="32"/>
      <c r="AU127" s="32"/>
      <c r="AV127" s="32"/>
      <c r="AW127" s="32"/>
      <c r="AX127" s="32"/>
      <c r="AY127" s="32"/>
      <c r="AZ127" s="32"/>
      <c r="BA127" s="32"/>
      <c r="BB127" s="32"/>
      <c r="BC127" s="32"/>
      <c r="BD127" s="32"/>
      <c r="BE127" s="32"/>
      <c r="BF127" s="32"/>
      <c r="BG127" s="32"/>
      <c r="BH127" s="32"/>
      <c r="BI127" s="32"/>
      <c r="BJ127" s="32"/>
      <c r="BK127" s="192"/>
      <c r="BL127" s="32"/>
      <c r="BM127" s="192"/>
      <c r="BN127" s="32"/>
      <c r="BO127" s="32"/>
      <c r="BP127" s="32"/>
      <c r="BQ127" s="32"/>
      <c r="BR127" s="32"/>
      <c r="BS127" s="32"/>
      <c r="BT127" s="32"/>
      <c r="BU127" s="32"/>
      <c r="BV127" s="32"/>
      <c r="BW127" s="32"/>
      <c r="BX127" s="32"/>
      <c r="BY127" s="32"/>
      <c r="BZ127" s="32"/>
      <c r="CA127" s="32"/>
      <c r="CB127" s="32"/>
      <c r="CC127" s="32"/>
      <c r="CD127" s="32"/>
      <c r="CE127" s="32"/>
      <c r="CF127" s="32"/>
      <c r="CG127" s="32"/>
      <c r="CH127" s="32"/>
      <c r="CI127" s="32"/>
      <c r="CJ127" s="32"/>
      <c r="CK127" s="32"/>
      <c r="CL127" s="32"/>
      <c r="CM127" s="32"/>
      <c r="CN127" s="32"/>
      <c r="CO127" s="32"/>
      <c r="CP127" s="32"/>
      <c r="CQ127" s="32"/>
      <c r="CR127" s="32"/>
      <c r="CS127" s="32"/>
      <c r="CT127" s="32"/>
      <c r="CU127" s="32"/>
      <c r="CV127" s="32"/>
      <c r="CW127" s="32"/>
      <c r="CX127" s="32"/>
      <c r="CY127" s="32"/>
      <c r="CZ127" s="32"/>
      <c r="DA127" s="32"/>
      <c r="DB127" s="32"/>
      <c r="DC127" s="32"/>
      <c r="DD127" s="32"/>
      <c r="DE127" s="32"/>
      <c r="DF127" s="32"/>
      <c r="DG127" s="32"/>
      <c r="DH127" s="32"/>
      <c r="DI127" s="32"/>
      <c r="DJ127" s="32"/>
      <c r="DK127" s="32"/>
      <c r="DL127" s="32"/>
      <c r="DM127" s="32"/>
      <c r="DN127" s="32"/>
      <c r="DO127" s="32"/>
      <c r="DP127" s="32"/>
      <c r="DQ127" s="32"/>
      <c r="DR127" s="32"/>
      <c r="DS127" s="13">
        <f>+MEDIAN(AK127,AM127,AO127,AQ127)</f>
        <v>18357.400000000001</v>
      </c>
      <c r="DT127" s="13">
        <f>+AVERAGE(AK127,AM127,AO127,AQ127)</f>
        <v>19452.900000000001</v>
      </c>
      <c r="DU127" s="13">
        <f>+STDEV(AK127,AM127,AO127,AQ127)</f>
        <v>5438.0242135049912</v>
      </c>
      <c r="DV127" s="17">
        <f t="shared" si="15"/>
        <v>0.27954825313989129</v>
      </c>
      <c r="DW127" s="373">
        <f t="shared" si="16"/>
        <v>18358</v>
      </c>
      <c r="DX127" s="13">
        <f t="shared" si="14"/>
        <v>5507400</v>
      </c>
      <c r="DY127" s="10" t="s">
        <v>309</v>
      </c>
    </row>
    <row r="128" spans="1:132" ht="78" hidden="1" x14ac:dyDescent="0.3">
      <c r="A128" s="19">
        <v>104</v>
      </c>
      <c r="B128" s="9" t="s">
        <v>15</v>
      </c>
      <c r="C128" s="47" t="s">
        <v>46</v>
      </c>
      <c r="D128" s="20" t="s">
        <v>379</v>
      </c>
      <c r="E128" s="10" t="s">
        <v>380</v>
      </c>
      <c r="F128" s="19" t="s">
        <v>20</v>
      </c>
      <c r="G128" s="21">
        <v>1</v>
      </c>
      <c r="H128" s="11">
        <v>1</v>
      </c>
      <c r="I128" s="191"/>
      <c r="J128" s="191"/>
      <c r="K128" s="191"/>
      <c r="L128" s="191"/>
      <c r="M128" s="191"/>
      <c r="N128" s="191"/>
      <c r="O128" s="211"/>
      <c r="P128" s="21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c r="BI128" s="32"/>
      <c r="BJ128" s="32"/>
      <c r="BK128" s="192"/>
      <c r="BL128" s="32"/>
      <c r="BM128" s="192"/>
      <c r="BN128" s="32"/>
      <c r="BO128" s="32"/>
      <c r="BP128" s="32"/>
      <c r="BQ128" s="32"/>
      <c r="BR128" s="32"/>
      <c r="BS128" s="32"/>
      <c r="BT128" s="32"/>
      <c r="BU128" s="32"/>
      <c r="BV128" s="32"/>
      <c r="BW128" s="32"/>
      <c r="BX128" s="32"/>
      <c r="BY128" s="32"/>
      <c r="BZ128" s="32"/>
      <c r="CA128" s="32"/>
      <c r="CB128" s="32"/>
      <c r="CC128" s="32"/>
      <c r="CD128" s="32"/>
      <c r="CE128" s="32"/>
      <c r="CF128" s="32"/>
      <c r="CG128" s="32"/>
      <c r="CH128" s="32"/>
      <c r="CI128" s="32"/>
      <c r="CJ128" s="32"/>
      <c r="CK128" s="32"/>
      <c r="CL128" s="32"/>
      <c r="CM128" s="32"/>
      <c r="CN128" s="32"/>
      <c r="CO128" s="224"/>
      <c r="CP128" s="32"/>
      <c r="CQ128" s="225"/>
      <c r="CR128" s="32"/>
      <c r="CS128" s="28">
        <v>2000000</v>
      </c>
      <c r="CT128" s="25">
        <f>CS128*G128</f>
        <v>2000000</v>
      </c>
      <c r="CU128" s="225">
        <v>3000000</v>
      </c>
      <c r="CV128" s="25">
        <f>CU128*G128</f>
        <v>3000000</v>
      </c>
      <c r="CW128" s="245"/>
      <c r="CX128" s="25"/>
      <c r="CY128" s="245"/>
      <c r="CZ128" s="25"/>
      <c r="DA128" s="25"/>
      <c r="DB128" s="25"/>
      <c r="DC128" s="245"/>
      <c r="DD128" s="25"/>
      <c r="DE128" s="25"/>
      <c r="DF128" s="25"/>
      <c r="DG128" s="25"/>
      <c r="DH128" s="25"/>
      <c r="DI128" s="25"/>
      <c r="DJ128" s="25"/>
      <c r="DK128" s="25"/>
      <c r="DL128" s="25"/>
      <c r="DM128" s="25"/>
      <c r="DN128" s="25"/>
      <c r="DO128" s="25"/>
      <c r="DP128" s="25"/>
      <c r="DQ128" s="25"/>
      <c r="DR128" s="25"/>
      <c r="DS128" s="13">
        <f>+MEDIAN(CS128,CU128)</f>
        <v>2500000</v>
      </c>
      <c r="DT128" s="13">
        <f>+AVERAGE((CS128,CU128))</f>
        <v>2500000</v>
      </c>
      <c r="DU128" s="13">
        <f>+STDEV(CS128,CU128)</f>
        <v>707106.78118654748</v>
      </c>
      <c r="DV128" s="17">
        <f t="shared" si="15"/>
        <v>0.28284271247461901</v>
      </c>
      <c r="DW128" s="373">
        <f t="shared" si="16"/>
        <v>2500000</v>
      </c>
      <c r="DX128" s="13">
        <f t="shared" si="14"/>
        <v>2500000</v>
      </c>
      <c r="DY128" s="10" t="s">
        <v>322</v>
      </c>
    </row>
    <row r="129" spans="1:132" ht="117" hidden="1" x14ac:dyDescent="0.3">
      <c r="A129" s="19">
        <v>105</v>
      </c>
      <c r="B129" s="9" t="s">
        <v>15</v>
      </c>
      <c r="C129" s="47" t="s">
        <v>46</v>
      </c>
      <c r="D129" s="9" t="s">
        <v>373</v>
      </c>
      <c r="E129" s="10" t="s">
        <v>23</v>
      </c>
      <c r="F129" s="27" t="s">
        <v>473</v>
      </c>
      <c r="G129" s="21">
        <v>1</v>
      </c>
      <c r="H129" s="11">
        <v>1</v>
      </c>
      <c r="I129" s="191"/>
      <c r="J129" s="191"/>
      <c r="K129" s="191"/>
      <c r="L129" s="191"/>
      <c r="M129" s="191"/>
      <c r="N129" s="191"/>
      <c r="O129" s="211"/>
      <c r="P129" s="212"/>
      <c r="Q129" s="32"/>
      <c r="R129" s="32"/>
      <c r="S129" s="32"/>
      <c r="T129" s="32"/>
      <c r="U129" s="32"/>
      <c r="V129" s="32"/>
      <c r="W129" s="32"/>
      <c r="X129" s="32"/>
      <c r="Y129" s="32"/>
      <c r="Z129" s="32"/>
      <c r="AA129" s="32">
        <v>3500000</v>
      </c>
      <c r="AB129" s="32">
        <f>AA129*H129</f>
        <v>3500000</v>
      </c>
      <c r="AC129" s="32"/>
      <c r="AD129" s="32"/>
      <c r="AE129" s="32"/>
      <c r="AF129" s="32"/>
      <c r="AG129" s="32">
        <v>3700000</v>
      </c>
      <c r="AH129" s="32">
        <f>AG129*G129*H129</f>
        <v>3700000</v>
      </c>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c r="BI129" s="32"/>
      <c r="BJ129" s="32"/>
      <c r="BK129" s="192"/>
      <c r="BL129" s="32"/>
      <c r="BM129" s="192"/>
      <c r="BN129" s="32"/>
      <c r="BO129" s="32"/>
      <c r="BP129" s="32"/>
      <c r="BQ129" s="32"/>
      <c r="BR129" s="32"/>
      <c r="BS129" s="32"/>
      <c r="BT129" s="32"/>
      <c r="BU129" s="32"/>
      <c r="BV129" s="32"/>
      <c r="BW129" s="32"/>
      <c r="BX129" s="32"/>
      <c r="BY129" s="32"/>
      <c r="BZ129" s="32"/>
      <c r="CA129" s="32"/>
      <c r="CB129" s="32"/>
      <c r="CC129" s="32"/>
      <c r="CD129" s="32"/>
      <c r="CE129" s="32"/>
      <c r="CF129" s="32"/>
      <c r="CG129" s="32"/>
      <c r="CH129" s="32"/>
      <c r="CI129" s="32"/>
      <c r="CJ129" s="32"/>
      <c r="CK129" s="32"/>
      <c r="CL129" s="32"/>
      <c r="CM129" s="32"/>
      <c r="CN129" s="32"/>
      <c r="CO129" s="32"/>
      <c r="CP129" s="32"/>
      <c r="CQ129" s="32"/>
      <c r="CR129" s="32"/>
      <c r="CS129" s="32"/>
      <c r="CT129" s="32"/>
      <c r="CU129" s="32"/>
      <c r="CV129" s="32"/>
      <c r="CW129" s="32"/>
      <c r="CX129" s="32"/>
      <c r="CY129" s="32"/>
      <c r="CZ129" s="32"/>
      <c r="DA129" s="32"/>
      <c r="DB129" s="32"/>
      <c r="DC129" s="32"/>
      <c r="DD129" s="32"/>
      <c r="DE129" s="32"/>
      <c r="DF129" s="32"/>
      <c r="DG129" s="32"/>
      <c r="DH129" s="32"/>
      <c r="DI129" s="32"/>
      <c r="DJ129" s="32"/>
      <c r="DK129" s="32"/>
      <c r="DL129" s="32"/>
      <c r="DM129" s="32"/>
      <c r="DN129" s="32"/>
      <c r="DO129" s="32"/>
      <c r="DP129" s="32"/>
      <c r="DQ129" s="32"/>
      <c r="DR129" s="32"/>
      <c r="DS129" s="13">
        <f>+MEDIAN(AA129,AG129)</f>
        <v>3600000</v>
      </c>
      <c r="DT129" s="13">
        <f>+AVERAGE(AA129,AG129)</f>
        <v>3600000</v>
      </c>
      <c r="DU129" s="13">
        <f>+STDEV(AA129,AG129)</f>
        <v>141421.35623730952</v>
      </c>
      <c r="DV129" s="17">
        <f t="shared" si="15"/>
        <v>3.9283710065919311E-2</v>
      </c>
      <c r="DW129" s="373">
        <f t="shared" si="16"/>
        <v>3600000</v>
      </c>
      <c r="DX129" s="13">
        <f t="shared" si="14"/>
        <v>3600000</v>
      </c>
      <c r="DY129" s="10" t="s">
        <v>308</v>
      </c>
    </row>
    <row r="130" spans="1:132" ht="52" hidden="1" x14ac:dyDescent="0.3">
      <c r="A130" s="19">
        <v>106</v>
      </c>
      <c r="B130" s="9" t="s">
        <v>15</v>
      </c>
      <c r="C130" s="47" t="s">
        <v>46</v>
      </c>
      <c r="D130" s="20" t="s">
        <v>268</v>
      </c>
      <c r="E130" s="10" t="s">
        <v>347</v>
      </c>
      <c r="F130" s="19" t="s">
        <v>19</v>
      </c>
      <c r="G130" s="21">
        <v>300</v>
      </c>
      <c r="H130" s="11">
        <v>1</v>
      </c>
      <c r="I130" s="191"/>
      <c r="J130" s="191"/>
      <c r="K130" s="191"/>
      <c r="L130" s="191"/>
      <c r="M130" s="191"/>
      <c r="N130" s="191"/>
      <c r="O130" s="211"/>
      <c r="P130" s="21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c r="BI130" s="32"/>
      <c r="BJ130" s="32"/>
      <c r="BK130" s="246"/>
      <c r="BL130" s="32"/>
      <c r="BM130" s="246">
        <v>2200</v>
      </c>
      <c r="BN130" s="32">
        <f>BM130*G130</f>
        <v>660000</v>
      </c>
      <c r="BO130" s="32"/>
      <c r="BP130" s="32"/>
      <c r="BQ130" s="246">
        <f>+ROUND(1200+(1200*19%),0)</f>
        <v>1428</v>
      </c>
      <c r="BR130" s="32">
        <f>BQ130*G130</f>
        <v>428400</v>
      </c>
      <c r="BS130" s="32"/>
      <c r="BT130" s="32"/>
      <c r="BU130" s="32"/>
      <c r="BV130" s="32"/>
      <c r="BW130" s="32"/>
      <c r="BX130" s="32"/>
      <c r="BY130" s="32"/>
      <c r="BZ130" s="32"/>
      <c r="CA130" s="32"/>
      <c r="CB130" s="32"/>
      <c r="CC130" s="32"/>
      <c r="CD130" s="32"/>
      <c r="CE130" s="32"/>
      <c r="CF130" s="32"/>
      <c r="CG130" s="32"/>
      <c r="CH130" s="32"/>
      <c r="CI130" s="32"/>
      <c r="CJ130" s="32"/>
      <c r="CK130" s="32"/>
      <c r="CL130" s="32"/>
      <c r="CM130" s="32"/>
      <c r="CN130" s="32"/>
      <c r="CO130" s="32"/>
      <c r="CP130" s="32"/>
      <c r="CQ130" s="32"/>
      <c r="CR130" s="32"/>
      <c r="CS130" s="32"/>
      <c r="CT130" s="32"/>
      <c r="CU130" s="32"/>
      <c r="CV130" s="32"/>
      <c r="CW130" s="32"/>
      <c r="CX130" s="32"/>
      <c r="CY130" s="32"/>
      <c r="CZ130" s="32"/>
      <c r="DA130" s="32"/>
      <c r="DB130" s="32"/>
      <c r="DC130" s="32"/>
      <c r="DD130" s="32"/>
      <c r="DE130" s="32"/>
      <c r="DF130" s="32"/>
      <c r="DG130" s="32"/>
      <c r="DH130" s="32"/>
      <c r="DI130" s="32"/>
      <c r="DJ130" s="32"/>
      <c r="DK130" s="32"/>
      <c r="DL130" s="32"/>
      <c r="DM130" s="32"/>
      <c r="DN130" s="32"/>
      <c r="DO130" s="32"/>
      <c r="DP130" s="32"/>
      <c r="DQ130" s="32"/>
      <c r="DR130" s="32"/>
      <c r="DS130" s="13">
        <f>+MEDIAN(BM130,BQ130)</f>
        <v>1814</v>
      </c>
      <c r="DT130" s="13">
        <f>+AVERAGE(BM130,BQ130)</f>
        <v>1814</v>
      </c>
      <c r="DU130" s="13">
        <f>+STDEV(BM130,BQ130)</f>
        <v>545.88643507601466</v>
      </c>
      <c r="DV130" s="17">
        <f t="shared" si="15"/>
        <v>0.30092967755017347</v>
      </c>
      <c r="DW130" s="373">
        <f t="shared" si="16"/>
        <v>1814</v>
      </c>
      <c r="DX130" s="13">
        <f t="shared" si="14"/>
        <v>544200</v>
      </c>
      <c r="DY130" s="10" t="s">
        <v>309</v>
      </c>
    </row>
    <row r="131" spans="1:132" ht="208" hidden="1" x14ac:dyDescent="0.3">
      <c r="A131" s="415">
        <v>107</v>
      </c>
      <c r="B131" s="416" t="s">
        <v>15</v>
      </c>
      <c r="C131" s="567" t="s">
        <v>46</v>
      </c>
      <c r="D131" s="531" t="s">
        <v>403</v>
      </c>
      <c r="E131" s="418" t="s">
        <v>1095</v>
      </c>
      <c r="F131" s="415" t="s">
        <v>28</v>
      </c>
      <c r="G131" s="568">
        <v>1</v>
      </c>
      <c r="H131" s="420">
        <v>1</v>
      </c>
      <c r="I131" s="421"/>
      <c r="J131" s="421"/>
      <c r="K131" s="421"/>
      <c r="L131" s="421"/>
      <c r="M131" s="421"/>
      <c r="N131" s="421"/>
      <c r="O131" s="422"/>
      <c r="P131" s="432"/>
      <c r="Q131" s="424"/>
      <c r="R131" s="424"/>
      <c r="S131" s="424"/>
      <c r="T131" s="424"/>
      <c r="U131" s="424"/>
      <c r="V131" s="424"/>
      <c r="W131" s="424"/>
      <c r="X131" s="424"/>
      <c r="Y131" s="424"/>
      <c r="Z131" s="424"/>
      <c r="AA131" s="424"/>
      <c r="AB131" s="424"/>
      <c r="AC131" s="424"/>
      <c r="AD131" s="424"/>
      <c r="AE131" s="424"/>
      <c r="AF131" s="424"/>
      <c r="AG131" s="424"/>
      <c r="AH131" s="424"/>
      <c r="AI131" s="424"/>
      <c r="AJ131" s="424"/>
      <c r="AK131" s="424"/>
      <c r="AL131" s="424"/>
      <c r="AM131" s="424"/>
      <c r="AN131" s="424"/>
      <c r="AO131" s="424"/>
      <c r="AP131" s="424"/>
      <c r="AQ131" s="424"/>
      <c r="AR131" s="424"/>
      <c r="AS131" s="424"/>
      <c r="AT131" s="424"/>
      <c r="AU131" s="424"/>
      <c r="AV131" s="424"/>
      <c r="AW131" s="424"/>
      <c r="AX131" s="424"/>
      <c r="AY131" s="424"/>
      <c r="AZ131" s="424"/>
      <c r="BA131" s="424"/>
      <c r="BB131" s="424"/>
      <c r="BC131" s="424"/>
      <c r="BD131" s="424"/>
      <c r="BE131" s="424"/>
      <c r="BF131" s="424"/>
      <c r="BG131" s="424"/>
      <c r="BH131" s="424"/>
      <c r="BI131" s="424"/>
      <c r="BJ131" s="424"/>
      <c r="BK131" s="425"/>
      <c r="BL131" s="424"/>
      <c r="BM131" s="425"/>
      <c r="BN131" s="424"/>
      <c r="BO131" s="424"/>
      <c r="BP131" s="424"/>
      <c r="BQ131" s="424"/>
      <c r="BR131" s="424"/>
      <c r="BS131" s="424"/>
      <c r="BT131" s="424"/>
      <c r="BU131" s="424"/>
      <c r="BV131" s="424"/>
      <c r="BW131" s="424"/>
      <c r="BX131" s="424"/>
      <c r="BY131" s="424"/>
      <c r="BZ131" s="424"/>
      <c r="CA131" s="424"/>
      <c r="CB131" s="424"/>
      <c r="CC131" s="424"/>
      <c r="CD131" s="424"/>
      <c r="CE131" s="424"/>
      <c r="CF131" s="424"/>
      <c r="CG131" s="424"/>
      <c r="CH131" s="424"/>
      <c r="CI131" s="424"/>
      <c r="CJ131" s="424"/>
      <c r="CK131" s="424"/>
      <c r="CL131" s="424"/>
      <c r="CM131" s="424"/>
      <c r="CN131" s="424"/>
      <c r="CO131" s="424"/>
      <c r="CP131" s="424"/>
      <c r="CQ131" s="424"/>
      <c r="CR131" s="424"/>
      <c r="CS131" s="424"/>
      <c r="CT131" s="424"/>
      <c r="CU131" s="424"/>
      <c r="CV131" s="424"/>
      <c r="CW131" s="424"/>
      <c r="CX131" s="424"/>
      <c r="CY131" s="424"/>
      <c r="CZ131" s="424"/>
      <c r="DA131" s="424"/>
      <c r="DB131" s="424"/>
      <c r="DC131" s="424"/>
      <c r="DD131" s="424"/>
      <c r="DE131" s="424"/>
      <c r="DF131" s="424"/>
      <c r="DG131" s="424"/>
      <c r="DH131" s="424"/>
      <c r="DI131" s="424"/>
      <c r="DJ131" s="424"/>
      <c r="DK131" s="424"/>
      <c r="DL131" s="424"/>
      <c r="DM131" s="424"/>
      <c r="DN131" s="424"/>
      <c r="DO131" s="424"/>
      <c r="DP131" s="424"/>
      <c r="DQ131" s="424"/>
      <c r="DR131" s="424"/>
      <c r="DS131" s="426"/>
      <c r="DT131" s="426"/>
      <c r="DU131" s="426"/>
      <c r="DV131" s="427"/>
      <c r="DW131" s="428">
        <f>17500000*1.34</f>
        <v>23450000</v>
      </c>
      <c r="DX131" s="426">
        <f t="shared" si="14"/>
        <v>23450000</v>
      </c>
      <c r="DY131" s="429" t="s">
        <v>1096</v>
      </c>
    </row>
    <row r="132" spans="1:132" s="63" customFormat="1" ht="19" hidden="1" customHeight="1" x14ac:dyDescent="0.3">
      <c r="A132" s="66" t="s">
        <v>376</v>
      </c>
      <c r="B132" s="66"/>
      <c r="C132" s="66"/>
      <c r="D132" s="66"/>
      <c r="E132" s="66"/>
      <c r="F132" s="67"/>
      <c r="G132" s="67"/>
      <c r="H132" s="67"/>
      <c r="I132" s="214"/>
      <c r="J132" s="214"/>
      <c r="K132" s="214"/>
      <c r="L132" s="214"/>
      <c r="M132" s="214"/>
      <c r="N132" s="214"/>
      <c r="O132" s="215"/>
      <c r="P132" s="215"/>
      <c r="Q132" s="215"/>
      <c r="R132" s="215"/>
      <c r="S132" s="215"/>
      <c r="T132" s="215"/>
      <c r="U132" s="215"/>
      <c r="V132" s="215"/>
      <c r="W132" s="215"/>
      <c r="X132" s="215"/>
      <c r="Y132" s="215"/>
      <c r="Z132" s="215"/>
      <c r="AA132" s="215"/>
      <c r="AB132" s="215"/>
      <c r="AC132" s="215"/>
      <c r="AD132" s="215"/>
      <c r="AE132" s="215"/>
      <c r="AF132" s="215"/>
      <c r="AG132" s="215"/>
      <c r="AH132" s="215"/>
      <c r="AI132" s="215"/>
      <c r="AJ132" s="215"/>
      <c r="AK132" s="215"/>
      <c r="AL132" s="215"/>
      <c r="AM132" s="215"/>
      <c r="AN132" s="215"/>
      <c r="AO132" s="215"/>
      <c r="AP132" s="215"/>
      <c r="AQ132" s="215"/>
      <c r="AR132" s="215"/>
      <c r="AS132" s="215"/>
      <c r="AT132" s="215"/>
      <c r="AU132" s="215"/>
      <c r="AV132" s="215"/>
      <c r="AW132" s="215"/>
      <c r="AX132" s="215"/>
      <c r="AY132" s="215"/>
      <c r="AZ132" s="215"/>
      <c r="BA132" s="215"/>
      <c r="BB132" s="215"/>
      <c r="BC132" s="215"/>
      <c r="BD132" s="215"/>
      <c r="BE132" s="215"/>
      <c r="BF132" s="215"/>
      <c r="BG132" s="215"/>
      <c r="BH132" s="215"/>
      <c r="BI132" s="215"/>
      <c r="BJ132" s="215"/>
      <c r="BK132" s="215"/>
      <c r="BL132" s="216"/>
      <c r="BM132" s="215"/>
      <c r="BN132" s="216"/>
      <c r="BO132" s="216"/>
      <c r="BP132" s="216"/>
      <c r="BQ132" s="216"/>
      <c r="BR132" s="216"/>
      <c r="BS132" s="216"/>
      <c r="BT132" s="216"/>
      <c r="BU132" s="216"/>
      <c r="BV132" s="216"/>
      <c r="BW132" s="216"/>
      <c r="BX132" s="216"/>
      <c r="BY132" s="216"/>
      <c r="BZ132" s="216"/>
      <c r="CA132" s="216"/>
      <c r="CB132" s="216"/>
      <c r="CC132" s="216"/>
      <c r="CD132" s="216"/>
      <c r="CE132" s="216"/>
      <c r="CF132" s="216"/>
      <c r="CG132" s="216"/>
      <c r="CH132" s="216"/>
      <c r="CI132" s="216"/>
      <c r="CJ132" s="216"/>
      <c r="CK132" s="216"/>
      <c r="CL132" s="216"/>
      <c r="CM132" s="216"/>
      <c r="CN132" s="216"/>
      <c r="CO132" s="216"/>
      <c r="CP132" s="216"/>
      <c r="CQ132" s="216"/>
      <c r="CR132" s="216"/>
      <c r="CS132" s="216"/>
      <c r="CT132" s="216"/>
      <c r="CU132" s="216"/>
      <c r="CV132" s="216"/>
      <c r="CW132" s="216"/>
      <c r="CX132" s="216"/>
      <c r="CY132" s="216"/>
      <c r="CZ132" s="216"/>
      <c r="DA132" s="216"/>
      <c r="DB132" s="216"/>
      <c r="DC132" s="216"/>
      <c r="DD132" s="216"/>
      <c r="DE132" s="216"/>
      <c r="DF132" s="216"/>
      <c r="DG132" s="216"/>
      <c r="DH132" s="216"/>
      <c r="DI132" s="216"/>
      <c r="DJ132" s="216"/>
      <c r="DK132" s="216"/>
      <c r="DL132" s="216"/>
      <c r="DM132" s="216"/>
      <c r="DN132" s="216"/>
      <c r="DO132" s="216"/>
      <c r="DP132" s="216"/>
      <c r="DQ132" s="216"/>
      <c r="DR132" s="216"/>
      <c r="DS132" s="215"/>
      <c r="DT132" s="215"/>
      <c r="DU132" s="215"/>
      <c r="DV132" s="68"/>
      <c r="DW132" s="69">
        <f>SUM(DW118:DW131)</f>
        <v>47068111</v>
      </c>
      <c r="DX132" s="69">
        <f>SUM(DX118:DX131)</f>
        <v>135006604</v>
      </c>
      <c r="DY132" s="165"/>
      <c r="DZ132" s="609"/>
      <c r="EA132" s="609"/>
      <c r="EB132" s="609"/>
    </row>
    <row r="133" spans="1:132" ht="52" hidden="1" x14ac:dyDescent="0.3">
      <c r="A133" s="19">
        <v>108</v>
      </c>
      <c r="B133" s="40" t="s">
        <v>15</v>
      </c>
      <c r="C133" s="383" t="s">
        <v>386</v>
      </c>
      <c r="D133" s="103" t="s">
        <v>357</v>
      </c>
      <c r="E133" s="42" t="s">
        <v>1175</v>
      </c>
      <c r="F133" s="70" t="s">
        <v>14</v>
      </c>
      <c r="G133" s="102">
        <v>3</v>
      </c>
      <c r="H133" s="43">
        <v>5</v>
      </c>
      <c r="I133" s="405">
        <v>7688000</v>
      </c>
      <c r="J133" s="386">
        <f>I133*G133*H133</f>
        <v>115320000</v>
      </c>
      <c r="K133" s="386"/>
      <c r="L133" s="386"/>
      <c r="M133" s="386"/>
      <c r="N133" s="386"/>
      <c r="O133" s="387"/>
      <c r="P133" s="393"/>
      <c r="Q133" s="389"/>
      <c r="R133" s="389"/>
      <c r="S133" s="389"/>
      <c r="T133" s="389"/>
      <c r="U133" s="389"/>
      <c r="V133" s="389"/>
      <c r="W133" s="389"/>
      <c r="X133" s="389"/>
      <c r="Y133" s="389"/>
      <c r="Z133" s="389"/>
      <c r="AA133" s="389"/>
      <c r="AB133" s="389"/>
      <c r="AC133" s="389"/>
      <c r="AD133" s="389"/>
      <c r="AE133" s="389"/>
      <c r="AF133" s="389"/>
      <c r="AG133" s="389"/>
      <c r="AH133" s="389"/>
      <c r="AI133" s="389"/>
      <c r="AJ133" s="389"/>
      <c r="AK133" s="389"/>
      <c r="AL133" s="389"/>
      <c r="AM133" s="389"/>
      <c r="AN133" s="389"/>
      <c r="AO133" s="389"/>
      <c r="AP133" s="389"/>
      <c r="AQ133" s="389"/>
      <c r="AR133" s="389"/>
      <c r="AS133" s="389"/>
      <c r="AT133" s="389"/>
      <c r="AU133" s="389"/>
      <c r="AV133" s="389"/>
      <c r="AW133" s="389"/>
      <c r="AX133" s="389"/>
      <c r="AY133" s="389"/>
      <c r="AZ133" s="389"/>
      <c r="BA133" s="389"/>
      <c r="BB133" s="389"/>
      <c r="BC133" s="389"/>
      <c r="BD133" s="389"/>
      <c r="BE133" s="389"/>
      <c r="BF133" s="389"/>
      <c r="BG133" s="389"/>
      <c r="BH133" s="389"/>
      <c r="BI133" s="389"/>
      <c r="BJ133" s="389"/>
      <c r="BK133" s="390"/>
      <c r="BL133" s="389"/>
      <c r="BM133" s="390"/>
      <c r="BN133" s="389"/>
      <c r="BO133" s="389"/>
      <c r="BP133" s="389"/>
      <c r="BQ133" s="389"/>
      <c r="BR133" s="389"/>
      <c r="BS133" s="389"/>
      <c r="BT133" s="389"/>
      <c r="BU133" s="389"/>
      <c r="BV133" s="389"/>
      <c r="BW133" s="389"/>
      <c r="BX133" s="389"/>
      <c r="BY133" s="389"/>
      <c r="BZ133" s="389"/>
      <c r="CA133" s="389"/>
      <c r="CB133" s="389"/>
      <c r="CC133" s="389"/>
      <c r="CD133" s="389"/>
      <c r="CE133" s="389"/>
      <c r="CF133" s="389"/>
      <c r="CG133" s="389"/>
      <c r="CH133" s="389"/>
      <c r="CI133" s="389"/>
      <c r="CJ133" s="389"/>
      <c r="CK133" s="389"/>
      <c r="CL133" s="389"/>
      <c r="CM133" s="389"/>
      <c r="CN133" s="389"/>
      <c r="CO133" s="389"/>
      <c r="CP133" s="389"/>
      <c r="CQ133" s="389"/>
      <c r="CR133" s="389"/>
      <c r="CS133" s="389"/>
      <c r="CT133" s="389"/>
      <c r="CU133" s="389"/>
      <c r="CV133" s="389"/>
      <c r="CW133" s="389"/>
      <c r="CX133" s="389"/>
      <c r="CY133" s="389"/>
      <c r="CZ133" s="389"/>
      <c r="DA133" s="389"/>
      <c r="DB133" s="389"/>
      <c r="DC133" s="389"/>
      <c r="DD133" s="389"/>
      <c r="DE133" s="389"/>
      <c r="DF133" s="389"/>
      <c r="DG133" s="389"/>
      <c r="DH133" s="389"/>
      <c r="DI133" s="389"/>
      <c r="DJ133" s="389"/>
      <c r="DK133" s="389"/>
      <c r="DL133" s="389"/>
      <c r="DM133" s="389"/>
      <c r="DN133" s="389"/>
      <c r="DO133" s="389"/>
      <c r="DP133" s="389"/>
      <c r="DQ133" s="389"/>
      <c r="DR133" s="389"/>
      <c r="DS133" s="400"/>
      <c r="DT133" s="400"/>
      <c r="DU133" s="400"/>
      <c r="DV133" s="64"/>
      <c r="DW133" s="374">
        <f>I133</f>
        <v>7688000</v>
      </c>
      <c r="DX133" s="65">
        <f t="shared" ref="DX133:DX142" si="17">+ROUND(DW133*G133*H133,0)</f>
        <v>115320000</v>
      </c>
      <c r="DY133" s="362" t="s">
        <v>323</v>
      </c>
    </row>
    <row r="134" spans="1:132" ht="52" hidden="1" x14ac:dyDescent="0.3">
      <c r="A134" s="19">
        <v>109</v>
      </c>
      <c r="B134" s="9" t="s">
        <v>15</v>
      </c>
      <c r="C134" s="384" t="s">
        <v>386</v>
      </c>
      <c r="D134" s="20" t="s">
        <v>387</v>
      </c>
      <c r="E134" s="42" t="s">
        <v>1175</v>
      </c>
      <c r="F134" s="19" t="s">
        <v>14</v>
      </c>
      <c r="G134" s="21">
        <v>1</v>
      </c>
      <c r="H134" s="11">
        <v>1</v>
      </c>
      <c r="I134" s="392">
        <f>4917001+((12/23)*(5635000-4917001))</f>
        <v>5291609.173913043</v>
      </c>
      <c r="J134" s="303">
        <f>I134*G134*H134</f>
        <v>5291609.173913043</v>
      </c>
      <c r="K134" s="303"/>
      <c r="L134" s="303"/>
      <c r="M134" s="303"/>
      <c r="N134" s="303"/>
      <c r="O134" s="304"/>
      <c r="P134" s="305"/>
      <c r="Q134" s="97"/>
      <c r="R134" s="97"/>
      <c r="S134" s="97"/>
      <c r="T134" s="97"/>
      <c r="U134" s="97"/>
      <c r="V134" s="97"/>
      <c r="W134" s="97"/>
      <c r="X134" s="97"/>
      <c r="Y134" s="97"/>
      <c r="Z134" s="97"/>
      <c r="AA134" s="97"/>
      <c r="AB134" s="97"/>
      <c r="AC134" s="97"/>
      <c r="AD134" s="97"/>
      <c r="AE134" s="97"/>
      <c r="AF134" s="97"/>
      <c r="AG134" s="97"/>
      <c r="AH134" s="97"/>
      <c r="AI134" s="97"/>
      <c r="AJ134" s="97"/>
      <c r="AK134" s="97"/>
      <c r="AL134" s="97"/>
      <c r="AM134" s="97"/>
      <c r="AN134" s="97"/>
      <c r="AO134" s="97"/>
      <c r="AP134" s="97"/>
      <c r="AQ134" s="97"/>
      <c r="AR134" s="97"/>
      <c r="AS134" s="97"/>
      <c r="AT134" s="97"/>
      <c r="AU134" s="97"/>
      <c r="AV134" s="97"/>
      <c r="AW134" s="97"/>
      <c r="AX134" s="97"/>
      <c r="AY134" s="97"/>
      <c r="AZ134" s="97"/>
      <c r="BA134" s="97"/>
      <c r="BB134" s="97"/>
      <c r="BC134" s="97"/>
      <c r="BD134" s="97"/>
      <c r="BE134" s="97"/>
      <c r="BF134" s="97"/>
      <c r="BG134" s="97"/>
      <c r="BH134" s="97"/>
      <c r="BI134" s="97"/>
      <c r="BJ134" s="97"/>
      <c r="BK134" s="306"/>
      <c r="BL134" s="97"/>
      <c r="BM134" s="306"/>
      <c r="BN134" s="97"/>
      <c r="BO134" s="97"/>
      <c r="BP134" s="97"/>
      <c r="BQ134" s="97"/>
      <c r="BR134" s="97"/>
      <c r="BS134" s="97"/>
      <c r="BT134" s="97"/>
      <c r="BU134" s="97"/>
      <c r="BV134" s="97"/>
      <c r="BW134" s="97"/>
      <c r="BX134" s="97"/>
      <c r="BY134" s="97"/>
      <c r="BZ134" s="97"/>
      <c r="CA134" s="97"/>
      <c r="CB134" s="97"/>
      <c r="CC134" s="97"/>
      <c r="CD134" s="97"/>
      <c r="CE134" s="97"/>
      <c r="CF134" s="97"/>
      <c r="CG134" s="97"/>
      <c r="CH134" s="97"/>
      <c r="CI134" s="97"/>
      <c r="CJ134" s="97"/>
      <c r="CK134" s="97"/>
      <c r="CL134" s="97"/>
      <c r="CM134" s="97"/>
      <c r="CN134" s="97"/>
      <c r="CO134" s="97"/>
      <c r="CP134" s="97"/>
      <c r="CQ134" s="97"/>
      <c r="CR134" s="97"/>
      <c r="CS134" s="97"/>
      <c r="CT134" s="97"/>
      <c r="CU134" s="97"/>
      <c r="CV134" s="97"/>
      <c r="CW134" s="97"/>
      <c r="CX134" s="97"/>
      <c r="CY134" s="97"/>
      <c r="CZ134" s="97"/>
      <c r="DA134" s="97"/>
      <c r="DB134" s="97"/>
      <c r="DC134" s="97"/>
      <c r="DD134" s="97"/>
      <c r="DE134" s="97"/>
      <c r="DF134" s="97"/>
      <c r="DG134" s="97"/>
      <c r="DH134" s="97"/>
      <c r="DI134" s="97"/>
      <c r="DJ134" s="97"/>
      <c r="DK134" s="97"/>
      <c r="DL134" s="97"/>
      <c r="DM134" s="97"/>
      <c r="DN134" s="97"/>
      <c r="DO134" s="97"/>
      <c r="DP134" s="97"/>
      <c r="DQ134" s="97"/>
      <c r="DR134" s="97"/>
      <c r="DS134" s="310"/>
      <c r="DT134" s="310"/>
      <c r="DU134" s="310"/>
      <c r="DV134" s="17"/>
      <c r="DW134" s="371">
        <f>I134</f>
        <v>5291609.173913043</v>
      </c>
      <c r="DX134" s="13">
        <f t="shared" si="17"/>
        <v>5291609</v>
      </c>
      <c r="DY134" s="161" t="s">
        <v>323</v>
      </c>
    </row>
    <row r="135" spans="1:132" ht="52" hidden="1" x14ac:dyDescent="0.3">
      <c r="A135" s="19">
        <v>110</v>
      </c>
      <c r="B135" s="9" t="s">
        <v>15</v>
      </c>
      <c r="C135" s="384" t="s">
        <v>386</v>
      </c>
      <c r="D135" s="20" t="s">
        <v>427</v>
      </c>
      <c r="E135" s="42" t="s">
        <v>1175</v>
      </c>
      <c r="F135" s="19" t="s">
        <v>14</v>
      </c>
      <c r="G135" s="21">
        <v>3</v>
      </c>
      <c r="H135" s="11">
        <v>4</v>
      </c>
      <c r="I135" s="303">
        <f>3100001+((12/24)*(3500000-3100001))</f>
        <v>3300000.5</v>
      </c>
      <c r="J135" s="303">
        <f>I135*G135*H135</f>
        <v>39600006</v>
      </c>
      <c r="K135" s="303"/>
      <c r="L135" s="303"/>
      <c r="M135" s="303"/>
      <c r="N135" s="303"/>
      <c r="O135" s="304"/>
      <c r="P135" s="305"/>
      <c r="Q135" s="97"/>
      <c r="R135" s="97"/>
      <c r="S135" s="97"/>
      <c r="T135" s="97"/>
      <c r="U135" s="97"/>
      <c r="V135" s="97"/>
      <c r="W135" s="97"/>
      <c r="X135" s="97"/>
      <c r="Y135" s="97"/>
      <c r="Z135" s="97"/>
      <c r="AA135" s="97"/>
      <c r="AB135" s="97"/>
      <c r="AC135" s="97"/>
      <c r="AD135" s="97"/>
      <c r="AE135" s="97"/>
      <c r="AF135" s="97"/>
      <c r="AG135" s="97"/>
      <c r="AH135" s="97"/>
      <c r="AI135" s="97"/>
      <c r="AJ135" s="97"/>
      <c r="AK135" s="97"/>
      <c r="AL135" s="97"/>
      <c r="AM135" s="97"/>
      <c r="AN135" s="97"/>
      <c r="AO135" s="97"/>
      <c r="AP135" s="97"/>
      <c r="AQ135" s="97"/>
      <c r="AR135" s="97"/>
      <c r="AS135" s="97"/>
      <c r="AT135" s="97"/>
      <c r="AU135" s="97"/>
      <c r="AV135" s="97"/>
      <c r="AW135" s="97"/>
      <c r="AX135" s="97"/>
      <c r="AY135" s="97"/>
      <c r="AZ135" s="97"/>
      <c r="BA135" s="97"/>
      <c r="BB135" s="97"/>
      <c r="BC135" s="97"/>
      <c r="BD135" s="97"/>
      <c r="BE135" s="97"/>
      <c r="BF135" s="97"/>
      <c r="BG135" s="97"/>
      <c r="BH135" s="97"/>
      <c r="BI135" s="97"/>
      <c r="BJ135" s="97"/>
      <c r="BK135" s="306"/>
      <c r="BL135" s="97"/>
      <c r="BM135" s="306"/>
      <c r="BN135" s="97"/>
      <c r="BO135" s="97"/>
      <c r="BP135" s="97"/>
      <c r="BQ135" s="97"/>
      <c r="BR135" s="97"/>
      <c r="BS135" s="97"/>
      <c r="BT135" s="97"/>
      <c r="BU135" s="97"/>
      <c r="BV135" s="97"/>
      <c r="BW135" s="97"/>
      <c r="BX135" s="97"/>
      <c r="BY135" s="97"/>
      <c r="BZ135" s="97"/>
      <c r="CA135" s="97"/>
      <c r="CB135" s="97"/>
      <c r="CC135" s="97"/>
      <c r="CD135" s="97"/>
      <c r="CE135" s="97"/>
      <c r="CF135" s="97"/>
      <c r="CG135" s="97"/>
      <c r="CH135" s="97"/>
      <c r="CI135" s="97"/>
      <c r="CJ135" s="97"/>
      <c r="CK135" s="97"/>
      <c r="CL135" s="97"/>
      <c r="CM135" s="97"/>
      <c r="CN135" s="97"/>
      <c r="CO135" s="97"/>
      <c r="CP135" s="97"/>
      <c r="CQ135" s="97"/>
      <c r="CR135" s="97"/>
      <c r="CS135" s="97"/>
      <c r="CT135" s="97"/>
      <c r="CU135" s="97"/>
      <c r="CV135" s="97"/>
      <c r="CW135" s="97"/>
      <c r="CX135" s="97"/>
      <c r="CY135" s="97"/>
      <c r="CZ135" s="97"/>
      <c r="DA135" s="97"/>
      <c r="DB135" s="97"/>
      <c r="DC135" s="97"/>
      <c r="DD135" s="97"/>
      <c r="DE135" s="97"/>
      <c r="DF135" s="97"/>
      <c r="DG135" s="97"/>
      <c r="DH135" s="97"/>
      <c r="DI135" s="97"/>
      <c r="DJ135" s="97"/>
      <c r="DK135" s="97"/>
      <c r="DL135" s="97"/>
      <c r="DM135" s="97"/>
      <c r="DN135" s="97"/>
      <c r="DO135" s="97"/>
      <c r="DP135" s="97"/>
      <c r="DQ135" s="97"/>
      <c r="DR135" s="97"/>
      <c r="DS135" s="310"/>
      <c r="DT135" s="310"/>
      <c r="DU135" s="310"/>
      <c r="DV135" s="17"/>
      <c r="DW135" s="371">
        <f>I135</f>
        <v>3300000.5</v>
      </c>
      <c r="DX135" s="13">
        <f t="shared" si="17"/>
        <v>39600006</v>
      </c>
      <c r="DY135" s="161" t="s">
        <v>323</v>
      </c>
    </row>
    <row r="136" spans="1:132" ht="52" hidden="1" x14ac:dyDescent="0.3">
      <c r="A136" s="19">
        <v>111</v>
      </c>
      <c r="B136" s="9" t="s">
        <v>15</v>
      </c>
      <c r="C136" s="384" t="s">
        <v>386</v>
      </c>
      <c r="D136" s="20" t="s">
        <v>428</v>
      </c>
      <c r="E136" s="42" t="s">
        <v>1175</v>
      </c>
      <c r="F136" s="19" t="s">
        <v>14</v>
      </c>
      <c r="G136" s="21">
        <v>6</v>
      </c>
      <c r="H136" s="11">
        <v>4</v>
      </c>
      <c r="I136" s="303">
        <f>1540000+((12/23)*(2063000-1540000))</f>
        <v>1812869.5652173914</v>
      </c>
      <c r="J136" s="303">
        <f>I136*G136*H136</f>
        <v>43508869.565217391</v>
      </c>
      <c r="K136" s="303"/>
      <c r="L136" s="303"/>
      <c r="M136" s="303"/>
      <c r="N136" s="303"/>
      <c r="O136" s="304"/>
      <c r="P136" s="305"/>
      <c r="Q136" s="97"/>
      <c r="R136" s="97"/>
      <c r="S136" s="97"/>
      <c r="T136" s="97"/>
      <c r="U136" s="97"/>
      <c r="V136" s="97"/>
      <c r="W136" s="97"/>
      <c r="X136" s="97"/>
      <c r="Y136" s="97"/>
      <c r="Z136" s="97"/>
      <c r="AA136" s="97"/>
      <c r="AB136" s="97"/>
      <c r="AC136" s="97"/>
      <c r="AD136" s="97"/>
      <c r="AE136" s="97"/>
      <c r="AF136" s="97"/>
      <c r="AG136" s="97"/>
      <c r="AH136" s="97"/>
      <c r="AI136" s="97"/>
      <c r="AJ136" s="97"/>
      <c r="AK136" s="97"/>
      <c r="AL136" s="97"/>
      <c r="AM136" s="97"/>
      <c r="AN136" s="97"/>
      <c r="AO136" s="97"/>
      <c r="AP136" s="97"/>
      <c r="AQ136" s="97"/>
      <c r="AR136" s="97"/>
      <c r="AS136" s="97"/>
      <c r="AT136" s="97"/>
      <c r="AU136" s="97"/>
      <c r="AV136" s="97"/>
      <c r="AW136" s="97"/>
      <c r="AX136" s="97"/>
      <c r="AY136" s="97"/>
      <c r="AZ136" s="97"/>
      <c r="BA136" s="97"/>
      <c r="BB136" s="97"/>
      <c r="BC136" s="97"/>
      <c r="BD136" s="97"/>
      <c r="BE136" s="97"/>
      <c r="BF136" s="97"/>
      <c r="BG136" s="97"/>
      <c r="BH136" s="97"/>
      <c r="BI136" s="97"/>
      <c r="BJ136" s="97"/>
      <c r="BK136" s="306"/>
      <c r="BL136" s="97"/>
      <c r="BM136" s="306"/>
      <c r="BN136" s="97"/>
      <c r="BO136" s="97"/>
      <c r="BP136" s="97"/>
      <c r="BQ136" s="97"/>
      <c r="BR136" s="97"/>
      <c r="BS136" s="97"/>
      <c r="BT136" s="97"/>
      <c r="BU136" s="97"/>
      <c r="BV136" s="97"/>
      <c r="BW136" s="97"/>
      <c r="BX136" s="97"/>
      <c r="BY136" s="97"/>
      <c r="BZ136" s="97"/>
      <c r="CA136" s="97"/>
      <c r="CB136" s="97"/>
      <c r="CC136" s="97"/>
      <c r="CD136" s="97"/>
      <c r="CE136" s="97"/>
      <c r="CF136" s="97"/>
      <c r="CG136" s="97"/>
      <c r="CH136" s="97"/>
      <c r="CI136" s="97"/>
      <c r="CJ136" s="97"/>
      <c r="CK136" s="97"/>
      <c r="CL136" s="97"/>
      <c r="CM136" s="97"/>
      <c r="CN136" s="97"/>
      <c r="CO136" s="97"/>
      <c r="CP136" s="97"/>
      <c r="CQ136" s="97"/>
      <c r="CR136" s="97"/>
      <c r="CS136" s="97"/>
      <c r="CT136" s="97"/>
      <c r="CU136" s="97"/>
      <c r="CV136" s="97"/>
      <c r="CW136" s="97"/>
      <c r="CX136" s="97"/>
      <c r="CY136" s="97"/>
      <c r="CZ136" s="97"/>
      <c r="DA136" s="97"/>
      <c r="DB136" s="97"/>
      <c r="DC136" s="97"/>
      <c r="DD136" s="407"/>
      <c r="DE136" s="97"/>
      <c r="DF136" s="407"/>
      <c r="DG136" s="407"/>
      <c r="DH136" s="407"/>
      <c r="DI136" s="407"/>
      <c r="DJ136" s="407"/>
      <c r="DK136" s="407"/>
      <c r="DL136" s="407"/>
      <c r="DM136" s="407"/>
      <c r="DN136" s="407"/>
      <c r="DO136" s="407"/>
      <c r="DP136" s="407"/>
      <c r="DQ136" s="407"/>
      <c r="DR136" s="407"/>
      <c r="DS136" s="310"/>
      <c r="DT136" s="310"/>
      <c r="DU136" s="310"/>
      <c r="DV136" s="17"/>
      <c r="DW136" s="371">
        <f>I136</f>
        <v>1812869.5652173914</v>
      </c>
      <c r="DX136" s="13">
        <f t="shared" si="17"/>
        <v>43508870</v>
      </c>
      <c r="DY136" s="161" t="s">
        <v>323</v>
      </c>
    </row>
    <row r="137" spans="1:132" ht="65" hidden="1" x14ac:dyDescent="0.3">
      <c r="A137" s="19">
        <v>112</v>
      </c>
      <c r="B137" s="9" t="s">
        <v>15</v>
      </c>
      <c r="C137" s="47" t="s">
        <v>386</v>
      </c>
      <c r="D137" s="61" t="s">
        <v>390</v>
      </c>
      <c r="E137" s="62" t="s">
        <v>391</v>
      </c>
      <c r="F137" s="9" t="s">
        <v>19</v>
      </c>
      <c r="G137" s="11">
        <v>16</v>
      </c>
      <c r="H137" s="11">
        <v>1</v>
      </c>
      <c r="I137" s="191"/>
      <c r="J137" s="191"/>
      <c r="K137" s="191"/>
      <c r="L137" s="191"/>
      <c r="M137" s="191"/>
      <c r="N137" s="191"/>
      <c r="O137" s="211"/>
      <c r="P137" s="212"/>
      <c r="Q137" s="32"/>
      <c r="R137" s="32"/>
      <c r="S137" s="32"/>
      <c r="T137" s="32"/>
      <c r="U137" s="32"/>
      <c r="V137" s="32"/>
      <c r="W137" s="32"/>
      <c r="X137" s="32"/>
      <c r="Y137" s="32"/>
      <c r="Z137" s="32"/>
      <c r="AA137" s="32"/>
      <c r="AB137" s="32"/>
      <c r="AC137" s="32"/>
      <c r="AD137" s="32"/>
      <c r="AE137" s="32"/>
      <c r="AF137" s="32"/>
      <c r="AG137" s="32"/>
      <c r="AH137" s="32"/>
      <c r="AI137" s="32"/>
      <c r="AJ137" s="32"/>
      <c r="AK137" s="32"/>
      <c r="AL137" s="32"/>
      <c r="AM137" s="32"/>
      <c r="AN137" s="32"/>
      <c r="AO137" s="32"/>
      <c r="AP137" s="32"/>
      <c r="AQ137" s="32"/>
      <c r="AR137" s="32"/>
      <c r="AS137" s="32"/>
      <c r="AT137" s="32"/>
      <c r="AU137" s="32"/>
      <c r="AV137" s="32"/>
      <c r="AW137" s="32"/>
      <c r="AX137" s="32"/>
      <c r="AY137" s="32"/>
      <c r="AZ137" s="32"/>
      <c r="BA137" s="32"/>
      <c r="BB137" s="32"/>
      <c r="BC137" s="32"/>
      <c r="BD137" s="32"/>
      <c r="BE137" s="32"/>
      <c r="BF137" s="32"/>
      <c r="BG137" s="32"/>
      <c r="BH137" s="32"/>
      <c r="BI137" s="25">
        <v>145718.83199999999</v>
      </c>
      <c r="BJ137" s="25">
        <f>+BI137*G137*H137</f>
        <v>2331501.3119999999</v>
      </c>
      <c r="BK137" s="192"/>
      <c r="BL137" s="32"/>
      <c r="BM137" s="192"/>
      <c r="BN137" s="32"/>
      <c r="BO137" s="32"/>
      <c r="BP137" s="32"/>
      <c r="BQ137" s="32"/>
      <c r="BR137" s="32"/>
      <c r="BS137" s="32"/>
      <c r="BT137" s="32"/>
      <c r="BU137" s="32"/>
      <c r="BV137" s="32"/>
      <c r="BW137" s="32"/>
      <c r="BX137" s="32"/>
      <c r="BY137" s="32"/>
      <c r="BZ137" s="32"/>
      <c r="CA137" s="32"/>
      <c r="CB137" s="32"/>
      <c r="CC137" s="32"/>
      <c r="CD137" s="32"/>
      <c r="CE137" s="32"/>
      <c r="CF137" s="32"/>
      <c r="CG137" s="32"/>
      <c r="CH137" s="32"/>
      <c r="CI137" s="32"/>
      <c r="CJ137" s="32"/>
      <c r="CK137" s="32"/>
      <c r="CL137" s="32"/>
      <c r="CM137" s="32"/>
      <c r="CN137" s="32"/>
      <c r="CO137" s="32"/>
      <c r="CP137" s="32"/>
      <c r="CQ137" s="32"/>
      <c r="CR137" s="32"/>
      <c r="CS137" s="32"/>
      <c r="CT137" s="32"/>
      <c r="CU137" s="32"/>
      <c r="CV137" s="32"/>
      <c r="CW137" s="25">
        <v>84475.6</v>
      </c>
      <c r="CX137" s="25">
        <f>+CW137*G137*H137</f>
        <v>1351609.6</v>
      </c>
      <c r="CY137" s="32"/>
      <c r="CZ137" s="32"/>
      <c r="DA137" s="32"/>
      <c r="DB137" s="32"/>
      <c r="DC137" s="25">
        <v>111226</v>
      </c>
      <c r="DD137" s="25">
        <f>+DC137*G137*H137</f>
        <v>1779616</v>
      </c>
      <c r="DE137" s="25">
        <v>80000</v>
      </c>
      <c r="DF137" s="25">
        <f>+DE137*G137*H137</f>
        <v>1280000</v>
      </c>
      <c r="DG137" s="25"/>
      <c r="DH137" s="25"/>
      <c r="DI137" s="25"/>
      <c r="DJ137" s="25"/>
      <c r="DK137" s="25"/>
      <c r="DL137" s="25"/>
      <c r="DM137" s="25"/>
      <c r="DN137" s="25"/>
      <c r="DO137" s="25"/>
      <c r="DP137" s="25"/>
      <c r="DQ137" s="25"/>
      <c r="DR137" s="25"/>
      <c r="DS137" s="13">
        <f>+MEDIAN(BI137,CW137,DC137,DE137)</f>
        <v>97850.8</v>
      </c>
      <c r="DT137" s="13">
        <f>+AVERAGE(BI137,CW137,DC137,DE137)</f>
        <v>105355.10800000001</v>
      </c>
      <c r="DU137" s="13">
        <f>+STDEV(BI137,CW137,DC137,DE137)</f>
        <v>30235.370809906068</v>
      </c>
      <c r="DV137" s="17">
        <f t="shared" ref="DV137:DV141" si="18">DU137/DT137</f>
        <v>0.28698533354363859</v>
      </c>
      <c r="DW137" s="373">
        <f>+ROUNDUP(IF(DV137&lt;15%,DT137,DS137),0)</f>
        <v>97851</v>
      </c>
      <c r="DX137" s="13">
        <f t="shared" si="17"/>
        <v>1565616</v>
      </c>
      <c r="DY137" s="10" t="s">
        <v>309</v>
      </c>
    </row>
    <row r="138" spans="1:132" ht="39" hidden="1" x14ac:dyDescent="0.3">
      <c r="A138" s="19">
        <v>113</v>
      </c>
      <c r="B138" s="9" t="s">
        <v>15</v>
      </c>
      <c r="C138" s="47" t="s">
        <v>386</v>
      </c>
      <c r="D138" s="26" t="s">
        <v>389</v>
      </c>
      <c r="E138" s="29" t="s">
        <v>1337</v>
      </c>
      <c r="F138" s="26" t="s">
        <v>19</v>
      </c>
      <c r="G138" s="21">
        <v>16</v>
      </c>
      <c r="H138" s="11">
        <v>1</v>
      </c>
      <c r="I138" s="191"/>
      <c r="J138" s="191"/>
      <c r="K138" s="191"/>
      <c r="L138" s="191"/>
      <c r="M138" s="191"/>
      <c r="N138" s="191"/>
      <c r="O138" s="211"/>
      <c r="P138" s="212"/>
      <c r="Q138" s="32"/>
      <c r="R138" s="32"/>
      <c r="S138" s="32"/>
      <c r="T138" s="32"/>
      <c r="U138" s="32"/>
      <c r="V138" s="32"/>
      <c r="W138" s="32"/>
      <c r="X138" s="32"/>
      <c r="Y138" s="32"/>
      <c r="Z138" s="32"/>
      <c r="AA138" s="32"/>
      <c r="AB138" s="32"/>
      <c r="AC138" s="32"/>
      <c r="AD138" s="32"/>
      <c r="AE138" s="32"/>
      <c r="AF138" s="32"/>
      <c r="AG138" s="32"/>
      <c r="AH138" s="32"/>
      <c r="AI138" s="32"/>
      <c r="AJ138" s="32"/>
      <c r="AK138" s="32"/>
      <c r="AL138" s="32"/>
      <c r="AM138" s="32"/>
      <c r="AN138" s="32"/>
      <c r="AO138" s="32"/>
      <c r="AP138" s="32"/>
      <c r="AQ138" s="32"/>
      <c r="AR138" s="32"/>
      <c r="AS138" s="32"/>
      <c r="AT138" s="32"/>
      <c r="AU138" s="32"/>
      <c r="AV138" s="32"/>
      <c r="AW138" s="32"/>
      <c r="AX138" s="32"/>
      <c r="AY138" s="32"/>
      <c r="AZ138" s="32"/>
      <c r="BA138" s="32"/>
      <c r="BB138" s="32"/>
      <c r="BC138" s="32"/>
      <c r="BD138" s="32"/>
      <c r="BE138" s="32"/>
      <c r="BF138" s="32"/>
      <c r="BG138" s="32"/>
      <c r="BH138" s="32"/>
      <c r="BI138" s="25">
        <v>35715</v>
      </c>
      <c r="BJ138" s="25">
        <f>+BI138*G138*H138</f>
        <v>571440</v>
      </c>
      <c r="BK138" s="25">
        <v>36820</v>
      </c>
      <c r="BL138" s="25">
        <f>+BK138*G138*H138</f>
        <v>589120</v>
      </c>
      <c r="BM138" s="192"/>
      <c r="BN138" s="32"/>
      <c r="BO138" s="32"/>
      <c r="BP138" s="32"/>
      <c r="BQ138" s="32"/>
      <c r="BR138" s="32"/>
      <c r="BS138" s="32"/>
      <c r="BT138" s="32"/>
      <c r="BU138" s="32"/>
      <c r="BV138" s="32"/>
      <c r="BW138" s="32"/>
      <c r="BX138" s="32"/>
      <c r="BY138" s="32"/>
      <c r="BZ138" s="32"/>
      <c r="CA138" s="32"/>
      <c r="CB138" s="32"/>
      <c r="CC138" s="32"/>
      <c r="CD138" s="32"/>
      <c r="CE138" s="32"/>
      <c r="CF138" s="32"/>
      <c r="CG138" s="32"/>
      <c r="CH138" s="32"/>
      <c r="CI138" s="32"/>
      <c r="CJ138" s="32"/>
      <c r="CK138" s="32"/>
      <c r="CL138" s="32"/>
      <c r="CM138" s="32"/>
      <c r="CN138" s="32"/>
      <c r="CO138" s="32"/>
      <c r="CP138" s="32"/>
      <c r="CQ138" s="32"/>
      <c r="CR138" s="32"/>
      <c r="CS138" s="32"/>
      <c r="CT138" s="32"/>
      <c r="CU138" s="32"/>
      <c r="CV138" s="32"/>
      <c r="CW138" s="32"/>
      <c r="CX138" s="32"/>
      <c r="CY138" s="32"/>
      <c r="CZ138" s="32"/>
      <c r="DA138" s="32"/>
      <c r="DB138" s="32"/>
      <c r="DC138" s="32"/>
      <c r="DD138" s="32"/>
      <c r="DE138" s="32"/>
      <c r="DF138" s="32"/>
      <c r="DG138" s="32"/>
      <c r="DH138" s="32"/>
      <c r="DI138" s="32"/>
      <c r="DJ138" s="32"/>
      <c r="DK138" s="32"/>
      <c r="DL138" s="32"/>
      <c r="DM138" s="32"/>
      <c r="DN138" s="32"/>
      <c r="DO138" s="32"/>
      <c r="DP138" s="32"/>
      <c r="DQ138" s="32"/>
      <c r="DR138" s="32"/>
      <c r="DS138" s="13">
        <f>+MEDIAN(BI138,BK138)</f>
        <v>36267.5</v>
      </c>
      <c r="DT138" s="13">
        <f>+AVERAGE(BI138,BK138)</f>
        <v>36267.5</v>
      </c>
      <c r="DU138" s="13">
        <f>+STDEV(BI138,BK138)</f>
        <v>781.35299321113496</v>
      </c>
      <c r="DV138" s="17">
        <f t="shared" si="18"/>
        <v>2.1544164698728475E-2</v>
      </c>
      <c r="DW138" s="373">
        <f>+ROUNDUP(IF(DV138&lt;15%,DT138,DS138),0)</f>
        <v>36268</v>
      </c>
      <c r="DX138" s="13">
        <f t="shared" si="17"/>
        <v>580288</v>
      </c>
      <c r="DY138" s="10" t="s">
        <v>308</v>
      </c>
    </row>
    <row r="139" spans="1:132" ht="26" hidden="1" x14ac:dyDescent="0.3">
      <c r="A139" s="19">
        <v>114</v>
      </c>
      <c r="B139" s="9" t="s">
        <v>15</v>
      </c>
      <c r="C139" s="47" t="s">
        <v>386</v>
      </c>
      <c r="D139" s="9" t="s">
        <v>123</v>
      </c>
      <c r="E139" s="10" t="s">
        <v>124</v>
      </c>
      <c r="F139" s="9" t="s">
        <v>19</v>
      </c>
      <c r="G139" s="11">
        <v>8</v>
      </c>
      <c r="H139" s="11">
        <v>1</v>
      </c>
      <c r="I139" s="191"/>
      <c r="J139" s="191"/>
      <c r="K139" s="191"/>
      <c r="L139" s="191"/>
      <c r="M139" s="191"/>
      <c r="N139" s="191"/>
      <c r="O139" s="211"/>
      <c r="P139" s="212"/>
      <c r="Q139" s="25">
        <v>4500</v>
      </c>
      <c r="R139" s="25">
        <f>+Q139*G139*H139</f>
        <v>36000</v>
      </c>
      <c r="S139" s="25">
        <v>4104</v>
      </c>
      <c r="T139" s="25">
        <f>+S139*G139*H139</f>
        <v>32832</v>
      </c>
      <c r="U139" s="32"/>
      <c r="V139" s="32"/>
      <c r="W139" s="32"/>
      <c r="X139" s="32"/>
      <c r="Y139" s="32"/>
      <c r="Z139" s="32"/>
      <c r="AA139" s="32"/>
      <c r="AB139" s="32"/>
      <c r="AC139" s="32"/>
      <c r="AD139" s="32"/>
      <c r="AE139" s="32"/>
      <c r="AF139" s="32"/>
      <c r="AG139" s="32"/>
      <c r="AH139" s="32"/>
      <c r="AI139" s="32"/>
      <c r="AJ139" s="32"/>
      <c r="AK139" s="32"/>
      <c r="AL139" s="32"/>
      <c r="AM139" s="32"/>
      <c r="AN139" s="32"/>
      <c r="AO139" s="32"/>
      <c r="AP139" s="32"/>
      <c r="AQ139" s="32"/>
      <c r="AR139" s="32"/>
      <c r="AS139" s="32"/>
      <c r="AT139" s="32"/>
      <c r="AU139" s="32"/>
      <c r="AV139" s="32"/>
      <c r="AW139" s="32"/>
      <c r="AX139" s="32"/>
      <c r="AY139" s="32"/>
      <c r="AZ139" s="32"/>
      <c r="BA139" s="32"/>
      <c r="BB139" s="32"/>
      <c r="BC139" s="32"/>
      <c r="BD139" s="32"/>
      <c r="BE139" s="32"/>
      <c r="BF139" s="32"/>
      <c r="BG139" s="32"/>
      <c r="BH139" s="32"/>
      <c r="BI139" s="32"/>
      <c r="BJ139" s="32"/>
      <c r="BK139" s="192"/>
      <c r="BL139" s="32"/>
      <c r="BM139" s="192"/>
      <c r="BN139" s="32"/>
      <c r="BO139" s="32"/>
      <c r="BP139" s="32"/>
      <c r="BQ139" s="32"/>
      <c r="BR139" s="32"/>
      <c r="BS139" s="32"/>
      <c r="BT139" s="32"/>
      <c r="BU139" s="32"/>
      <c r="BV139" s="32"/>
      <c r="BW139" s="32"/>
      <c r="BX139" s="32"/>
      <c r="BY139" s="32"/>
      <c r="BZ139" s="32"/>
      <c r="CA139" s="32"/>
      <c r="CB139" s="32"/>
      <c r="CC139" s="32"/>
      <c r="CD139" s="32"/>
      <c r="CE139" s="32"/>
      <c r="CF139" s="32"/>
      <c r="CG139" s="32"/>
      <c r="CH139" s="32"/>
      <c r="CI139" s="32"/>
      <c r="CJ139" s="32"/>
      <c r="CK139" s="32"/>
      <c r="CL139" s="32"/>
      <c r="CM139" s="32"/>
      <c r="CN139" s="32"/>
      <c r="CO139" s="211"/>
      <c r="CP139" s="32"/>
      <c r="CQ139" s="225"/>
      <c r="CR139" s="32"/>
      <c r="CS139" s="28"/>
      <c r="CT139" s="25"/>
      <c r="CU139" s="225"/>
      <c r="CV139" s="25"/>
      <c r="CW139" s="245"/>
      <c r="CX139" s="25"/>
      <c r="CY139" s="245"/>
      <c r="CZ139" s="25"/>
      <c r="DA139" s="25"/>
      <c r="DB139" s="25"/>
      <c r="DC139" s="245"/>
      <c r="DD139" s="25"/>
      <c r="DE139" s="25"/>
      <c r="DF139" s="25"/>
      <c r="DG139" s="25"/>
      <c r="DH139" s="25"/>
      <c r="DI139" s="25"/>
      <c r="DJ139" s="25"/>
      <c r="DK139" s="25"/>
      <c r="DL139" s="25"/>
      <c r="DM139" s="25"/>
      <c r="DN139" s="25"/>
      <c r="DO139" s="25"/>
      <c r="DP139" s="25"/>
      <c r="DQ139" s="25"/>
      <c r="DR139" s="25"/>
      <c r="DS139" s="13">
        <f>+MEDIAN(Q139,S139)</f>
        <v>4302</v>
      </c>
      <c r="DT139" s="13">
        <f>+AVERAGE(Q139,S139)</f>
        <v>4302</v>
      </c>
      <c r="DU139" s="13">
        <f>+STDEV(Q139,S139)</f>
        <v>280.01428534987281</v>
      </c>
      <c r="DV139" s="17">
        <f t="shared" si="18"/>
        <v>6.508932713851065E-2</v>
      </c>
      <c r="DW139" s="373">
        <f>+ROUNDUP(IF(DV139&lt;15%,DT139,DS139),0)</f>
        <v>4302</v>
      </c>
      <c r="DX139" s="13">
        <f t="shared" si="17"/>
        <v>34416</v>
      </c>
      <c r="DY139" s="10" t="s">
        <v>448</v>
      </c>
    </row>
    <row r="140" spans="1:132" ht="26" hidden="1" x14ac:dyDescent="0.3">
      <c r="A140" s="19">
        <v>115</v>
      </c>
      <c r="B140" s="9" t="s">
        <v>15</v>
      </c>
      <c r="C140" s="47" t="s">
        <v>386</v>
      </c>
      <c r="D140" s="9" t="s">
        <v>125</v>
      </c>
      <c r="E140" s="10" t="s">
        <v>126</v>
      </c>
      <c r="F140" s="9" t="s">
        <v>19</v>
      </c>
      <c r="G140" s="11">
        <v>4</v>
      </c>
      <c r="H140" s="11">
        <v>1</v>
      </c>
      <c r="I140" s="191"/>
      <c r="J140" s="191"/>
      <c r="K140" s="191"/>
      <c r="L140" s="191"/>
      <c r="M140" s="191"/>
      <c r="N140" s="191"/>
      <c r="O140" s="211"/>
      <c r="P140" s="212"/>
      <c r="Q140" s="32"/>
      <c r="R140" s="32"/>
      <c r="S140" s="32"/>
      <c r="T140" s="25"/>
      <c r="U140" s="32"/>
      <c r="V140" s="32"/>
      <c r="W140" s="32"/>
      <c r="X140" s="32"/>
      <c r="Y140" s="32"/>
      <c r="Z140" s="32"/>
      <c r="AA140" s="32"/>
      <c r="AB140" s="32"/>
      <c r="AC140" s="32"/>
      <c r="AD140" s="32"/>
      <c r="AE140" s="32"/>
      <c r="AF140" s="32"/>
      <c r="AG140" s="32"/>
      <c r="AH140" s="32"/>
      <c r="AI140" s="32"/>
      <c r="AJ140" s="32"/>
      <c r="AK140" s="32"/>
      <c r="AL140" s="32"/>
      <c r="AM140" s="32"/>
      <c r="AN140" s="32"/>
      <c r="AO140" s="32"/>
      <c r="AP140" s="32"/>
      <c r="AQ140" s="32"/>
      <c r="AR140" s="32"/>
      <c r="AS140" s="32"/>
      <c r="AT140" s="32"/>
      <c r="AU140" s="32"/>
      <c r="AV140" s="32"/>
      <c r="AW140" s="32"/>
      <c r="AX140" s="32"/>
      <c r="AY140" s="32"/>
      <c r="AZ140" s="32"/>
      <c r="BA140" s="32"/>
      <c r="BB140" s="32"/>
      <c r="BC140" s="32"/>
      <c r="BD140" s="32"/>
      <c r="BE140" s="32"/>
      <c r="BF140" s="32"/>
      <c r="BG140" s="32"/>
      <c r="BH140" s="32"/>
      <c r="BI140" s="32"/>
      <c r="BJ140" s="32"/>
      <c r="BK140" s="192"/>
      <c r="BL140" s="32"/>
      <c r="BM140" s="192"/>
      <c r="BN140" s="32"/>
      <c r="BO140" s="32"/>
      <c r="BP140" s="32"/>
      <c r="BQ140" s="32"/>
      <c r="BR140" s="32"/>
      <c r="BS140" s="32"/>
      <c r="BT140" s="32"/>
      <c r="BU140" s="32"/>
      <c r="BV140" s="32"/>
      <c r="BW140" s="32"/>
      <c r="BX140" s="32"/>
      <c r="BY140" s="32"/>
      <c r="BZ140" s="32"/>
      <c r="CA140" s="32"/>
      <c r="CB140" s="32"/>
      <c r="CC140" s="32"/>
      <c r="CD140" s="32"/>
      <c r="CE140" s="32"/>
      <c r="CF140" s="32"/>
      <c r="CG140" s="32"/>
      <c r="CH140" s="32"/>
      <c r="CI140" s="32"/>
      <c r="CJ140" s="32"/>
      <c r="CK140" s="32"/>
      <c r="CL140" s="32"/>
      <c r="CM140" s="32"/>
      <c r="CN140" s="32"/>
      <c r="CO140" s="211">
        <v>20000</v>
      </c>
      <c r="CP140" s="32">
        <f>CO140*G140</f>
        <v>80000</v>
      </c>
      <c r="CQ140" s="225"/>
      <c r="CR140" s="32"/>
      <c r="CS140" s="28">
        <v>20000</v>
      </c>
      <c r="CT140" s="32">
        <f>CS140*G140*H140</f>
        <v>80000</v>
      </c>
      <c r="CU140" s="225"/>
      <c r="CV140" s="25"/>
      <c r="CW140" s="245"/>
      <c r="CX140" s="32"/>
      <c r="CY140" s="245">
        <v>22000</v>
      </c>
      <c r="CZ140" s="32">
        <f>CY140*G140*H140</f>
        <v>88000</v>
      </c>
      <c r="DA140" s="25"/>
      <c r="DB140" s="25"/>
      <c r="DC140" s="245"/>
      <c r="DD140" s="32"/>
      <c r="DE140" s="25"/>
      <c r="DF140" s="25"/>
      <c r="DG140" s="25"/>
      <c r="DH140" s="25"/>
      <c r="DI140" s="25"/>
      <c r="DJ140" s="25"/>
      <c r="DK140" s="25"/>
      <c r="DL140" s="25"/>
      <c r="DM140" s="25"/>
      <c r="DN140" s="25"/>
      <c r="DO140" s="25"/>
      <c r="DP140" s="25"/>
      <c r="DQ140" s="25"/>
      <c r="DR140" s="25"/>
      <c r="DS140" s="13">
        <f>+MEDIAN(CO140,CS140,CY140)</f>
        <v>20000</v>
      </c>
      <c r="DT140" s="13">
        <f>+AVERAGE(CO140,CS140,CY140)</f>
        <v>20666.666666666668</v>
      </c>
      <c r="DU140" s="13">
        <f>+STDEV(CO140,CS140,CY140)</f>
        <v>1154.7005383792514</v>
      </c>
      <c r="DV140" s="17">
        <f t="shared" si="18"/>
        <v>5.5872606695770224E-2</v>
      </c>
      <c r="DW140" s="373">
        <f>+ROUNDUP(IF(DV140&lt;15%,DT140,DS140),0)</f>
        <v>20667</v>
      </c>
      <c r="DX140" s="13">
        <f t="shared" si="17"/>
        <v>82668</v>
      </c>
      <c r="DY140" s="10" t="s">
        <v>322</v>
      </c>
    </row>
    <row r="141" spans="1:132" ht="39" hidden="1" x14ac:dyDescent="0.3">
      <c r="A141" s="19">
        <v>116</v>
      </c>
      <c r="B141" s="9" t="s">
        <v>15</v>
      </c>
      <c r="C141" s="47" t="s">
        <v>386</v>
      </c>
      <c r="D141" s="9" t="s">
        <v>394</v>
      </c>
      <c r="E141" s="18" t="s">
        <v>336</v>
      </c>
      <c r="F141" s="9" t="s">
        <v>19</v>
      </c>
      <c r="G141" s="21">
        <v>30000</v>
      </c>
      <c r="H141" s="11">
        <v>1</v>
      </c>
      <c r="I141" s="198"/>
      <c r="J141" s="191"/>
      <c r="K141" s="191"/>
      <c r="L141" s="191"/>
      <c r="M141" s="191"/>
      <c r="N141" s="191"/>
      <c r="O141" s="192"/>
      <c r="P141" s="192"/>
      <c r="Q141" s="192"/>
      <c r="R141" s="192"/>
      <c r="S141" s="192"/>
      <c r="T141" s="192"/>
      <c r="U141" s="192"/>
      <c r="V141" s="192"/>
      <c r="W141" s="192"/>
      <c r="X141" s="192"/>
      <c r="Y141" s="192"/>
      <c r="Z141" s="192"/>
      <c r="AA141" s="192"/>
      <c r="AB141" s="192"/>
      <c r="AC141" s="192"/>
      <c r="AD141" s="192"/>
      <c r="AE141" s="192"/>
      <c r="AF141" s="192"/>
      <c r="AG141" s="192"/>
      <c r="AH141" s="192"/>
      <c r="AI141" s="192"/>
      <c r="AJ141" s="192"/>
      <c r="AK141" s="192"/>
      <c r="AL141" s="192"/>
      <c r="AM141" s="192"/>
      <c r="AN141" s="192"/>
      <c r="AO141" s="192"/>
      <c r="AP141" s="192"/>
      <c r="AQ141" s="192"/>
      <c r="AR141" s="192"/>
      <c r="AS141" s="192"/>
      <c r="AT141" s="192"/>
      <c r="AU141" s="192"/>
      <c r="AV141" s="192"/>
      <c r="AW141" s="192"/>
      <c r="AX141" s="192"/>
      <c r="AY141" s="192"/>
      <c r="AZ141" s="192"/>
      <c r="BA141" s="192"/>
      <c r="BB141" s="192"/>
      <c r="BC141" s="192"/>
      <c r="BD141" s="192"/>
      <c r="BE141" s="192"/>
      <c r="BF141" s="192"/>
      <c r="BG141" s="192"/>
      <c r="BH141" s="192"/>
      <c r="BI141" s="192"/>
      <c r="BJ141" s="192"/>
      <c r="BK141" s="25"/>
      <c r="BL141" s="32"/>
      <c r="BM141" s="25">
        <v>600</v>
      </c>
      <c r="BN141" s="32">
        <f>+G141*H141*BM141</f>
        <v>18000000</v>
      </c>
      <c r="BO141" s="32"/>
      <c r="BP141" s="32"/>
      <c r="BQ141" s="25">
        <v>417</v>
      </c>
      <c r="BR141" s="32">
        <f>+G141*H141*BQ141</f>
        <v>12510000</v>
      </c>
      <c r="BS141" s="32"/>
      <c r="BT141" s="32"/>
      <c r="BU141" s="32"/>
      <c r="BV141" s="32"/>
      <c r="BW141" s="32"/>
      <c r="BX141" s="32"/>
      <c r="BY141" s="32"/>
      <c r="BZ141" s="32"/>
      <c r="CA141" s="32"/>
      <c r="CB141" s="32"/>
      <c r="CC141" s="32"/>
      <c r="CD141" s="32"/>
      <c r="CE141" s="32"/>
      <c r="CF141" s="32"/>
      <c r="CG141" s="32"/>
      <c r="CH141" s="32"/>
      <c r="CI141" s="32"/>
      <c r="CJ141" s="32"/>
      <c r="CK141" s="32"/>
      <c r="CL141" s="32"/>
      <c r="CM141" s="32"/>
      <c r="CN141" s="32"/>
      <c r="CO141" s="32"/>
      <c r="CP141" s="32"/>
      <c r="CQ141" s="32"/>
      <c r="CR141" s="32"/>
      <c r="CS141" s="32"/>
      <c r="CT141" s="32"/>
      <c r="CU141" s="32"/>
      <c r="CV141" s="32"/>
      <c r="CW141" s="32"/>
      <c r="CX141" s="32"/>
      <c r="CY141" s="32"/>
      <c r="CZ141" s="32"/>
      <c r="DA141" s="32"/>
      <c r="DB141" s="32"/>
      <c r="DC141" s="32"/>
      <c r="DD141" s="32"/>
      <c r="DE141" s="32"/>
      <c r="DF141" s="32"/>
      <c r="DG141" s="32"/>
      <c r="DH141" s="32"/>
      <c r="DI141" s="32"/>
      <c r="DJ141" s="32"/>
      <c r="DK141" s="32"/>
      <c r="DL141" s="32"/>
      <c r="DM141" s="32"/>
      <c r="DN141" s="32"/>
      <c r="DO141" s="32"/>
      <c r="DP141" s="32"/>
      <c r="DQ141" s="32"/>
      <c r="DR141" s="32"/>
      <c r="DS141" s="13">
        <f>+MEDIAN(BM141,BQ141)</f>
        <v>508.5</v>
      </c>
      <c r="DT141" s="13">
        <f>+AVERAGE(BM141,BQ141)</f>
        <v>508.5</v>
      </c>
      <c r="DU141" s="13">
        <f>+STDEV(BM141,BQ141)</f>
        <v>129.40054095713819</v>
      </c>
      <c r="DV141" s="17">
        <f t="shared" si="18"/>
        <v>0.2544750067986985</v>
      </c>
      <c r="DW141" s="373">
        <f>+ROUNDUP(IF(DV141&lt;15%,DT141,DS141),0)</f>
        <v>509</v>
      </c>
      <c r="DX141" s="13">
        <f t="shared" si="17"/>
        <v>15270000</v>
      </c>
      <c r="DY141" s="10" t="s">
        <v>309</v>
      </c>
    </row>
    <row r="142" spans="1:132" s="96" customFormat="1" ht="217" hidden="1" customHeight="1" x14ac:dyDescent="0.3">
      <c r="A142" s="415">
        <v>117</v>
      </c>
      <c r="B142" s="416" t="s">
        <v>15</v>
      </c>
      <c r="C142" s="567" t="s">
        <v>386</v>
      </c>
      <c r="D142" s="531" t="s">
        <v>434</v>
      </c>
      <c r="E142" s="418" t="s">
        <v>1097</v>
      </c>
      <c r="F142" s="415" t="s">
        <v>28</v>
      </c>
      <c r="G142" s="568">
        <v>1</v>
      </c>
      <c r="H142" s="420">
        <v>1</v>
      </c>
      <c r="I142" s="421"/>
      <c r="J142" s="421"/>
      <c r="K142" s="421"/>
      <c r="L142" s="421"/>
      <c r="M142" s="421"/>
      <c r="N142" s="421"/>
      <c r="O142" s="422"/>
      <c r="P142" s="432"/>
      <c r="Q142" s="424"/>
      <c r="R142" s="424"/>
      <c r="S142" s="424"/>
      <c r="T142" s="424"/>
      <c r="U142" s="424"/>
      <c r="V142" s="424"/>
      <c r="W142" s="424"/>
      <c r="X142" s="424"/>
      <c r="Y142" s="424"/>
      <c r="Z142" s="424"/>
      <c r="AA142" s="424"/>
      <c r="AB142" s="424"/>
      <c r="AC142" s="424"/>
      <c r="AD142" s="424"/>
      <c r="AE142" s="424"/>
      <c r="AF142" s="424"/>
      <c r="AG142" s="424"/>
      <c r="AH142" s="424"/>
      <c r="AI142" s="424"/>
      <c r="AJ142" s="424"/>
      <c r="AK142" s="424"/>
      <c r="AL142" s="424"/>
      <c r="AM142" s="424"/>
      <c r="AN142" s="424"/>
      <c r="AO142" s="424"/>
      <c r="AP142" s="424"/>
      <c r="AQ142" s="424"/>
      <c r="AR142" s="424"/>
      <c r="AS142" s="424"/>
      <c r="AT142" s="424"/>
      <c r="AU142" s="424"/>
      <c r="AV142" s="424"/>
      <c r="AW142" s="424"/>
      <c r="AX142" s="424"/>
      <c r="AY142" s="424"/>
      <c r="AZ142" s="424"/>
      <c r="BA142" s="424"/>
      <c r="BB142" s="424"/>
      <c r="BC142" s="424"/>
      <c r="BD142" s="424"/>
      <c r="BE142" s="424"/>
      <c r="BF142" s="424"/>
      <c r="BG142" s="424"/>
      <c r="BH142" s="424"/>
      <c r="BI142" s="424"/>
      <c r="BJ142" s="424"/>
      <c r="BK142" s="425"/>
      <c r="BL142" s="424"/>
      <c r="BM142" s="425"/>
      <c r="BN142" s="424"/>
      <c r="BO142" s="424"/>
      <c r="BP142" s="424"/>
      <c r="BQ142" s="424"/>
      <c r="BR142" s="424"/>
      <c r="BS142" s="424"/>
      <c r="BT142" s="424"/>
      <c r="BU142" s="424"/>
      <c r="BV142" s="424"/>
      <c r="BW142" s="424"/>
      <c r="BX142" s="424"/>
      <c r="BY142" s="424"/>
      <c r="BZ142" s="424"/>
      <c r="CA142" s="424"/>
      <c r="CB142" s="424"/>
      <c r="CC142" s="424"/>
      <c r="CD142" s="424"/>
      <c r="CE142" s="424"/>
      <c r="CF142" s="424"/>
      <c r="CG142" s="424"/>
      <c r="CH142" s="424"/>
      <c r="CI142" s="424"/>
      <c r="CJ142" s="424"/>
      <c r="CK142" s="424"/>
      <c r="CL142" s="424"/>
      <c r="CM142" s="424"/>
      <c r="CN142" s="424"/>
      <c r="CO142" s="424"/>
      <c r="CP142" s="424"/>
      <c r="CQ142" s="424"/>
      <c r="CR142" s="424"/>
      <c r="CS142" s="424"/>
      <c r="CT142" s="424"/>
      <c r="CU142" s="424"/>
      <c r="CV142" s="424"/>
      <c r="CW142" s="424"/>
      <c r="CX142" s="424"/>
      <c r="CY142" s="424"/>
      <c r="CZ142" s="424"/>
      <c r="DA142" s="424"/>
      <c r="DB142" s="424"/>
      <c r="DC142" s="424"/>
      <c r="DD142" s="424"/>
      <c r="DE142" s="424"/>
      <c r="DF142" s="424"/>
      <c r="DG142" s="424"/>
      <c r="DH142" s="424"/>
      <c r="DI142" s="424"/>
      <c r="DJ142" s="424"/>
      <c r="DK142" s="424"/>
      <c r="DL142" s="424"/>
      <c r="DM142" s="424"/>
      <c r="DN142" s="424"/>
      <c r="DO142" s="424"/>
      <c r="DP142" s="424"/>
      <c r="DQ142" s="424"/>
      <c r="DR142" s="424"/>
      <c r="DS142" s="426"/>
      <c r="DT142" s="426"/>
      <c r="DU142" s="426"/>
      <c r="DV142" s="427"/>
      <c r="DW142" s="428">
        <f>15000000*1.34</f>
        <v>20100000</v>
      </c>
      <c r="DX142" s="426">
        <f t="shared" si="17"/>
        <v>20100000</v>
      </c>
      <c r="DY142" s="429" t="s">
        <v>1098</v>
      </c>
      <c r="DZ142" s="607"/>
      <c r="EA142" s="607"/>
      <c r="EB142" s="607"/>
    </row>
    <row r="143" spans="1:132" s="63" customFormat="1" ht="18.649999999999999" hidden="1" customHeight="1" x14ac:dyDescent="0.3">
      <c r="A143" s="66" t="s">
        <v>388</v>
      </c>
      <c r="B143" s="80"/>
      <c r="C143" s="80"/>
      <c r="D143" s="80"/>
      <c r="E143" s="80"/>
      <c r="F143" s="81"/>
      <c r="G143" s="81"/>
      <c r="H143" s="81"/>
      <c r="I143" s="269"/>
      <c r="J143" s="269"/>
      <c r="K143" s="269"/>
      <c r="L143" s="269"/>
      <c r="M143" s="269"/>
      <c r="N143" s="269"/>
      <c r="O143" s="270"/>
      <c r="P143" s="270"/>
      <c r="Q143" s="270"/>
      <c r="R143" s="270"/>
      <c r="S143" s="270"/>
      <c r="T143" s="270"/>
      <c r="U143" s="270"/>
      <c r="V143" s="270"/>
      <c r="W143" s="270"/>
      <c r="X143" s="270"/>
      <c r="Y143" s="270"/>
      <c r="Z143" s="270"/>
      <c r="AA143" s="270"/>
      <c r="AB143" s="270"/>
      <c r="AC143" s="270"/>
      <c r="AD143" s="270"/>
      <c r="AE143" s="270"/>
      <c r="AF143" s="270"/>
      <c r="AG143" s="270"/>
      <c r="AH143" s="270"/>
      <c r="AI143" s="270"/>
      <c r="AJ143" s="270"/>
      <c r="AK143" s="270"/>
      <c r="AL143" s="270"/>
      <c r="AM143" s="270"/>
      <c r="AN143" s="270"/>
      <c r="AO143" s="270"/>
      <c r="AP143" s="270"/>
      <c r="AQ143" s="270"/>
      <c r="AR143" s="270"/>
      <c r="AS143" s="270"/>
      <c r="AT143" s="270"/>
      <c r="AU143" s="270"/>
      <c r="AV143" s="270"/>
      <c r="AW143" s="270"/>
      <c r="AX143" s="270"/>
      <c r="AY143" s="270"/>
      <c r="AZ143" s="270"/>
      <c r="BA143" s="270"/>
      <c r="BB143" s="270"/>
      <c r="BC143" s="270"/>
      <c r="BD143" s="270"/>
      <c r="BE143" s="270"/>
      <c r="BF143" s="270"/>
      <c r="BG143" s="270"/>
      <c r="BH143" s="270"/>
      <c r="BI143" s="270"/>
      <c r="BJ143" s="270"/>
      <c r="BK143" s="270"/>
      <c r="BL143" s="271"/>
      <c r="BM143" s="270"/>
      <c r="BN143" s="271"/>
      <c r="BO143" s="271"/>
      <c r="BP143" s="271"/>
      <c r="BQ143" s="271"/>
      <c r="BR143" s="271"/>
      <c r="BS143" s="271"/>
      <c r="BT143" s="271"/>
      <c r="BU143" s="271"/>
      <c r="BV143" s="271"/>
      <c r="BW143" s="271"/>
      <c r="BX143" s="271"/>
      <c r="BY143" s="271"/>
      <c r="BZ143" s="271"/>
      <c r="CA143" s="271"/>
      <c r="CB143" s="271"/>
      <c r="CC143" s="271"/>
      <c r="CD143" s="271"/>
      <c r="CE143" s="271"/>
      <c r="CF143" s="271"/>
      <c r="CG143" s="271"/>
      <c r="CH143" s="271"/>
      <c r="CI143" s="271"/>
      <c r="CJ143" s="271"/>
      <c r="CK143" s="271"/>
      <c r="CL143" s="271"/>
      <c r="CM143" s="271"/>
      <c r="CN143" s="271"/>
      <c r="CO143" s="271"/>
      <c r="CP143" s="271"/>
      <c r="CQ143" s="271"/>
      <c r="CR143" s="271"/>
      <c r="CS143" s="271"/>
      <c r="CT143" s="271"/>
      <c r="CU143" s="271"/>
      <c r="CV143" s="271"/>
      <c r="CW143" s="271"/>
      <c r="CX143" s="271"/>
      <c r="CY143" s="271"/>
      <c r="CZ143" s="271"/>
      <c r="DA143" s="271"/>
      <c r="DB143" s="271"/>
      <c r="DC143" s="271"/>
      <c r="DD143" s="271"/>
      <c r="DE143" s="271"/>
      <c r="DF143" s="271"/>
      <c r="DG143" s="271"/>
      <c r="DH143" s="271"/>
      <c r="DI143" s="271"/>
      <c r="DJ143" s="271"/>
      <c r="DK143" s="271"/>
      <c r="DL143" s="271"/>
      <c r="DM143" s="271"/>
      <c r="DN143" s="271"/>
      <c r="DO143" s="271"/>
      <c r="DP143" s="271"/>
      <c r="DQ143" s="271"/>
      <c r="DR143" s="271"/>
      <c r="DS143" s="270"/>
      <c r="DT143" s="270"/>
      <c r="DU143" s="270"/>
      <c r="DV143" s="82"/>
      <c r="DW143" s="83">
        <f>SUM(DW133:DW142)</f>
        <v>38352076.239130437</v>
      </c>
      <c r="DX143" s="83">
        <f>SUM(DX133:DX142)</f>
        <v>241353473</v>
      </c>
      <c r="DY143" s="167"/>
      <c r="DZ143" s="609"/>
      <c r="EA143" s="609"/>
      <c r="EB143" s="609"/>
    </row>
    <row r="144" spans="1:132" ht="53.5" hidden="1" customHeight="1" x14ac:dyDescent="0.3">
      <c r="A144" s="19">
        <v>118</v>
      </c>
      <c r="B144" s="40" t="s">
        <v>15</v>
      </c>
      <c r="C144" s="383" t="s">
        <v>397</v>
      </c>
      <c r="D144" s="103" t="s">
        <v>357</v>
      </c>
      <c r="E144" s="42" t="s">
        <v>1175</v>
      </c>
      <c r="F144" s="70" t="s">
        <v>14</v>
      </c>
      <c r="G144" s="102">
        <v>3</v>
      </c>
      <c r="H144" s="43">
        <v>3.5</v>
      </c>
      <c r="I144" s="405">
        <v>7688000</v>
      </c>
      <c r="J144" s="386">
        <f>I144*G144*H144</f>
        <v>80724000</v>
      </c>
      <c r="K144" s="386"/>
      <c r="L144" s="386"/>
      <c r="M144" s="386"/>
      <c r="N144" s="386"/>
      <c r="O144" s="387"/>
      <c r="P144" s="393"/>
      <c r="Q144" s="389"/>
      <c r="R144" s="389"/>
      <c r="S144" s="389"/>
      <c r="T144" s="389"/>
      <c r="U144" s="389"/>
      <c r="V144" s="389"/>
      <c r="W144" s="389"/>
      <c r="X144" s="389"/>
      <c r="Y144" s="389"/>
      <c r="Z144" s="389"/>
      <c r="AA144" s="389"/>
      <c r="AB144" s="389"/>
      <c r="AC144" s="389"/>
      <c r="AD144" s="389"/>
      <c r="AE144" s="389"/>
      <c r="AF144" s="389"/>
      <c r="AG144" s="389"/>
      <c r="AH144" s="389"/>
      <c r="AI144" s="389"/>
      <c r="AJ144" s="389"/>
      <c r="AK144" s="389"/>
      <c r="AL144" s="389"/>
      <c r="AM144" s="389"/>
      <c r="AN144" s="389"/>
      <c r="AO144" s="389"/>
      <c r="AP144" s="389"/>
      <c r="AQ144" s="389"/>
      <c r="AR144" s="389"/>
      <c r="AS144" s="389"/>
      <c r="AT144" s="389"/>
      <c r="AU144" s="389"/>
      <c r="AV144" s="389"/>
      <c r="AW144" s="389"/>
      <c r="AX144" s="389"/>
      <c r="AY144" s="389"/>
      <c r="AZ144" s="389"/>
      <c r="BA144" s="389"/>
      <c r="BB144" s="389"/>
      <c r="BC144" s="389"/>
      <c r="BD144" s="389"/>
      <c r="BE144" s="389"/>
      <c r="BF144" s="389"/>
      <c r="BG144" s="389"/>
      <c r="BH144" s="389"/>
      <c r="BI144" s="389"/>
      <c r="BJ144" s="389"/>
      <c r="BK144" s="390"/>
      <c r="BL144" s="389"/>
      <c r="BM144" s="390"/>
      <c r="BN144" s="389"/>
      <c r="BO144" s="389"/>
      <c r="BP144" s="389"/>
      <c r="BQ144" s="389"/>
      <c r="BR144" s="389"/>
      <c r="BS144" s="389"/>
      <c r="BT144" s="389"/>
      <c r="BU144" s="389"/>
      <c r="BV144" s="389"/>
      <c r="BW144" s="389"/>
      <c r="BX144" s="389"/>
      <c r="BY144" s="389"/>
      <c r="BZ144" s="389"/>
      <c r="CA144" s="389"/>
      <c r="CB144" s="389"/>
      <c r="CC144" s="389"/>
      <c r="CD144" s="389"/>
      <c r="CE144" s="389"/>
      <c r="CF144" s="389"/>
      <c r="CG144" s="389"/>
      <c r="CH144" s="389"/>
      <c r="CI144" s="389"/>
      <c r="CJ144" s="389"/>
      <c r="CK144" s="389"/>
      <c r="CL144" s="389"/>
      <c r="CM144" s="389"/>
      <c r="CN144" s="389"/>
      <c r="CO144" s="389"/>
      <c r="CP144" s="389"/>
      <c r="CQ144" s="389"/>
      <c r="CR144" s="389"/>
      <c r="CS144" s="389"/>
      <c r="CT144" s="389"/>
      <c r="CU144" s="389"/>
      <c r="CV144" s="389"/>
      <c r="CW144" s="389"/>
      <c r="CX144" s="389"/>
      <c r="CY144" s="389"/>
      <c r="CZ144" s="389"/>
      <c r="DA144" s="389"/>
      <c r="DB144" s="389"/>
      <c r="DC144" s="389"/>
      <c r="DD144" s="389"/>
      <c r="DE144" s="389"/>
      <c r="DF144" s="389"/>
      <c r="DG144" s="389"/>
      <c r="DH144" s="389"/>
      <c r="DI144" s="389"/>
      <c r="DJ144" s="389"/>
      <c r="DK144" s="389"/>
      <c r="DL144" s="389"/>
      <c r="DM144" s="389"/>
      <c r="DN144" s="389"/>
      <c r="DO144" s="389"/>
      <c r="DP144" s="389"/>
      <c r="DQ144" s="389"/>
      <c r="DR144" s="389"/>
      <c r="DS144" s="400"/>
      <c r="DT144" s="400"/>
      <c r="DU144" s="400"/>
      <c r="DV144" s="64"/>
      <c r="DW144" s="374">
        <f>I144</f>
        <v>7688000</v>
      </c>
      <c r="DX144" s="65">
        <f>+ROUND(DW144*G144*H144,0)</f>
        <v>80724000</v>
      </c>
      <c r="DY144" s="362" t="s">
        <v>323</v>
      </c>
    </row>
    <row r="145" spans="1:132" ht="77.5" hidden="1" customHeight="1" x14ac:dyDescent="0.3">
      <c r="A145" s="19">
        <v>119</v>
      </c>
      <c r="B145" s="9" t="s">
        <v>15</v>
      </c>
      <c r="C145" s="47" t="s">
        <v>397</v>
      </c>
      <c r="D145" s="9" t="s">
        <v>118</v>
      </c>
      <c r="E145" s="10" t="s">
        <v>119</v>
      </c>
      <c r="F145" s="9" t="s">
        <v>120</v>
      </c>
      <c r="G145" s="11">
        <v>70</v>
      </c>
      <c r="H145" s="11">
        <v>6</v>
      </c>
      <c r="I145" s="191"/>
      <c r="J145" s="191"/>
      <c r="K145" s="191"/>
      <c r="L145" s="191"/>
      <c r="M145" s="191"/>
      <c r="N145" s="191"/>
      <c r="O145" s="211"/>
      <c r="P145" s="21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c r="BI145" s="32"/>
      <c r="BJ145" s="32"/>
      <c r="BK145" s="192"/>
      <c r="BL145" s="32"/>
      <c r="BM145" s="192"/>
      <c r="BN145" s="32"/>
      <c r="BO145" s="32"/>
      <c r="BP145" s="32"/>
      <c r="BQ145" s="32"/>
      <c r="BR145" s="32"/>
      <c r="BS145" s="32"/>
      <c r="BT145" s="32"/>
      <c r="BU145" s="32"/>
      <c r="BV145" s="32"/>
      <c r="BW145" s="32"/>
      <c r="BX145" s="32"/>
      <c r="BY145" s="32"/>
      <c r="BZ145" s="32"/>
      <c r="CA145" s="32"/>
      <c r="CB145" s="32"/>
      <c r="CC145" s="32"/>
      <c r="CD145" s="32"/>
      <c r="CE145" s="32"/>
      <c r="CF145" s="32"/>
      <c r="CG145" s="32"/>
      <c r="CH145" s="32"/>
      <c r="CI145" s="32"/>
      <c r="CJ145" s="32"/>
      <c r="CK145" s="32"/>
      <c r="CL145" s="32"/>
      <c r="CM145" s="32"/>
      <c r="CN145" s="32"/>
      <c r="CO145" s="32">
        <v>200000</v>
      </c>
      <c r="CP145" s="32">
        <f>CO145*G145*H145</f>
        <v>84000000</v>
      </c>
      <c r="CQ145" s="225">
        <v>190000</v>
      </c>
      <c r="CR145" s="32">
        <f>CQ145*G145*H145</f>
        <v>79800000</v>
      </c>
      <c r="CS145" s="224">
        <v>150000</v>
      </c>
      <c r="CT145" s="32">
        <f>CS145*G145*H145</f>
        <v>63000000</v>
      </c>
      <c r="CU145" s="225">
        <v>190000</v>
      </c>
      <c r="CV145" s="32">
        <f>CU145*G145*H145</f>
        <v>79800000</v>
      </c>
      <c r="CW145" s="245"/>
      <c r="CX145" s="32"/>
      <c r="CY145" s="245"/>
      <c r="CZ145" s="32"/>
      <c r="DA145" s="32"/>
      <c r="DB145" s="32"/>
      <c r="DC145" s="245"/>
      <c r="DD145" s="32"/>
      <c r="DE145" s="32"/>
      <c r="DF145" s="32"/>
      <c r="DG145" s="32"/>
      <c r="DH145" s="32"/>
      <c r="DI145" s="32"/>
      <c r="DJ145" s="32"/>
      <c r="DK145" s="32"/>
      <c r="DL145" s="32"/>
      <c r="DM145" s="32"/>
      <c r="DN145" s="32"/>
      <c r="DO145" s="32"/>
      <c r="DP145" s="32"/>
      <c r="DQ145" s="32"/>
      <c r="DR145" s="32"/>
      <c r="DS145" s="13">
        <f>+MEDIAN(CO145,CQ145,CS145,CU145)</f>
        <v>190000</v>
      </c>
      <c r="DT145" s="13">
        <f>+AVERAGE(CO145,CQ145,CS145,CU145)</f>
        <v>182500</v>
      </c>
      <c r="DU145" s="13">
        <f>+STDEV(CO145,CQ145,CS145,CU145)</f>
        <v>22173.557826083452</v>
      </c>
      <c r="DV145" s="17">
        <f>DU145/DT145</f>
        <v>0.12149894699223809</v>
      </c>
      <c r="DW145" s="373">
        <f>+ROUNDUP(IF(DV145&lt;15%,DT145,DS145),0)</f>
        <v>182500</v>
      </c>
      <c r="DX145" s="13">
        <f>+ROUND(DW145*G145*H145,0)</f>
        <v>76650000</v>
      </c>
      <c r="DY145" s="10" t="s">
        <v>448</v>
      </c>
    </row>
    <row r="146" spans="1:132" ht="77.5" hidden="1" customHeight="1" x14ac:dyDescent="0.3">
      <c r="A146" s="19">
        <v>120</v>
      </c>
      <c r="B146" s="9" t="s">
        <v>15</v>
      </c>
      <c r="C146" s="47" t="s">
        <v>397</v>
      </c>
      <c r="D146" s="26" t="s">
        <v>414</v>
      </c>
      <c r="E146" s="10" t="s">
        <v>45</v>
      </c>
      <c r="F146" s="26" t="s">
        <v>255</v>
      </c>
      <c r="G146" s="21">
        <v>70</v>
      </c>
      <c r="H146" s="11">
        <v>6</v>
      </c>
      <c r="I146" s="191"/>
      <c r="J146" s="191"/>
      <c r="K146" s="191"/>
      <c r="L146" s="191"/>
      <c r="M146" s="191"/>
      <c r="N146" s="191"/>
      <c r="O146" s="211"/>
      <c r="P146" s="212"/>
      <c r="Q146" s="32"/>
      <c r="R146" s="32"/>
      <c r="S146" s="32"/>
      <c r="T146" s="32"/>
      <c r="U146" s="32"/>
      <c r="V146" s="32"/>
      <c r="W146" s="32"/>
      <c r="X146" s="32"/>
      <c r="Y146" s="32"/>
      <c r="Z146" s="32"/>
      <c r="AA146" s="32"/>
      <c r="AB146" s="32"/>
      <c r="AC146" s="32"/>
      <c r="AD146" s="32"/>
      <c r="AE146" s="32"/>
      <c r="AF146" s="32"/>
      <c r="AG146" s="32"/>
      <c r="AH146" s="32"/>
      <c r="AI146" s="32"/>
      <c r="AJ146" s="32"/>
      <c r="AK146" s="32">
        <v>22000</v>
      </c>
      <c r="AL146" s="32">
        <f>AK146*G146</f>
        <v>1540000</v>
      </c>
      <c r="AN146" s="32"/>
      <c r="AO146" s="32">
        <f>28800+(28800*5.2%)</f>
        <v>30297.599999999999</v>
      </c>
      <c r="AP146" s="32">
        <f>AO146*G146</f>
        <v>2120832</v>
      </c>
      <c r="AQ146" s="32"/>
      <c r="AR146" s="32"/>
      <c r="AS146" s="32">
        <v>36000</v>
      </c>
      <c r="AT146" s="32">
        <f>AS146*G146</f>
        <v>2520000</v>
      </c>
      <c r="AU146" s="32"/>
      <c r="AV146" s="32"/>
      <c r="AW146" s="32"/>
      <c r="AX146" s="32"/>
      <c r="AY146" s="32"/>
      <c r="AZ146" s="32"/>
      <c r="BA146" s="32"/>
      <c r="BB146" s="32"/>
      <c r="BC146" s="32"/>
      <c r="BD146" s="32"/>
      <c r="BE146" s="32"/>
      <c r="BF146" s="32"/>
      <c r="BG146" s="32"/>
      <c r="BH146" s="32"/>
      <c r="BI146" s="32"/>
      <c r="BJ146" s="32"/>
      <c r="BK146" s="192"/>
      <c r="BL146" s="32"/>
      <c r="BM146" s="192"/>
      <c r="BN146" s="32"/>
      <c r="BO146" s="32"/>
      <c r="BP146" s="32"/>
      <c r="BQ146" s="32"/>
      <c r="BR146" s="32"/>
      <c r="BS146" s="32"/>
      <c r="BT146" s="32"/>
      <c r="BU146" s="32"/>
      <c r="BV146" s="32"/>
      <c r="BW146" s="32"/>
      <c r="BX146" s="32"/>
      <c r="BY146" s="32"/>
      <c r="BZ146" s="32"/>
      <c r="CA146" s="32"/>
      <c r="CB146" s="32"/>
      <c r="CC146" s="32"/>
      <c r="CD146" s="32"/>
      <c r="CE146" s="32"/>
      <c r="CF146" s="32"/>
      <c r="CG146" s="32"/>
      <c r="CH146" s="32"/>
      <c r="CI146" s="32"/>
      <c r="CJ146" s="32"/>
      <c r="CK146" s="32"/>
      <c r="CL146" s="32"/>
      <c r="CM146" s="32"/>
      <c r="CN146" s="32"/>
      <c r="CO146" s="32"/>
      <c r="CP146" s="32"/>
      <c r="CQ146" s="32"/>
      <c r="CR146" s="32"/>
      <c r="CS146" s="32"/>
      <c r="CT146" s="32"/>
      <c r="CU146" s="32"/>
      <c r="CV146" s="32"/>
      <c r="CW146" s="32"/>
      <c r="CX146" s="32"/>
      <c r="CY146" s="32"/>
      <c r="CZ146" s="32"/>
      <c r="DA146" s="32"/>
      <c r="DB146" s="32"/>
      <c r="DC146" s="32"/>
      <c r="DD146" s="32"/>
      <c r="DE146" s="32"/>
      <c r="DF146" s="32"/>
      <c r="DG146" s="32"/>
      <c r="DH146" s="32"/>
      <c r="DI146" s="32"/>
      <c r="DJ146" s="32"/>
      <c r="DK146" s="32"/>
      <c r="DL146" s="32"/>
      <c r="DM146" s="32"/>
      <c r="DN146" s="32"/>
      <c r="DO146" s="32"/>
      <c r="DP146" s="32"/>
      <c r="DQ146" s="32"/>
      <c r="DR146" s="32"/>
      <c r="DS146" s="13">
        <f>+MEDIAN(AK146,AO146,AS146)</f>
        <v>30297.599999999999</v>
      </c>
      <c r="DT146" s="13">
        <f>+AVERAGE(AK146,AO146,AS146)</f>
        <v>29432.533333333336</v>
      </c>
      <c r="DU146" s="13">
        <f>+STDEV(AK146,AO146,AS146)</f>
        <v>7039.9755151089194</v>
      </c>
      <c r="DV146" s="17">
        <f>DU146/DT146</f>
        <v>0.23919026729295875</v>
      </c>
      <c r="DW146" s="373">
        <f>+ROUNDUP(IF(DV146&lt;15%,DT146,DS146),0)</f>
        <v>30298</v>
      </c>
      <c r="DX146" s="13">
        <f>+ROUND(DW146*G146*H146,0)</f>
        <v>12725160</v>
      </c>
      <c r="DY146" s="10" t="s">
        <v>309</v>
      </c>
    </row>
    <row r="147" spans="1:132" ht="77.5" hidden="1" customHeight="1" x14ac:dyDescent="0.3">
      <c r="A147" s="19">
        <v>121</v>
      </c>
      <c r="B147" s="14" t="s">
        <v>15</v>
      </c>
      <c r="C147" s="78" t="s">
        <v>397</v>
      </c>
      <c r="D147" s="14" t="s">
        <v>399</v>
      </c>
      <c r="E147" s="39" t="s">
        <v>95</v>
      </c>
      <c r="F147" s="14" t="s">
        <v>19</v>
      </c>
      <c r="G147" s="15">
        <v>750</v>
      </c>
      <c r="H147" s="15">
        <v>6</v>
      </c>
      <c r="I147" s="194"/>
      <c r="J147" s="194"/>
      <c r="K147" s="194"/>
      <c r="L147" s="194"/>
      <c r="M147" s="194"/>
      <c r="N147" s="194"/>
      <c r="O147" s="213"/>
      <c r="P147" s="242"/>
      <c r="Q147" s="197"/>
      <c r="R147" s="197"/>
      <c r="S147" s="197"/>
      <c r="T147" s="197"/>
      <c r="U147" s="197"/>
      <c r="V147" s="197"/>
      <c r="W147" s="197"/>
      <c r="X147" s="197"/>
      <c r="Y147" s="197"/>
      <c r="Z147" s="197"/>
      <c r="AA147" s="197"/>
      <c r="AB147" s="197"/>
      <c r="AC147" s="197"/>
      <c r="AD147" s="197"/>
      <c r="AE147" s="32"/>
      <c r="AF147" s="32"/>
      <c r="AG147" s="192"/>
      <c r="AH147" s="197"/>
      <c r="AI147" s="197"/>
      <c r="AJ147" s="197"/>
      <c r="AK147" s="197"/>
      <c r="AL147" s="197"/>
      <c r="AM147" s="197"/>
      <c r="AN147" s="197"/>
      <c r="AO147" s="197"/>
      <c r="AP147" s="197"/>
      <c r="AQ147" s="197"/>
      <c r="AR147" s="197"/>
      <c r="AS147" s="197"/>
      <c r="AT147" s="197"/>
      <c r="AU147" s="197"/>
      <c r="AV147" s="197"/>
      <c r="AW147" s="197"/>
      <c r="AX147" s="197"/>
      <c r="AY147" s="197"/>
      <c r="AZ147" s="197"/>
      <c r="BA147" s="197"/>
      <c r="BB147" s="197"/>
      <c r="BC147" s="197"/>
      <c r="BD147" s="197"/>
      <c r="BE147" s="197"/>
      <c r="BF147" s="197"/>
      <c r="BG147" s="197"/>
      <c r="BH147" s="197"/>
      <c r="BI147" s="197"/>
      <c r="BJ147" s="197"/>
      <c r="BK147" s="195"/>
      <c r="BL147" s="197"/>
      <c r="BM147" s="195"/>
      <c r="BN147" s="197"/>
      <c r="BO147" s="197"/>
      <c r="BP147" s="197"/>
      <c r="BQ147" s="197"/>
      <c r="BR147" s="197"/>
      <c r="BS147" s="197"/>
      <c r="BT147" s="197"/>
      <c r="BU147" s="197"/>
      <c r="BV147" s="197"/>
      <c r="BW147" s="197"/>
      <c r="BX147" s="197"/>
      <c r="BY147" s="197"/>
      <c r="BZ147" s="197"/>
      <c r="CA147" s="197"/>
      <c r="CB147" s="197"/>
      <c r="CC147" s="197"/>
      <c r="CD147" s="197"/>
      <c r="CE147" s="197"/>
      <c r="CF147" s="197"/>
      <c r="CG147" s="197"/>
      <c r="CH147" s="197"/>
      <c r="CI147" s="197"/>
      <c r="CJ147" s="197"/>
      <c r="CK147" s="197"/>
      <c r="CL147" s="197"/>
      <c r="CM147" s="197"/>
      <c r="CN147" s="197"/>
      <c r="CO147" s="272">
        <v>6000</v>
      </c>
      <c r="CP147" s="197">
        <f>CO147*G147</f>
        <v>4500000</v>
      </c>
      <c r="CQ147" s="262"/>
      <c r="CR147" s="197"/>
      <c r="CS147" s="263">
        <v>5000</v>
      </c>
      <c r="CT147" s="58">
        <f>CS147*G147</f>
        <v>3750000</v>
      </c>
      <c r="CU147" s="262"/>
      <c r="CV147" s="58"/>
      <c r="CW147" s="247"/>
      <c r="CX147" s="58"/>
      <c r="CY147" s="247"/>
      <c r="CZ147" s="58"/>
      <c r="DA147" s="58"/>
      <c r="DB147" s="58"/>
      <c r="DC147" s="247"/>
      <c r="DD147" s="58"/>
      <c r="DE147" s="58"/>
      <c r="DF147" s="58"/>
      <c r="DG147" s="58"/>
      <c r="DH147" s="58"/>
      <c r="DI147" s="58"/>
      <c r="DJ147" s="58"/>
      <c r="DK147" s="58"/>
      <c r="DL147" s="58"/>
      <c r="DM147" s="58"/>
      <c r="DN147" s="58"/>
      <c r="DO147" s="58"/>
      <c r="DP147" s="58"/>
      <c r="DQ147" s="58"/>
      <c r="DR147" s="58"/>
      <c r="DS147" s="73">
        <f>+MEDIAN(CO147,CS147)</f>
        <v>5500</v>
      </c>
      <c r="DT147" s="73">
        <f>+AVERAGE(CO147,CS147)</f>
        <v>5500</v>
      </c>
      <c r="DU147" s="73">
        <f>+STDEV(CO147,CS147)</f>
        <v>707.10678118654755</v>
      </c>
      <c r="DV147" s="72">
        <f>DU147/DT147</f>
        <v>0.12856486930664501</v>
      </c>
      <c r="DW147" s="376">
        <f>+ROUNDUP(IF(DV147&lt;15%,DT147,DS147),0)</f>
        <v>5500</v>
      </c>
      <c r="DX147" s="73">
        <f>+ROUND(DW147*G147*H147,0)</f>
        <v>24750000</v>
      </c>
      <c r="DY147" s="39" t="s">
        <v>448</v>
      </c>
    </row>
    <row r="148" spans="1:132" ht="182" hidden="1" x14ac:dyDescent="0.3">
      <c r="A148" s="133">
        <v>122</v>
      </c>
      <c r="B148" s="134" t="s">
        <v>15</v>
      </c>
      <c r="C148" s="148" t="s">
        <v>397</v>
      </c>
      <c r="D148" s="134" t="s">
        <v>122</v>
      </c>
      <c r="E148" s="132" t="s">
        <v>1155</v>
      </c>
      <c r="F148" s="134" t="s">
        <v>19</v>
      </c>
      <c r="G148" s="136">
        <v>700</v>
      </c>
      <c r="H148" s="136">
        <v>1</v>
      </c>
      <c r="I148" s="232"/>
      <c r="J148" s="232"/>
      <c r="K148" s="232"/>
      <c r="L148" s="232"/>
      <c r="M148" s="232"/>
      <c r="N148" s="232"/>
      <c r="O148" s="232"/>
      <c r="P148" s="232"/>
      <c r="Q148" s="273"/>
      <c r="R148" s="146"/>
      <c r="S148" s="274"/>
      <c r="T148" s="150"/>
      <c r="U148" s="150"/>
      <c r="V148" s="150"/>
      <c r="W148" s="150"/>
      <c r="X148" s="150"/>
      <c r="Y148" s="150"/>
      <c r="Z148" s="150"/>
      <c r="AA148" s="150"/>
      <c r="AB148" s="150"/>
      <c r="AC148" s="150"/>
      <c r="AD148" s="150"/>
      <c r="AE148" s="150"/>
      <c r="AF148" s="150"/>
      <c r="AG148" s="232"/>
      <c r="AH148" s="150"/>
      <c r="AI148" s="150"/>
      <c r="AJ148" s="150"/>
      <c r="AK148" s="150"/>
      <c r="AL148" s="150"/>
      <c r="AM148" s="150"/>
      <c r="AN148" s="150"/>
      <c r="AO148" s="150"/>
      <c r="AP148" s="150"/>
      <c r="AQ148" s="150"/>
      <c r="AR148" s="150"/>
      <c r="AS148" s="150"/>
      <c r="AT148" s="150"/>
      <c r="AU148" s="150"/>
      <c r="AV148" s="150"/>
      <c r="AW148" s="150"/>
      <c r="AX148" s="150"/>
      <c r="AY148" s="150"/>
      <c r="AZ148" s="150"/>
      <c r="BA148" s="150"/>
      <c r="BB148" s="150"/>
      <c r="BC148" s="150"/>
      <c r="BD148" s="150"/>
      <c r="BE148" s="150"/>
      <c r="BF148" s="150"/>
      <c r="BG148" s="150"/>
      <c r="BH148" s="150"/>
      <c r="BI148" s="150"/>
      <c r="BJ148" s="150"/>
      <c r="BK148" s="232"/>
      <c r="BL148" s="150"/>
      <c r="BM148" s="232"/>
      <c r="BN148" s="150"/>
      <c r="BO148" s="150"/>
      <c r="BP148" s="150"/>
      <c r="BQ148" s="150"/>
      <c r="BR148" s="150"/>
      <c r="BS148" s="150"/>
      <c r="BT148" s="150"/>
      <c r="BU148" s="150"/>
      <c r="BV148" s="150"/>
      <c r="BW148" s="150"/>
      <c r="BX148" s="150"/>
      <c r="BY148" s="150"/>
      <c r="BZ148" s="150"/>
      <c r="CA148" s="150"/>
      <c r="CB148" s="150"/>
      <c r="CC148" s="150"/>
      <c r="CD148" s="150"/>
      <c r="CE148" s="150"/>
      <c r="CF148" s="150"/>
      <c r="CG148" s="150"/>
      <c r="CH148" s="150"/>
      <c r="CI148" s="150"/>
      <c r="CJ148" s="150"/>
      <c r="CK148" s="150"/>
      <c r="CL148" s="150"/>
      <c r="CM148" s="150"/>
      <c r="CN148" s="150"/>
      <c r="CO148" s="275"/>
      <c r="CP148" s="150"/>
      <c r="CQ148" s="264"/>
      <c r="CR148" s="150"/>
      <c r="CS148" s="276"/>
      <c r="CT148" s="150"/>
      <c r="CU148" s="264"/>
      <c r="CV148" s="150"/>
      <c r="CW148" s="276"/>
      <c r="CX148" s="150"/>
      <c r="CY148" s="276"/>
      <c r="CZ148" s="150"/>
      <c r="DA148" s="150"/>
      <c r="DB148" s="150"/>
      <c r="DC148" s="276"/>
      <c r="DD148" s="150"/>
      <c r="DE148" s="150"/>
      <c r="DF148" s="150"/>
      <c r="DG148" s="150"/>
      <c r="DH148" s="150"/>
      <c r="DI148" s="150"/>
      <c r="DJ148" s="150"/>
      <c r="DK148" s="150"/>
      <c r="DL148" s="150"/>
      <c r="DM148" s="150"/>
      <c r="DN148" s="150"/>
      <c r="DO148" s="150"/>
      <c r="DP148" s="150"/>
      <c r="DQ148" s="150"/>
      <c r="DR148" s="150"/>
      <c r="DS148" s="146"/>
      <c r="DT148" s="146"/>
      <c r="DU148" s="146"/>
      <c r="DV148" s="138"/>
      <c r="DW148" s="273">
        <f>+DZ148+EB148</f>
        <v>94029.850744199997</v>
      </c>
      <c r="DX148" s="146">
        <f>+ROUND(DW148*G148*H148,0)</f>
        <v>65820896</v>
      </c>
      <c r="DY148" s="139" t="s">
        <v>1156</v>
      </c>
      <c r="DZ148" s="613">
        <v>74626.865669999999</v>
      </c>
      <c r="EA148" s="604">
        <f>+DZ148*G148*H148</f>
        <v>52238805.968999997</v>
      </c>
      <c r="EB148" s="604">
        <f>+DZ148*26%</f>
        <v>19402.985074200002</v>
      </c>
    </row>
    <row r="149" spans="1:132" s="63" customFormat="1" ht="22" hidden="1" customHeight="1" x14ac:dyDescent="0.3">
      <c r="A149" s="66" t="s">
        <v>398</v>
      </c>
      <c r="B149" s="66"/>
      <c r="C149" s="66"/>
      <c r="D149" s="66"/>
      <c r="E149" s="66"/>
      <c r="F149" s="67"/>
      <c r="G149" s="67"/>
      <c r="H149" s="67"/>
      <c r="I149" s="214"/>
      <c r="J149" s="214"/>
      <c r="K149" s="214"/>
      <c r="L149" s="214"/>
      <c r="M149" s="214"/>
      <c r="N149" s="214"/>
      <c r="O149" s="215"/>
      <c r="P149" s="215"/>
      <c r="Q149" s="215"/>
      <c r="R149" s="215"/>
      <c r="S149" s="215"/>
      <c r="T149" s="215"/>
      <c r="U149" s="215"/>
      <c r="V149" s="215"/>
      <c r="W149" s="215"/>
      <c r="X149" s="215"/>
      <c r="Y149" s="215"/>
      <c r="Z149" s="215"/>
      <c r="AA149" s="215"/>
      <c r="AB149" s="215"/>
      <c r="AC149" s="215"/>
      <c r="AD149" s="215"/>
      <c r="AE149" s="215"/>
      <c r="AF149" s="215"/>
      <c r="AG149" s="215"/>
      <c r="AH149" s="215"/>
      <c r="AI149" s="215"/>
      <c r="AJ149" s="215"/>
      <c r="AK149" s="215"/>
      <c r="AL149" s="215"/>
      <c r="AM149" s="215"/>
      <c r="AN149" s="215"/>
      <c r="AO149" s="215"/>
      <c r="AP149" s="215"/>
      <c r="AQ149" s="215"/>
      <c r="AR149" s="215"/>
      <c r="AS149" s="215"/>
      <c r="AT149" s="215"/>
      <c r="AU149" s="215"/>
      <c r="AV149" s="215"/>
      <c r="AW149" s="215"/>
      <c r="AX149" s="215"/>
      <c r="AY149" s="215"/>
      <c r="AZ149" s="215"/>
      <c r="BA149" s="215"/>
      <c r="BB149" s="215"/>
      <c r="BC149" s="215"/>
      <c r="BD149" s="215"/>
      <c r="BE149" s="215"/>
      <c r="BF149" s="215"/>
      <c r="BG149" s="215"/>
      <c r="BH149" s="215"/>
      <c r="BI149" s="215"/>
      <c r="BJ149" s="215"/>
      <c r="BK149" s="215"/>
      <c r="BL149" s="216"/>
      <c r="BM149" s="215"/>
      <c r="BN149" s="216"/>
      <c r="BO149" s="216"/>
      <c r="BP149" s="216"/>
      <c r="BQ149" s="216"/>
      <c r="BR149" s="216"/>
      <c r="BS149" s="216"/>
      <c r="BT149" s="216"/>
      <c r="BU149" s="216"/>
      <c r="BV149" s="216"/>
      <c r="BW149" s="216"/>
      <c r="BX149" s="216"/>
      <c r="BY149" s="216"/>
      <c r="BZ149" s="216"/>
      <c r="CA149" s="216"/>
      <c r="CB149" s="216"/>
      <c r="CC149" s="216"/>
      <c r="CD149" s="216"/>
      <c r="CE149" s="216"/>
      <c r="CF149" s="216"/>
      <c r="CG149" s="216"/>
      <c r="CH149" s="216"/>
      <c r="CI149" s="216"/>
      <c r="CJ149" s="216"/>
      <c r="CK149" s="216"/>
      <c r="CL149" s="216"/>
      <c r="CM149" s="216"/>
      <c r="CN149" s="216"/>
      <c r="CO149" s="216"/>
      <c r="CP149" s="216"/>
      <c r="CQ149" s="216"/>
      <c r="CR149" s="216"/>
      <c r="CS149" s="216"/>
      <c r="CT149" s="216"/>
      <c r="CU149" s="216"/>
      <c r="CV149" s="216"/>
      <c r="CW149" s="216"/>
      <c r="CX149" s="216"/>
      <c r="CY149" s="216"/>
      <c r="CZ149" s="216"/>
      <c r="DA149" s="216"/>
      <c r="DB149" s="216"/>
      <c r="DC149" s="216"/>
      <c r="DD149" s="216"/>
      <c r="DE149" s="216"/>
      <c r="DF149" s="216"/>
      <c r="DG149" s="216"/>
      <c r="DH149" s="216"/>
      <c r="DI149" s="216"/>
      <c r="DJ149" s="216"/>
      <c r="DK149" s="216"/>
      <c r="DL149" s="216"/>
      <c r="DM149" s="216"/>
      <c r="DN149" s="216"/>
      <c r="DO149" s="216"/>
      <c r="DP149" s="216"/>
      <c r="DQ149" s="216"/>
      <c r="DR149" s="216"/>
      <c r="DS149" s="215"/>
      <c r="DT149" s="215"/>
      <c r="DU149" s="215"/>
      <c r="DV149" s="68"/>
      <c r="DW149" s="379">
        <f>SUM(DW144:DW148)</f>
        <v>8000327.8507441999</v>
      </c>
      <c r="DX149" s="69">
        <f>SUM(DX144:DX148)</f>
        <v>260670056</v>
      </c>
      <c r="DY149" s="165"/>
      <c r="DZ149" s="609"/>
      <c r="EA149" s="609"/>
      <c r="EB149" s="609"/>
    </row>
    <row r="150" spans="1:132" ht="392.15" hidden="1" customHeight="1" x14ac:dyDescent="0.3">
      <c r="A150" s="19">
        <v>123</v>
      </c>
      <c r="B150" s="40" t="s">
        <v>15</v>
      </c>
      <c r="C150" s="101" t="s">
        <v>436</v>
      </c>
      <c r="D150" s="339" t="s">
        <v>480</v>
      </c>
      <c r="E150" s="360" t="s">
        <v>482</v>
      </c>
      <c r="F150" s="70" t="s">
        <v>19</v>
      </c>
      <c r="G150" s="102">
        <v>200</v>
      </c>
      <c r="H150" s="43">
        <v>1</v>
      </c>
      <c r="I150" s="277"/>
      <c r="J150" s="207"/>
      <c r="K150" s="278"/>
      <c r="L150" s="207"/>
      <c r="M150" s="278"/>
      <c r="N150" s="207"/>
      <c r="O150" s="208"/>
      <c r="P150" s="217"/>
      <c r="Q150" s="209"/>
      <c r="R150" s="209"/>
      <c r="S150" s="209"/>
      <c r="T150" s="209"/>
      <c r="U150" s="209"/>
      <c r="V150" s="209"/>
      <c r="W150" s="209"/>
      <c r="X150" s="209"/>
      <c r="Y150" s="209"/>
      <c r="Z150" s="209"/>
      <c r="AA150" s="209"/>
      <c r="AB150" s="209"/>
      <c r="AC150" s="209"/>
      <c r="AD150" s="209"/>
      <c r="AE150" s="209"/>
      <c r="AF150" s="209"/>
      <c r="AG150" s="209"/>
      <c r="AH150" s="209"/>
      <c r="AI150" s="209"/>
      <c r="AJ150" s="209"/>
      <c r="AK150" s="209"/>
      <c r="AL150" s="209"/>
      <c r="AM150" s="209"/>
      <c r="AN150" s="209"/>
      <c r="AO150" s="209"/>
      <c r="AP150" s="209"/>
      <c r="AQ150" s="209"/>
      <c r="AR150" s="209"/>
      <c r="AS150" s="209"/>
      <c r="AT150" s="209"/>
      <c r="AU150" s="209"/>
      <c r="AV150" s="209"/>
      <c r="AW150" s="209"/>
      <c r="AX150" s="209"/>
      <c r="AY150" s="209"/>
      <c r="AZ150" s="209"/>
      <c r="BA150" s="209"/>
      <c r="BB150" s="209"/>
      <c r="BC150" s="209"/>
      <c r="BD150" s="209"/>
      <c r="BE150" s="209"/>
      <c r="BF150" s="209"/>
      <c r="BG150" s="209"/>
      <c r="BH150" s="209"/>
      <c r="BI150" s="209"/>
      <c r="BJ150" s="209"/>
      <c r="BK150" s="210"/>
      <c r="BL150" s="209"/>
      <c r="BM150" s="210"/>
      <c r="BN150" s="209"/>
      <c r="BO150" s="209"/>
      <c r="BP150" s="209"/>
      <c r="BQ150" s="209"/>
      <c r="BR150" s="209"/>
      <c r="BS150" s="209"/>
      <c r="BT150" s="209"/>
      <c r="BU150" s="209"/>
      <c r="BV150" s="209"/>
      <c r="BW150" s="209"/>
      <c r="BX150" s="209"/>
      <c r="BY150" s="209"/>
      <c r="BZ150" s="209"/>
      <c r="CA150" s="209"/>
      <c r="CB150" s="209"/>
      <c r="CC150" s="209"/>
      <c r="CD150" s="209"/>
      <c r="CE150" s="209"/>
      <c r="CF150" s="209"/>
      <c r="CG150" s="209"/>
      <c r="CH150" s="209"/>
      <c r="CI150" s="209"/>
      <c r="CJ150" s="209"/>
      <c r="CK150" s="209"/>
      <c r="CL150" s="209"/>
      <c r="CM150" s="209"/>
      <c r="CN150" s="209"/>
      <c r="CO150" s="209">
        <v>1500000</v>
      </c>
      <c r="CP150" s="32">
        <f>CO150*G150</f>
        <v>300000000</v>
      </c>
      <c r="CQ150" s="209"/>
      <c r="CR150" s="209"/>
      <c r="CS150" s="209">
        <v>1250000</v>
      </c>
      <c r="CT150" s="209">
        <f>CS150*G150*H150</f>
        <v>250000000</v>
      </c>
      <c r="CU150" s="209"/>
      <c r="CV150" s="209"/>
      <c r="CW150" s="209"/>
      <c r="CX150" s="209"/>
      <c r="CY150" s="209"/>
      <c r="CZ150" s="209"/>
      <c r="DA150" s="209"/>
      <c r="DB150" s="209"/>
      <c r="DC150" s="209"/>
      <c r="DD150" s="209"/>
      <c r="DE150" s="209"/>
      <c r="DF150" s="209"/>
      <c r="DG150" s="209"/>
      <c r="DH150" s="209"/>
      <c r="DI150" s="209"/>
      <c r="DJ150" s="209"/>
      <c r="DK150" s="209"/>
      <c r="DL150" s="209"/>
      <c r="DM150" s="209"/>
      <c r="DN150" s="209"/>
      <c r="DO150" s="209"/>
      <c r="DP150" s="209"/>
      <c r="DQ150" s="209"/>
      <c r="DR150" s="209"/>
      <c r="DS150" s="65">
        <f>+MEDIAN(CO150,CS150)</f>
        <v>1375000</v>
      </c>
      <c r="DT150" s="65">
        <f>+AVERAGE(CO150,CS150)</f>
        <v>1375000</v>
      </c>
      <c r="DU150" s="65">
        <f>+STDEV(CO150,CS150)</f>
        <v>176776.69529663687</v>
      </c>
      <c r="DV150" s="64">
        <f>DU150/DT150</f>
        <v>0.12856486930664499</v>
      </c>
      <c r="DW150" s="375">
        <f>+ROUNDUP(IF(DV150&lt;15%,DT150,DS150),0)</f>
        <v>1375000</v>
      </c>
      <c r="DX150" s="65">
        <f>+ROUND(DW150*G150*H150,0)</f>
        <v>275000000</v>
      </c>
      <c r="DY150" s="42" t="s">
        <v>328</v>
      </c>
    </row>
    <row r="151" spans="1:132" s="63" customFormat="1" ht="22" hidden="1" customHeight="1" x14ac:dyDescent="0.3">
      <c r="A151" s="66" t="s">
        <v>437</v>
      </c>
      <c r="B151" s="66"/>
      <c r="C151" s="66"/>
      <c r="D151" s="66"/>
      <c r="E151" s="66"/>
      <c r="F151" s="67"/>
      <c r="G151" s="67"/>
      <c r="H151" s="67"/>
      <c r="I151" s="214"/>
      <c r="J151" s="214"/>
      <c r="K151" s="214"/>
      <c r="L151" s="214"/>
      <c r="M151" s="214"/>
      <c r="N151" s="214"/>
      <c r="O151" s="215"/>
      <c r="P151" s="215"/>
      <c r="Q151" s="215"/>
      <c r="R151" s="215"/>
      <c r="S151" s="215"/>
      <c r="T151" s="215"/>
      <c r="U151" s="215"/>
      <c r="V151" s="215"/>
      <c r="W151" s="215"/>
      <c r="X151" s="215"/>
      <c r="Y151" s="215"/>
      <c r="Z151" s="215"/>
      <c r="AA151" s="215"/>
      <c r="AB151" s="215"/>
      <c r="AC151" s="215"/>
      <c r="AD151" s="215"/>
      <c r="AE151" s="215"/>
      <c r="AF151" s="215"/>
      <c r="AG151" s="215"/>
      <c r="AH151" s="215"/>
      <c r="AI151" s="215"/>
      <c r="AJ151" s="215"/>
      <c r="AK151" s="215"/>
      <c r="AL151" s="215"/>
      <c r="AM151" s="215"/>
      <c r="AN151" s="215"/>
      <c r="AO151" s="215"/>
      <c r="AP151" s="215"/>
      <c r="AQ151" s="215"/>
      <c r="AR151" s="215"/>
      <c r="AS151" s="215"/>
      <c r="AT151" s="215"/>
      <c r="AU151" s="215"/>
      <c r="AV151" s="215"/>
      <c r="AW151" s="215"/>
      <c r="AX151" s="215"/>
      <c r="AY151" s="215"/>
      <c r="AZ151" s="215"/>
      <c r="BA151" s="215"/>
      <c r="BB151" s="215"/>
      <c r="BC151" s="215"/>
      <c r="BD151" s="215"/>
      <c r="BE151" s="215"/>
      <c r="BF151" s="215"/>
      <c r="BG151" s="215"/>
      <c r="BH151" s="215"/>
      <c r="BI151" s="215"/>
      <c r="BJ151" s="215"/>
      <c r="BK151" s="215"/>
      <c r="BL151" s="216"/>
      <c r="BM151" s="215"/>
      <c r="BN151" s="216"/>
      <c r="BO151" s="216"/>
      <c r="BP151" s="216"/>
      <c r="BQ151" s="216"/>
      <c r="BR151" s="216"/>
      <c r="BS151" s="216"/>
      <c r="BT151" s="216"/>
      <c r="BU151" s="216"/>
      <c r="BV151" s="216"/>
      <c r="BW151" s="216"/>
      <c r="BX151" s="216"/>
      <c r="BY151" s="216"/>
      <c r="BZ151" s="216"/>
      <c r="CA151" s="216"/>
      <c r="CB151" s="216"/>
      <c r="CC151" s="216"/>
      <c r="CD151" s="216"/>
      <c r="CE151" s="216"/>
      <c r="CF151" s="216"/>
      <c r="CG151" s="216"/>
      <c r="CH151" s="216"/>
      <c r="CI151" s="216"/>
      <c r="CJ151" s="216"/>
      <c r="CK151" s="216"/>
      <c r="CL151" s="216"/>
      <c r="CM151" s="216"/>
      <c r="CN151" s="216"/>
      <c r="CO151" s="216"/>
      <c r="CP151" s="216"/>
      <c r="CQ151" s="216"/>
      <c r="CR151" s="216"/>
      <c r="CS151" s="216"/>
      <c r="CT151" s="216"/>
      <c r="CU151" s="216"/>
      <c r="CV151" s="216"/>
      <c r="CW151" s="216"/>
      <c r="CX151" s="216"/>
      <c r="CY151" s="216"/>
      <c r="CZ151" s="216"/>
      <c r="DA151" s="216"/>
      <c r="DB151" s="216"/>
      <c r="DC151" s="216"/>
      <c r="DD151" s="216"/>
      <c r="DE151" s="216"/>
      <c r="DF151" s="216"/>
      <c r="DG151" s="216"/>
      <c r="DH151" s="216"/>
      <c r="DI151" s="216"/>
      <c r="DJ151" s="216"/>
      <c r="DK151" s="216"/>
      <c r="DL151" s="216"/>
      <c r="DM151" s="216"/>
      <c r="DN151" s="216"/>
      <c r="DO151" s="216"/>
      <c r="DP151" s="216"/>
      <c r="DQ151" s="216"/>
      <c r="DR151" s="216"/>
      <c r="DS151" s="215"/>
      <c r="DT151" s="215"/>
      <c r="DU151" s="215"/>
      <c r="DV151" s="68"/>
      <c r="DW151" s="69">
        <f>SUM(DW150:DW150)</f>
        <v>1375000</v>
      </c>
      <c r="DX151" s="69">
        <f>SUM(DX150:DX150)</f>
        <v>275000000</v>
      </c>
      <c r="DY151" s="165"/>
      <c r="DZ151" s="609"/>
      <c r="EA151" s="609"/>
      <c r="EB151" s="609"/>
    </row>
    <row r="152" spans="1:132" ht="52" hidden="1" x14ac:dyDescent="0.3">
      <c r="A152" s="19">
        <v>124</v>
      </c>
      <c r="B152" s="40" t="s">
        <v>15</v>
      </c>
      <c r="C152" s="385" t="s">
        <v>101</v>
      </c>
      <c r="D152" s="103" t="s">
        <v>357</v>
      </c>
      <c r="E152" s="42" t="s">
        <v>1175</v>
      </c>
      <c r="F152" s="70" t="s">
        <v>14</v>
      </c>
      <c r="G152" s="102">
        <v>1</v>
      </c>
      <c r="H152" s="43">
        <v>2</v>
      </c>
      <c r="I152" s="405">
        <v>7688000</v>
      </c>
      <c r="J152" s="386">
        <f>I152*G152*H152</f>
        <v>15376000</v>
      </c>
      <c r="K152" s="386"/>
      <c r="L152" s="386"/>
      <c r="M152" s="386"/>
      <c r="N152" s="386"/>
      <c r="O152" s="387"/>
      <c r="P152" s="393"/>
      <c r="Q152" s="389"/>
      <c r="R152" s="389"/>
      <c r="S152" s="389"/>
      <c r="T152" s="389"/>
      <c r="U152" s="389"/>
      <c r="V152" s="389"/>
      <c r="W152" s="389"/>
      <c r="X152" s="389"/>
      <c r="Y152" s="389"/>
      <c r="Z152" s="389"/>
      <c r="AA152" s="389"/>
      <c r="AB152" s="389"/>
      <c r="AC152" s="389"/>
      <c r="AD152" s="389"/>
      <c r="AE152" s="389"/>
      <c r="AF152" s="389"/>
      <c r="AG152" s="389"/>
      <c r="AH152" s="389"/>
      <c r="AI152" s="389"/>
      <c r="AJ152" s="389"/>
      <c r="AK152" s="389"/>
      <c r="AL152" s="389"/>
      <c r="AM152" s="389"/>
      <c r="AN152" s="389"/>
      <c r="AO152" s="389"/>
      <c r="AP152" s="389"/>
      <c r="AQ152" s="389"/>
      <c r="AR152" s="389"/>
      <c r="AS152" s="389"/>
      <c r="AT152" s="389"/>
      <c r="AU152" s="389"/>
      <c r="AV152" s="389"/>
      <c r="AW152" s="389"/>
      <c r="AX152" s="389"/>
      <c r="AY152" s="389"/>
      <c r="AZ152" s="389"/>
      <c r="BA152" s="389"/>
      <c r="BB152" s="389"/>
      <c r="BC152" s="389"/>
      <c r="BD152" s="389"/>
      <c r="BE152" s="389"/>
      <c r="BF152" s="389"/>
      <c r="BG152" s="389"/>
      <c r="BH152" s="389"/>
      <c r="BI152" s="389"/>
      <c r="BJ152" s="389"/>
      <c r="BK152" s="390"/>
      <c r="BL152" s="389"/>
      <c r="BM152" s="390"/>
      <c r="BN152" s="389"/>
      <c r="BO152" s="389"/>
      <c r="BP152" s="389"/>
      <c r="BQ152" s="389"/>
      <c r="BR152" s="389"/>
      <c r="BS152" s="389"/>
      <c r="BT152" s="389"/>
      <c r="BU152" s="389"/>
      <c r="BV152" s="389"/>
      <c r="BW152" s="389"/>
      <c r="BX152" s="389"/>
      <c r="BY152" s="389"/>
      <c r="BZ152" s="389"/>
      <c r="CA152" s="389"/>
      <c r="CB152" s="389"/>
      <c r="CC152" s="389"/>
      <c r="CD152" s="389"/>
      <c r="CE152" s="389"/>
      <c r="CF152" s="389"/>
      <c r="CG152" s="389"/>
      <c r="CH152" s="389"/>
      <c r="CI152" s="389"/>
      <c r="CJ152" s="389"/>
      <c r="CK152" s="389"/>
      <c r="CL152" s="389"/>
      <c r="CM152" s="389"/>
      <c r="CN152" s="389"/>
      <c r="CO152" s="389"/>
      <c r="CP152" s="389"/>
      <c r="CQ152" s="389"/>
      <c r="CR152" s="389"/>
      <c r="CS152" s="389"/>
      <c r="CT152" s="389"/>
      <c r="CU152" s="389"/>
      <c r="CV152" s="389"/>
      <c r="CW152" s="389"/>
      <c r="CX152" s="389"/>
      <c r="CY152" s="389"/>
      <c r="CZ152" s="389"/>
      <c r="DA152" s="389"/>
      <c r="DB152" s="389"/>
      <c r="DC152" s="389"/>
      <c r="DD152" s="389"/>
      <c r="DE152" s="389"/>
      <c r="DF152" s="389"/>
      <c r="DG152" s="389"/>
      <c r="DH152" s="389"/>
      <c r="DI152" s="389"/>
      <c r="DJ152" s="389"/>
      <c r="DK152" s="389"/>
      <c r="DL152" s="389"/>
      <c r="DM152" s="389"/>
      <c r="DN152" s="389"/>
      <c r="DO152" s="389"/>
      <c r="DP152" s="389"/>
      <c r="DQ152" s="389"/>
      <c r="DR152" s="389"/>
      <c r="DS152" s="400"/>
      <c r="DT152" s="400"/>
      <c r="DU152" s="400"/>
      <c r="DV152" s="64"/>
      <c r="DW152" s="374">
        <f>I152</f>
        <v>7688000</v>
      </c>
      <c r="DX152" s="65">
        <f t="shared" ref="DX152:DX176" si="19">+ROUND(DW152*G152*H152,0)</f>
        <v>15376000</v>
      </c>
      <c r="DY152" s="362" t="s">
        <v>323</v>
      </c>
    </row>
    <row r="153" spans="1:132" ht="52" hidden="1" x14ac:dyDescent="0.3">
      <c r="A153" s="19">
        <v>125</v>
      </c>
      <c r="B153" s="9" t="s">
        <v>15</v>
      </c>
      <c r="C153" s="91" t="s">
        <v>101</v>
      </c>
      <c r="D153" s="20" t="s">
        <v>357</v>
      </c>
      <c r="E153" s="42" t="s">
        <v>1175</v>
      </c>
      <c r="F153" s="19" t="s">
        <v>14</v>
      </c>
      <c r="G153" s="21">
        <v>1</v>
      </c>
      <c r="H153" s="11">
        <v>2</v>
      </c>
      <c r="I153" s="408">
        <v>7688000</v>
      </c>
      <c r="J153" s="303">
        <f>I153*G153*H153</f>
        <v>15376000</v>
      </c>
      <c r="K153" s="303"/>
      <c r="L153" s="303"/>
      <c r="M153" s="303"/>
      <c r="N153" s="303"/>
      <c r="O153" s="304"/>
      <c r="P153" s="305"/>
      <c r="Q153" s="97"/>
      <c r="R153" s="97"/>
      <c r="S153" s="97"/>
      <c r="T153" s="97"/>
      <c r="U153" s="97"/>
      <c r="V153" s="97"/>
      <c r="W153" s="97"/>
      <c r="X153" s="97"/>
      <c r="Y153" s="97"/>
      <c r="Z153" s="97"/>
      <c r="AA153" s="97"/>
      <c r="AB153" s="97"/>
      <c r="AC153" s="97"/>
      <c r="AD153" s="97"/>
      <c r="AE153" s="97"/>
      <c r="AF153" s="97"/>
      <c r="AG153" s="97"/>
      <c r="AH153" s="97"/>
      <c r="AI153" s="97"/>
      <c r="AJ153" s="97"/>
      <c r="AK153" s="97"/>
      <c r="AL153" s="97"/>
      <c r="AM153" s="97"/>
      <c r="AN153" s="97"/>
      <c r="AO153" s="97"/>
      <c r="AP153" s="97"/>
      <c r="AQ153" s="97"/>
      <c r="AR153" s="97"/>
      <c r="AS153" s="97"/>
      <c r="AT153" s="97"/>
      <c r="AU153" s="97"/>
      <c r="AV153" s="97"/>
      <c r="AW153" s="97"/>
      <c r="AX153" s="97"/>
      <c r="AY153" s="97"/>
      <c r="AZ153" s="97"/>
      <c r="BA153" s="97"/>
      <c r="BB153" s="97"/>
      <c r="BC153" s="97"/>
      <c r="BD153" s="97"/>
      <c r="BE153" s="97"/>
      <c r="BF153" s="97"/>
      <c r="BG153" s="97"/>
      <c r="BH153" s="97"/>
      <c r="BI153" s="97"/>
      <c r="BJ153" s="97"/>
      <c r="BK153" s="306"/>
      <c r="BL153" s="97"/>
      <c r="BM153" s="306"/>
      <c r="BN153" s="97"/>
      <c r="BO153" s="97"/>
      <c r="BP153" s="97"/>
      <c r="BQ153" s="97"/>
      <c r="BR153" s="97"/>
      <c r="BS153" s="97"/>
      <c r="BT153" s="97"/>
      <c r="BU153" s="97"/>
      <c r="BV153" s="97"/>
      <c r="BW153" s="97"/>
      <c r="BX153" s="97"/>
      <c r="BY153" s="97"/>
      <c r="BZ153" s="97"/>
      <c r="CA153" s="97"/>
      <c r="CB153" s="97"/>
      <c r="CC153" s="97"/>
      <c r="CD153" s="97"/>
      <c r="CE153" s="97"/>
      <c r="CF153" s="97"/>
      <c r="CG153" s="97"/>
      <c r="CH153" s="97"/>
      <c r="CI153" s="97"/>
      <c r="CJ153" s="97"/>
      <c r="CK153" s="97"/>
      <c r="CL153" s="97"/>
      <c r="CM153" s="97"/>
      <c r="CN153" s="97"/>
      <c r="CO153" s="97"/>
      <c r="CP153" s="97"/>
      <c r="CQ153" s="97"/>
      <c r="CR153" s="97"/>
      <c r="CS153" s="97"/>
      <c r="CT153" s="97"/>
      <c r="CU153" s="97"/>
      <c r="CV153" s="97"/>
      <c r="CW153" s="97"/>
      <c r="CX153" s="97"/>
      <c r="CY153" s="97"/>
      <c r="CZ153" s="97"/>
      <c r="DA153" s="97"/>
      <c r="DB153" s="97"/>
      <c r="DC153" s="97"/>
      <c r="DD153" s="97"/>
      <c r="DE153" s="97"/>
      <c r="DF153" s="97"/>
      <c r="DG153" s="97"/>
      <c r="DH153" s="97"/>
      <c r="DI153" s="97"/>
      <c r="DJ153" s="97"/>
      <c r="DK153" s="97"/>
      <c r="DL153" s="97"/>
      <c r="DM153" s="97"/>
      <c r="DN153" s="97"/>
      <c r="DO153" s="97"/>
      <c r="DP153" s="97"/>
      <c r="DQ153" s="97"/>
      <c r="DR153" s="97"/>
      <c r="DS153" s="310"/>
      <c r="DT153" s="310"/>
      <c r="DU153" s="310"/>
      <c r="DV153" s="17"/>
      <c r="DW153" s="371">
        <f>I153</f>
        <v>7688000</v>
      </c>
      <c r="DX153" s="13">
        <f t="shared" si="19"/>
        <v>15376000</v>
      </c>
      <c r="DY153" s="161" t="s">
        <v>323</v>
      </c>
      <c r="DZ153" s="614"/>
    </row>
    <row r="154" spans="1:132" ht="39" hidden="1" x14ac:dyDescent="0.3">
      <c r="A154" s="19">
        <v>126</v>
      </c>
      <c r="B154" s="9" t="s">
        <v>15</v>
      </c>
      <c r="C154" s="20" t="s">
        <v>101</v>
      </c>
      <c r="D154" s="9" t="s">
        <v>152</v>
      </c>
      <c r="E154" s="10" t="s">
        <v>153</v>
      </c>
      <c r="F154" s="9" t="s">
        <v>19</v>
      </c>
      <c r="G154" s="11">
        <v>400</v>
      </c>
      <c r="H154" s="11">
        <v>1</v>
      </c>
      <c r="I154" s="191"/>
      <c r="J154" s="191"/>
      <c r="K154" s="191"/>
      <c r="L154" s="191"/>
      <c r="M154" s="191"/>
      <c r="N154" s="191"/>
      <c r="O154" s="211"/>
      <c r="P154" s="212"/>
      <c r="Q154" s="32"/>
      <c r="R154" s="32"/>
      <c r="S154" s="32"/>
      <c r="T154" s="32"/>
      <c r="U154" s="25">
        <v>148</v>
      </c>
      <c r="V154" s="32">
        <f>U154*G154</f>
        <v>59200</v>
      </c>
      <c r="W154" s="25">
        <v>180</v>
      </c>
      <c r="X154" s="32">
        <f>W154*G154</f>
        <v>72000</v>
      </c>
      <c r="Y154" s="32"/>
      <c r="Z154" s="32"/>
      <c r="AA154" s="32"/>
      <c r="AB154" s="32"/>
      <c r="AC154" s="32"/>
      <c r="AD154" s="32"/>
      <c r="AE154" s="32"/>
      <c r="AF154" s="32"/>
      <c r="AG154" s="32"/>
      <c r="AH154" s="32"/>
      <c r="AI154" s="32"/>
      <c r="AJ154" s="32"/>
      <c r="AK154" s="32"/>
      <c r="AL154" s="32"/>
      <c r="AM154" s="32"/>
      <c r="AN154" s="32"/>
      <c r="AO154" s="32"/>
      <c r="AP154" s="32"/>
      <c r="AQ154" s="32"/>
      <c r="AR154" s="32"/>
      <c r="AS154" s="32"/>
      <c r="AT154" s="32"/>
      <c r="AU154" s="32"/>
      <c r="AV154" s="32"/>
      <c r="AW154" s="32"/>
      <c r="AX154" s="32"/>
      <c r="AY154" s="32"/>
      <c r="AZ154" s="32"/>
      <c r="BA154" s="32"/>
      <c r="BB154" s="32"/>
      <c r="BC154" s="32"/>
      <c r="BD154" s="32"/>
      <c r="BE154" s="32"/>
      <c r="BF154" s="32"/>
      <c r="BG154" s="32"/>
      <c r="BH154" s="32"/>
      <c r="BI154" s="32"/>
      <c r="BJ154" s="32"/>
      <c r="BK154" s="192"/>
      <c r="BL154" s="32"/>
      <c r="BM154" s="192"/>
      <c r="BN154" s="32"/>
      <c r="BO154" s="32"/>
      <c r="BP154" s="32"/>
      <c r="BQ154" s="32"/>
      <c r="BR154" s="32"/>
      <c r="BS154" s="32"/>
      <c r="BT154" s="32"/>
      <c r="BU154" s="32"/>
      <c r="BV154" s="32"/>
      <c r="BW154" s="32"/>
      <c r="BX154" s="32"/>
      <c r="BY154" s="32"/>
      <c r="BZ154" s="32"/>
      <c r="CA154" s="32"/>
      <c r="CB154" s="32"/>
      <c r="CC154" s="32"/>
      <c r="CD154" s="32"/>
      <c r="CE154" s="32"/>
      <c r="CF154" s="32"/>
      <c r="CG154" s="32"/>
      <c r="CH154" s="32"/>
      <c r="CI154" s="32"/>
      <c r="CJ154" s="32"/>
      <c r="CK154" s="32"/>
      <c r="CL154" s="32"/>
      <c r="CM154" s="32"/>
      <c r="CN154" s="32"/>
      <c r="CO154" s="32"/>
      <c r="CP154" s="32"/>
      <c r="CQ154" s="32"/>
      <c r="CR154" s="32"/>
      <c r="CS154" s="32"/>
      <c r="CT154" s="32"/>
      <c r="CU154" s="32"/>
      <c r="CV154" s="32"/>
      <c r="CW154" s="32"/>
      <c r="CX154" s="32"/>
      <c r="CY154" s="32"/>
      <c r="CZ154" s="32"/>
      <c r="DA154" s="32"/>
      <c r="DB154" s="32"/>
      <c r="DC154" s="32"/>
      <c r="DD154" s="32"/>
      <c r="DE154" s="32"/>
      <c r="DF154" s="32"/>
      <c r="DG154" s="32"/>
      <c r="DH154" s="32"/>
      <c r="DI154" s="32"/>
      <c r="DJ154" s="32"/>
      <c r="DK154" s="32"/>
      <c r="DL154" s="32"/>
      <c r="DM154" s="32"/>
      <c r="DN154" s="32"/>
      <c r="DO154" s="32"/>
      <c r="DP154" s="32"/>
      <c r="DQ154" s="32"/>
      <c r="DR154" s="32"/>
      <c r="DS154" s="265">
        <f>MEDIAN(U154,W154)</f>
        <v>164</v>
      </c>
      <c r="DT154" s="265">
        <f>AVERAGE(U154,W154)</f>
        <v>164</v>
      </c>
      <c r="DU154" s="265">
        <f>STDEV(U154,W154)</f>
        <v>22.627416997969522</v>
      </c>
      <c r="DV154" s="48">
        <f t="shared" ref="DV154:DV163" si="20">DU154/DT154</f>
        <v>0.13797205486566783</v>
      </c>
      <c r="DW154" s="377">
        <f>ROUNDUP(IF(DV154&lt;15%,DT154,DS154),0)</f>
        <v>164</v>
      </c>
      <c r="DX154" s="13">
        <f t="shared" si="19"/>
        <v>65600</v>
      </c>
      <c r="DY154" s="10" t="s">
        <v>313</v>
      </c>
    </row>
    <row r="155" spans="1:132" ht="39" hidden="1" x14ac:dyDescent="0.3">
      <c r="A155" s="19">
        <v>127</v>
      </c>
      <c r="B155" s="9" t="s">
        <v>15</v>
      </c>
      <c r="C155" s="20" t="s">
        <v>101</v>
      </c>
      <c r="D155" s="26" t="s">
        <v>269</v>
      </c>
      <c r="E155" s="10" t="s">
        <v>47</v>
      </c>
      <c r="F155" s="19" t="s">
        <v>24</v>
      </c>
      <c r="G155" s="21">
        <v>20</v>
      </c>
      <c r="H155" s="11">
        <v>1</v>
      </c>
      <c r="I155" s="191"/>
      <c r="J155" s="191"/>
      <c r="K155" s="191"/>
      <c r="L155" s="191"/>
      <c r="M155" s="191"/>
      <c r="N155" s="191"/>
      <c r="O155" s="211"/>
      <c r="P155" s="212"/>
      <c r="Q155" s="25">
        <v>12000</v>
      </c>
      <c r="R155" s="32">
        <f>Q155*G158</f>
        <v>360000</v>
      </c>
      <c r="S155" s="25">
        <v>10500</v>
      </c>
      <c r="T155" s="32">
        <f>S155*G158</f>
        <v>315000</v>
      </c>
      <c r="U155" s="32"/>
      <c r="V155" s="32"/>
      <c r="W155" s="32"/>
      <c r="X155" s="32"/>
      <c r="Y155" s="32"/>
      <c r="Z155" s="32"/>
      <c r="AA155" s="32"/>
      <c r="AB155" s="32"/>
      <c r="AC155" s="32"/>
      <c r="AD155" s="32"/>
      <c r="AE155" s="32"/>
      <c r="AF155" s="32"/>
      <c r="AG155" s="32"/>
      <c r="AH155" s="32"/>
      <c r="AI155" s="32"/>
      <c r="AJ155" s="32"/>
      <c r="AK155" s="32"/>
      <c r="AL155" s="32"/>
      <c r="AM155" s="32"/>
      <c r="AN155" s="32"/>
      <c r="AO155" s="32"/>
      <c r="AP155" s="32"/>
      <c r="AQ155" s="32"/>
      <c r="AR155" s="32"/>
      <c r="AS155" s="32"/>
      <c r="AT155" s="32"/>
      <c r="AU155" s="32"/>
      <c r="AV155" s="32"/>
      <c r="AW155" s="32"/>
      <c r="AX155" s="32"/>
      <c r="AY155" s="32"/>
      <c r="AZ155" s="32"/>
      <c r="BA155" s="32"/>
      <c r="BB155" s="32"/>
      <c r="BC155" s="32"/>
      <c r="BD155" s="32"/>
      <c r="BE155" s="32"/>
      <c r="BF155" s="32"/>
      <c r="BG155" s="32"/>
      <c r="BH155" s="32"/>
      <c r="BI155" s="32"/>
      <c r="BJ155" s="32"/>
      <c r="BK155" s="192"/>
      <c r="BL155" s="32"/>
      <c r="BM155" s="192"/>
      <c r="BN155" s="32"/>
      <c r="BO155" s="32"/>
      <c r="BP155" s="32"/>
      <c r="BQ155" s="32"/>
      <c r="BR155" s="32"/>
      <c r="BS155" s="32"/>
      <c r="BT155" s="32"/>
      <c r="BU155" s="32"/>
      <c r="BV155" s="32"/>
      <c r="BW155" s="32"/>
      <c r="BX155" s="32"/>
      <c r="BY155" s="32"/>
      <c r="BZ155" s="32"/>
      <c r="CA155" s="32"/>
      <c r="CB155" s="32"/>
      <c r="CC155" s="32"/>
      <c r="CD155" s="32"/>
      <c r="CE155" s="32"/>
      <c r="CF155" s="32"/>
      <c r="CG155" s="32"/>
      <c r="CH155" s="32"/>
      <c r="CI155" s="32"/>
      <c r="CJ155" s="32"/>
      <c r="CK155" s="32"/>
      <c r="CL155" s="32"/>
      <c r="CM155" s="32"/>
      <c r="CN155" s="32"/>
      <c r="CO155" s="32"/>
      <c r="CP155" s="32"/>
      <c r="CQ155" s="32"/>
      <c r="CR155" s="32"/>
      <c r="CS155" s="32"/>
      <c r="CT155" s="32"/>
      <c r="CU155" s="32"/>
      <c r="CV155" s="32"/>
      <c r="CW155" s="32"/>
      <c r="CX155" s="32"/>
      <c r="CY155" s="32"/>
      <c r="CZ155" s="32"/>
      <c r="DA155" s="32"/>
      <c r="DB155" s="32"/>
      <c r="DC155" s="32"/>
      <c r="DD155" s="32"/>
      <c r="DE155" s="32"/>
      <c r="DF155" s="32"/>
      <c r="DG155" s="32"/>
      <c r="DH155" s="32"/>
      <c r="DI155" s="32"/>
      <c r="DJ155" s="32"/>
      <c r="DK155" s="32"/>
      <c r="DL155" s="32"/>
      <c r="DM155" s="32"/>
      <c r="DN155" s="32"/>
      <c r="DO155" s="32"/>
      <c r="DP155" s="32"/>
      <c r="DQ155" s="32"/>
      <c r="DR155" s="32"/>
      <c r="DS155" s="13">
        <f>+MEDIAN(Q155,S155)</f>
        <v>11250</v>
      </c>
      <c r="DT155" s="13">
        <f>+AVERAGE(Q155,S155)</f>
        <v>11250</v>
      </c>
      <c r="DU155" s="13">
        <f>+STDEV(Q155,S155)</f>
        <v>1060.6601717798212</v>
      </c>
      <c r="DV155" s="17">
        <f t="shared" si="20"/>
        <v>9.4280904158206336E-2</v>
      </c>
      <c r="DW155" s="373">
        <f t="shared" ref="DW155:DW163" si="21">+ROUNDUP(IF(DV155&lt;15%,DT155,DS155),0)</f>
        <v>11250</v>
      </c>
      <c r="DX155" s="13">
        <f t="shared" si="19"/>
        <v>225000</v>
      </c>
      <c r="DY155" s="10" t="s">
        <v>308</v>
      </c>
    </row>
    <row r="156" spans="1:132" ht="39" hidden="1" x14ac:dyDescent="0.3">
      <c r="A156" s="19">
        <v>128</v>
      </c>
      <c r="B156" s="9" t="s">
        <v>15</v>
      </c>
      <c r="C156" s="20" t="s">
        <v>101</v>
      </c>
      <c r="D156" s="26" t="s">
        <v>104</v>
      </c>
      <c r="E156" s="10" t="s">
        <v>48</v>
      </c>
      <c r="F156" s="19" t="s">
        <v>40</v>
      </c>
      <c r="G156" s="21">
        <v>20</v>
      </c>
      <c r="H156" s="11">
        <v>1</v>
      </c>
      <c r="I156" s="191"/>
      <c r="J156" s="191"/>
      <c r="K156" s="191"/>
      <c r="L156" s="191"/>
      <c r="M156" s="191"/>
      <c r="N156" s="191"/>
      <c r="O156" s="25">
        <v>1155</v>
      </c>
      <c r="P156" s="212">
        <f>O156*G156</f>
        <v>23100</v>
      </c>
      <c r="Q156" s="25">
        <v>1350</v>
      </c>
      <c r="R156" s="32">
        <f>Q156*G156</f>
        <v>27000</v>
      </c>
      <c r="S156" s="25">
        <v>820</v>
      </c>
      <c r="T156" s="32">
        <f>S156*G156</f>
        <v>16400</v>
      </c>
      <c r="U156" s="25">
        <v>1000</v>
      </c>
      <c r="V156" s="32">
        <f>U156*G156</f>
        <v>20000</v>
      </c>
      <c r="W156" s="32"/>
      <c r="X156" s="32"/>
      <c r="Y156" s="32"/>
      <c r="Z156" s="32"/>
      <c r="AA156" s="32"/>
      <c r="AB156" s="32"/>
      <c r="AC156" s="32"/>
      <c r="AD156" s="32"/>
      <c r="AE156" s="32"/>
      <c r="AF156" s="32"/>
      <c r="AG156" s="32"/>
      <c r="AH156" s="32"/>
      <c r="AI156" s="32"/>
      <c r="AJ156" s="32"/>
      <c r="AK156" s="32"/>
      <c r="AL156" s="32"/>
      <c r="AM156" s="32"/>
      <c r="AN156" s="32"/>
      <c r="AO156" s="32"/>
      <c r="AP156" s="32"/>
      <c r="AQ156" s="32"/>
      <c r="AR156" s="32"/>
      <c r="AS156" s="32"/>
      <c r="AT156" s="32"/>
      <c r="AU156" s="32"/>
      <c r="AV156" s="32"/>
      <c r="AW156" s="32"/>
      <c r="AX156" s="32"/>
      <c r="AY156" s="32"/>
      <c r="AZ156" s="32"/>
      <c r="BA156" s="32"/>
      <c r="BB156" s="32"/>
      <c r="BC156" s="32"/>
      <c r="BD156" s="32"/>
      <c r="BE156" s="32"/>
      <c r="BF156" s="32"/>
      <c r="BG156" s="32"/>
      <c r="BH156" s="32"/>
      <c r="BI156" s="32"/>
      <c r="BJ156" s="32"/>
      <c r="BK156" s="192"/>
      <c r="BL156" s="32"/>
      <c r="BM156" s="192"/>
      <c r="BN156" s="32"/>
      <c r="BO156" s="32"/>
      <c r="BP156" s="32"/>
      <c r="BQ156" s="32"/>
      <c r="BR156" s="32"/>
      <c r="BS156" s="32"/>
      <c r="BT156" s="32"/>
      <c r="BU156" s="32"/>
      <c r="BV156" s="32"/>
      <c r="BW156" s="32"/>
      <c r="BX156" s="32"/>
      <c r="BY156" s="32"/>
      <c r="BZ156" s="32"/>
      <c r="CA156" s="32"/>
      <c r="CB156" s="32"/>
      <c r="CC156" s="32"/>
      <c r="CD156" s="32"/>
      <c r="CE156" s="32"/>
      <c r="CF156" s="32"/>
      <c r="CG156" s="32"/>
      <c r="CH156" s="32"/>
      <c r="CI156" s="32"/>
      <c r="CJ156" s="32"/>
      <c r="CK156" s="32"/>
      <c r="CL156" s="32"/>
      <c r="CM156" s="32"/>
      <c r="CN156" s="32"/>
      <c r="CO156" s="32"/>
      <c r="CP156" s="32"/>
      <c r="CQ156" s="32"/>
      <c r="CR156" s="32"/>
      <c r="CS156" s="32"/>
      <c r="CT156" s="32"/>
      <c r="CU156" s="32"/>
      <c r="CV156" s="32"/>
      <c r="CW156" s="32"/>
      <c r="CX156" s="32"/>
      <c r="CY156" s="32"/>
      <c r="CZ156" s="32"/>
      <c r="DA156" s="32"/>
      <c r="DB156" s="32"/>
      <c r="DC156" s="32"/>
      <c r="DD156" s="32"/>
      <c r="DE156" s="32"/>
      <c r="DF156" s="32"/>
      <c r="DG156" s="32"/>
      <c r="DH156" s="32"/>
      <c r="DI156" s="32"/>
      <c r="DJ156" s="32"/>
      <c r="DK156" s="32"/>
      <c r="DL156" s="32"/>
      <c r="DM156" s="32"/>
      <c r="DN156" s="32"/>
      <c r="DO156" s="32"/>
      <c r="DP156" s="32"/>
      <c r="DQ156" s="32"/>
      <c r="DR156" s="32"/>
      <c r="DS156" s="13">
        <f>+MEDIAN(O156,Q156,S156,U156)</f>
        <v>1077.5</v>
      </c>
      <c r="DT156" s="13">
        <f>+AVERAGE(O156,Q156,S156,U156)</f>
        <v>1081.25</v>
      </c>
      <c r="DU156" s="13">
        <f>+STDEV(O156,Q156,S156,U156)</f>
        <v>225.47634761396446</v>
      </c>
      <c r="DV156" s="17">
        <f t="shared" si="20"/>
        <v>0.20853303825568967</v>
      </c>
      <c r="DW156" s="373">
        <f t="shared" si="21"/>
        <v>1078</v>
      </c>
      <c r="DX156" s="13">
        <f t="shared" si="19"/>
        <v>21560</v>
      </c>
      <c r="DY156" s="10" t="s">
        <v>309</v>
      </c>
    </row>
    <row r="157" spans="1:132" ht="39" hidden="1" x14ac:dyDescent="0.3">
      <c r="A157" s="19">
        <v>129</v>
      </c>
      <c r="B157" s="9" t="s">
        <v>15</v>
      </c>
      <c r="C157" s="20" t="s">
        <v>101</v>
      </c>
      <c r="D157" s="26" t="s">
        <v>105</v>
      </c>
      <c r="E157" s="10" t="s">
        <v>49</v>
      </c>
      <c r="F157" s="19" t="s">
        <v>40</v>
      </c>
      <c r="G157" s="21">
        <v>30</v>
      </c>
      <c r="H157" s="11">
        <v>1</v>
      </c>
      <c r="I157" s="191"/>
      <c r="J157" s="191"/>
      <c r="K157" s="191"/>
      <c r="L157" s="191"/>
      <c r="M157" s="191"/>
      <c r="N157" s="191"/>
      <c r="O157" s="211"/>
      <c r="P157" s="212"/>
      <c r="Q157" s="32"/>
      <c r="R157" s="32"/>
      <c r="S157" s="32"/>
      <c r="T157" s="32"/>
      <c r="U157" s="25">
        <v>1900</v>
      </c>
      <c r="V157" s="32">
        <f>U157*G157</f>
        <v>57000</v>
      </c>
      <c r="W157" s="279">
        <v>2000</v>
      </c>
      <c r="X157" s="32">
        <f>W157*G157</f>
        <v>60000</v>
      </c>
      <c r="Y157" s="32"/>
      <c r="Z157" s="32"/>
      <c r="AA157" s="32"/>
      <c r="AB157" s="32"/>
      <c r="AC157" s="32"/>
      <c r="AD157" s="32"/>
      <c r="AE157" s="32"/>
      <c r="AF157" s="32"/>
      <c r="AG157" s="32"/>
      <c r="AH157" s="32"/>
      <c r="AI157" s="32"/>
      <c r="AJ157" s="32"/>
      <c r="AK157" s="32"/>
      <c r="AL157" s="32"/>
      <c r="AM157" s="32"/>
      <c r="AN157" s="32"/>
      <c r="AO157" s="32"/>
      <c r="AP157" s="32"/>
      <c r="AQ157" s="32"/>
      <c r="AR157" s="32"/>
      <c r="AS157" s="32"/>
      <c r="AT157" s="32"/>
      <c r="AU157" s="32"/>
      <c r="AV157" s="32"/>
      <c r="AW157" s="32"/>
      <c r="AX157" s="32"/>
      <c r="AY157" s="32"/>
      <c r="AZ157" s="32"/>
      <c r="BA157" s="32"/>
      <c r="BB157" s="32"/>
      <c r="BC157" s="32"/>
      <c r="BD157" s="32"/>
      <c r="BE157" s="32"/>
      <c r="BF157" s="32"/>
      <c r="BG157" s="32"/>
      <c r="BH157" s="32"/>
      <c r="BI157" s="32"/>
      <c r="BJ157" s="32"/>
      <c r="BK157" s="192"/>
      <c r="BL157" s="32"/>
      <c r="BM157" s="192"/>
      <c r="BN157" s="32"/>
      <c r="BO157" s="32"/>
      <c r="BP157" s="32"/>
      <c r="BQ157" s="32"/>
      <c r="BR157" s="32"/>
      <c r="BS157" s="32"/>
      <c r="BT157" s="32"/>
      <c r="BU157" s="32"/>
      <c r="BV157" s="32"/>
      <c r="BW157" s="32"/>
      <c r="BX157" s="32"/>
      <c r="BY157" s="32"/>
      <c r="BZ157" s="32"/>
      <c r="CA157" s="32"/>
      <c r="CB157" s="32"/>
      <c r="CC157" s="32"/>
      <c r="CD157" s="32"/>
      <c r="CE157" s="32"/>
      <c r="CF157" s="32"/>
      <c r="CG157" s="32"/>
      <c r="CH157" s="32"/>
      <c r="CI157" s="32"/>
      <c r="CJ157" s="32"/>
      <c r="CK157" s="32"/>
      <c r="CL157" s="32"/>
      <c r="CM157" s="32"/>
      <c r="CN157" s="32"/>
      <c r="CO157" s="32"/>
      <c r="CP157" s="32"/>
      <c r="CQ157" s="32"/>
      <c r="CR157" s="32"/>
      <c r="CS157" s="32"/>
      <c r="CT157" s="32"/>
      <c r="CU157" s="32"/>
      <c r="CV157" s="32"/>
      <c r="CW157" s="32"/>
      <c r="CX157" s="32"/>
      <c r="CY157" s="32"/>
      <c r="CZ157" s="32"/>
      <c r="DA157" s="32"/>
      <c r="DB157" s="32"/>
      <c r="DC157" s="32"/>
      <c r="DD157" s="32"/>
      <c r="DE157" s="32"/>
      <c r="DF157" s="32"/>
      <c r="DG157" s="32"/>
      <c r="DH157" s="32"/>
      <c r="DI157" s="32"/>
      <c r="DJ157" s="32"/>
      <c r="DK157" s="32"/>
      <c r="DL157" s="32"/>
      <c r="DM157" s="32"/>
      <c r="DN157" s="32"/>
      <c r="DO157" s="32"/>
      <c r="DP157" s="32"/>
      <c r="DQ157" s="32"/>
      <c r="DR157" s="32"/>
      <c r="DS157" s="13">
        <f>+MEDIAN(U157,W157)</f>
        <v>1950</v>
      </c>
      <c r="DT157" s="13">
        <f>+AVERAGE(U157,W157)</f>
        <v>1950</v>
      </c>
      <c r="DU157" s="13">
        <f>+STDEV(U157,W157)</f>
        <v>70.710678118654755</v>
      </c>
      <c r="DV157" s="17">
        <f t="shared" si="20"/>
        <v>3.6261886214694748E-2</v>
      </c>
      <c r="DW157" s="373">
        <f t="shared" si="21"/>
        <v>1950</v>
      </c>
      <c r="DX157" s="13">
        <f t="shared" si="19"/>
        <v>58500</v>
      </c>
      <c r="DY157" s="10" t="s">
        <v>308</v>
      </c>
    </row>
    <row r="158" spans="1:132" ht="39" hidden="1" x14ac:dyDescent="0.3">
      <c r="A158" s="19">
        <v>130</v>
      </c>
      <c r="B158" s="9" t="s">
        <v>15</v>
      </c>
      <c r="C158" s="20" t="s">
        <v>101</v>
      </c>
      <c r="D158" s="49" t="s">
        <v>272</v>
      </c>
      <c r="E158" s="10" t="s">
        <v>50</v>
      </c>
      <c r="F158" s="19" t="s">
        <v>273</v>
      </c>
      <c r="G158" s="21">
        <v>30</v>
      </c>
      <c r="H158" s="11">
        <v>1</v>
      </c>
      <c r="I158" s="191"/>
      <c r="J158" s="191"/>
      <c r="K158" s="191"/>
      <c r="L158" s="191"/>
      <c r="M158" s="191"/>
      <c r="N158" s="191"/>
      <c r="O158" s="25">
        <v>5462</v>
      </c>
      <c r="P158" s="212">
        <f>O158*G158</f>
        <v>163860</v>
      </c>
      <c r="Q158" s="25">
        <v>4000</v>
      </c>
      <c r="R158" s="32">
        <f>Q158*G158</f>
        <v>120000</v>
      </c>
      <c r="S158" s="25">
        <v>4096</v>
      </c>
      <c r="T158" s="32">
        <f>S158*G158</f>
        <v>122880</v>
      </c>
      <c r="U158" s="192"/>
      <c r="V158" s="192"/>
      <c r="W158" s="192"/>
      <c r="X158" s="192"/>
      <c r="Y158" s="192"/>
      <c r="Z158" s="32"/>
      <c r="AA158" s="32"/>
      <c r="AB158" s="32"/>
      <c r="AC158" s="32"/>
      <c r="AD158" s="32"/>
      <c r="AE158" s="32"/>
      <c r="AF158" s="32"/>
      <c r="AG158" s="32"/>
      <c r="AH158" s="32"/>
      <c r="AI158" s="32"/>
      <c r="AJ158" s="32"/>
      <c r="AK158" s="32"/>
      <c r="AL158" s="32"/>
      <c r="AM158" s="32"/>
      <c r="AN158" s="32"/>
      <c r="AO158" s="32"/>
      <c r="AP158" s="32"/>
      <c r="AQ158" s="32"/>
      <c r="AR158" s="32"/>
      <c r="AS158" s="32"/>
      <c r="AT158" s="32"/>
      <c r="AU158" s="32"/>
      <c r="AV158" s="32"/>
      <c r="AW158" s="32"/>
      <c r="AX158" s="32"/>
      <c r="AY158" s="32"/>
      <c r="AZ158" s="32"/>
      <c r="BA158" s="32"/>
      <c r="BB158" s="32"/>
      <c r="BC158" s="32"/>
      <c r="BD158" s="32"/>
      <c r="BE158" s="32"/>
      <c r="BF158" s="32"/>
      <c r="BG158" s="32"/>
      <c r="BH158" s="32"/>
      <c r="BI158" s="32"/>
      <c r="BJ158" s="32"/>
      <c r="BK158" s="192"/>
      <c r="BL158" s="32"/>
      <c r="BM158" s="192"/>
      <c r="BN158" s="32"/>
      <c r="BO158" s="32"/>
      <c r="BP158" s="32"/>
      <c r="BQ158" s="32"/>
      <c r="BR158" s="32"/>
      <c r="BS158" s="32"/>
      <c r="BT158" s="32"/>
      <c r="BU158" s="32"/>
      <c r="BV158" s="32"/>
      <c r="BW158" s="32"/>
      <c r="BX158" s="32"/>
      <c r="BY158" s="32"/>
      <c r="BZ158" s="32"/>
      <c r="CA158" s="32"/>
      <c r="CB158" s="32"/>
      <c r="CC158" s="32"/>
      <c r="CD158" s="32"/>
      <c r="CE158" s="32"/>
      <c r="CF158" s="32"/>
      <c r="CG158" s="32"/>
      <c r="CH158" s="32"/>
      <c r="CI158" s="32"/>
      <c r="CJ158" s="32"/>
      <c r="CK158" s="32"/>
      <c r="CL158" s="32"/>
      <c r="CM158" s="32"/>
      <c r="CN158" s="32"/>
      <c r="CO158" s="32"/>
      <c r="CP158" s="32"/>
      <c r="CQ158" s="32"/>
      <c r="CR158" s="32"/>
      <c r="CS158" s="32"/>
      <c r="CT158" s="32"/>
      <c r="CU158" s="32"/>
      <c r="CV158" s="32"/>
      <c r="CW158" s="32"/>
      <c r="CX158" s="32"/>
      <c r="CY158" s="32"/>
      <c r="CZ158" s="32"/>
      <c r="DA158" s="32"/>
      <c r="DB158" s="32"/>
      <c r="DC158" s="32"/>
      <c r="DD158" s="32"/>
      <c r="DE158" s="32"/>
      <c r="DF158" s="32"/>
      <c r="DG158" s="32"/>
      <c r="DH158" s="32"/>
      <c r="DI158" s="32"/>
      <c r="DJ158" s="32"/>
      <c r="DK158" s="32"/>
      <c r="DL158" s="32"/>
      <c r="DM158" s="32"/>
      <c r="DN158" s="32"/>
      <c r="DO158" s="32"/>
      <c r="DP158" s="32"/>
      <c r="DQ158" s="32"/>
      <c r="DR158" s="32"/>
      <c r="DS158" s="13">
        <f>+MEDIAN(O158,Q158,S158)</f>
        <v>4096</v>
      </c>
      <c r="DT158" s="13">
        <f>+AVERAGE(O158,Q158,S158)</f>
        <v>4519.333333333333</v>
      </c>
      <c r="DU158" s="13">
        <f>+STDEV(O158,Q158,S158)</f>
        <v>817.78318234928997</v>
      </c>
      <c r="DV158" s="17">
        <f t="shared" si="20"/>
        <v>0.18095217193154375</v>
      </c>
      <c r="DW158" s="373">
        <f t="shared" si="21"/>
        <v>4096</v>
      </c>
      <c r="DX158" s="13">
        <f t="shared" si="19"/>
        <v>122880</v>
      </c>
      <c r="DY158" s="10" t="s">
        <v>309</v>
      </c>
    </row>
    <row r="159" spans="1:132" ht="26" hidden="1" x14ac:dyDescent="0.3">
      <c r="A159" s="19">
        <v>131</v>
      </c>
      <c r="B159" s="9" t="s">
        <v>15</v>
      </c>
      <c r="C159" s="20" t="s">
        <v>101</v>
      </c>
      <c r="D159" s="49" t="s">
        <v>107</v>
      </c>
      <c r="E159" s="10" t="s">
        <v>51</v>
      </c>
      <c r="F159" s="19" t="s">
        <v>19</v>
      </c>
      <c r="G159" s="21">
        <v>30</v>
      </c>
      <c r="H159" s="11">
        <v>1</v>
      </c>
      <c r="I159" s="191"/>
      <c r="J159" s="191"/>
      <c r="K159" s="191"/>
      <c r="L159" s="191"/>
      <c r="M159" s="191"/>
      <c r="N159" s="191"/>
      <c r="O159" s="211"/>
      <c r="P159" s="212"/>
      <c r="Q159" s="32"/>
      <c r="R159" s="32"/>
      <c r="S159" s="32"/>
      <c r="T159" s="32"/>
      <c r="U159" s="32"/>
      <c r="V159" s="32"/>
      <c r="W159" s="32"/>
      <c r="X159" s="32"/>
      <c r="Y159" s="32"/>
      <c r="Z159" s="32"/>
      <c r="AA159" s="32"/>
      <c r="AB159" s="32"/>
      <c r="AC159" s="32"/>
      <c r="AD159" s="32"/>
      <c r="AE159" s="32"/>
      <c r="AF159" s="32"/>
      <c r="AG159" s="32"/>
      <c r="AH159" s="32"/>
      <c r="AI159" s="32"/>
      <c r="AJ159" s="32"/>
      <c r="AK159" s="32"/>
      <c r="AL159" s="32"/>
      <c r="AM159" s="32"/>
      <c r="AN159" s="32"/>
      <c r="AO159" s="32"/>
      <c r="AP159" s="32"/>
      <c r="AQ159" s="32"/>
      <c r="AR159" s="32"/>
      <c r="AS159" s="32"/>
      <c r="AT159" s="32"/>
      <c r="AU159" s="32"/>
      <c r="AV159" s="32"/>
      <c r="AW159" s="32"/>
      <c r="AX159" s="32"/>
      <c r="AY159" s="32"/>
      <c r="AZ159" s="32"/>
      <c r="BA159" s="32"/>
      <c r="BB159" s="32"/>
      <c r="BC159" s="32"/>
      <c r="BD159" s="32"/>
      <c r="BE159" s="32"/>
      <c r="BF159" s="32"/>
      <c r="BG159" s="32"/>
      <c r="BH159" s="32"/>
      <c r="BI159" s="32"/>
      <c r="BJ159" s="32"/>
      <c r="BK159" s="192"/>
      <c r="BL159" s="32"/>
      <c r="BM159" s="192"/>
      <c r="BN159" s="32"/>
      <c r="BO159" s="32"/>
      <c r="BP159" s="32"/>
      <c r="BQ159" s="32"/>
      <c r="BR159" s="32"/>
      <c r="BS159" s="32"/>
      <c r="BT159" s="32"/>
      <c r="BU159" s="32"/>
      <c r="BV159" s="32"/>
      <c r="BW159" s="32"/>
      <c r="BX159" s="32"/>
      <c r="BY159" s="32"/>
      <c r="BZ159" s="32"/>
      <c r="CA159" s="32"/>
      <c r="CB159" s="32"/>
      <c r="CC159" s="32"/>
      <c r="CD159" s="32"/>
      <c r="CE159" s="32"/>
      <c r="CF159" s="32"/>
      <c r="CG159" s="32"/>
      <c r="CH159" s="32"/>
      <c r="CI159" s="32"/>
      <c r="CJ159" s="32"/>
      <c r="CK159" s="32"/>
      <c r="CL159" s="32"/>
      <c r="CM159" s="32"/>
      <c r="CN159" s="32"/>
      <c r="CO159" s="211">
        <v>6000</v>
      </c>
      <c r="CP159" s="32">
        <f>CO159*G159*106</f>
        <v>19080000</v>
      </c>
      <c r="CQ159" s="225"/>
      <c r="CR159" s="32"/>
      <c r="CS159" s="28">
        <v>7000</v>
      </c>
      <c r="CT159" s="25">
        <f>CS159*G159</f>
        <v>210000</v>
      </c>
      <c r="CU159" s="225"/>
      <c r="CV159" s="32"/>
      <c r="CW159" s="245"/>
      <c r="CX159" s="25"/>
      <c r="CY159" s="245"/>
      <c r="CZ159" s="25"/>
      <c r="DA159" s="25"/>
      <c r="DB159" s="25"/>
      <c r="DC159" s="245"/>
      <c r="DD159" s="25"/>
      <c r="DE159" s="25"/>
      <c r="DF159" s="25"/>
      <c r="DG159" s="25"/>
      <c r="DH159" s="25"/>
      <c r="DI159" s="25"/>
      <c r="DJ159" s="25"/>
      <c r="DK159" s="25"/>
      <c r="DL159" s="25"/>
      <c r="DM159" s="25"/>
      <c r="DN159" s="25"/>
      <c r="DO159" s="25"/>
      <c r="DP159" s="25"/>
      <c r="DQ159" s="25"/>
      <c r="DR159" s="25"/>
      <c r="DS159" s="13">
        <f>+MEDIAN(CO159,CS159)</f>
        <v>6500</v>
      </c>
      <c r="DT159" s="13">
        <f>+AVERAGE(CO159,CS159)</f>
        <v>6500</v>
      </c>
      <c r="DU159" s="13">
        <f>+STDEV(CO159,CS159)</f>
        <v>707.10678118654755</v>
      </c>
      <c r="DV159" s="17">
        <f t="shared" si="20"/>
        <v>0.10878565864408424</v>
      </c>
      <c r="DW159" s="373">
        <f t="shared" si="21"/>
        <v>6500</v>
      </c>
      <c r="DX159" s="13">
        <f t="shared" si="19"/>
        <v>195000</v>
      </c>
      <c r="DY159" s="10" t="s">
        <v>328</v>
      </c>
    </row>
    <row r="160" spans="1:132" ht="39" hidden="1" x14ac:dyDescent="0.3">
      <c r="A160" s="19">
        <v>132</v>
      </c>
      <c r="B160" s="9" t="s">
        <v>15</v>
      </c>
      <c r="C160" s="20" t="s">
        <v>101</v>
      </c>
      <c r="D160" s="26" t="s">
        <v>274</v>
      </c>
      <c r="E160" s="10" t="s">
        <v>52</v>
      </c>
      <c r="F160" s="19" t="s">
        <v>24</v>
      </c>
      <c r="G160" s="21">
        <v>20</v>
      </c>
      <c r="H160" s="11">
        <v>1</v>
      </c>
      <c r="I160" s="191"/>
      <c r="J160" s="191"/>
      <c r="K160" s="191"/>
      <c r="L160" s="191"/>
      <c r="M160" s="191"/>
      <c r="N160" s="191"/>
      <c r="O160" s="25">
        <v>11500</v>
      </c>
      <c r="P160" s="212">
        <f>O160*G160</f>
        <v>230000</v>
      </c>
      <c r="Q160" s="32"/>
      <c r="R160" s="32"/>
      <c r="S160" s="25">
        <v>12400</v>
      </c>
      <c r="T160" s="32">
        <f>S160*G160</f>
        <v>248000</v>
      </c>
      <c r="U160" s="32"/>
      <c r="V160" s="32"/>
      <c r="W160" s="32"/>
      <c r="X160" s="32"/>
      <c r="Y160" s="32"/>
      <c r="Z160" s="32"/>
      <c r="AA160" s="32"/>
      <c r="AB160" s="32"/>
      <c r="AC160" s="32"/>
      <c r="AD160" s="32"/>
      <c r="AE160" s="32"/>
      <c r="AF160" s="32"/>
      <c r="AG160" s="32"/>
      <c r="AH160" s="32"/>
      <c r="AI160" s="32"/>
      <c r="AJ160" s="32"/>
      <c r="AK160" s="32"/>
      <c r="AL160" s="32"/>
      <c r="AM160" s="32"/>
      <c r="AN160" s="32"/>
      <c r="AO160" s="32"/>
      <c r="AP160" s="32"/>
      <c r="AQ160" s="32"/>
      <c r="AR160" s="32"/>
      <c r="AS160" s="32"/>
      <c r="AT160" s="32"/>
      <c r="AU160" s="32"/>
      <c r="AV160" s="32"/>
      <c r="AW160" s="32"/>
      <c r="AX160" s="32"/>
      <c r="AY160" s="32"/>
      <c r="AZ160" s="32"/>
      <c r="BA160" s="32"/>
      <c r="BB160" s="32"/>
      <c r="BC160" s="32"/>
      <c r="BD160" s="32"/>
      <c r="BE160" s="32"/>
      <c r="BF160" s="32"/>
      <c r="BG160" s="32"/>
      <c r="BH160" s="32"/>
      <c r="BI160" s="32"/>
      <c r="BJ160" s="32"/>
      <c r="BK160" s="192"/>
      <c r="BL160" s="32"/>
      <c r="BM160" s="192"/>
      <c r="BN160" s="32"/>
      <c r="BO160" s="32"/>
      <c r="BP160" s="32"/>
      <c r="BQ160" s="32"/>
      <c r="BR160" s="32"/>
      <c r="BS160" s="32"/>
      <c r="BT160" s="32"/>
      <c r="BU160" s="32"/>
      <c r="BV160" s="32"/>
      <c r="BW160" s="32"/>
      <c r="BX160" s="32"/>
      <c r="BY160" s="32"/>
      <c r="BZ160" s="32"/>
      <c r="CA160" s="32"/>
      <c r="CB160" s="32"/>
      <c r="CC160" s="32"/>
      <c r="CD160" s="32"/>
      <c r="CE160" s="32"/>
      <c r="CF160" s="32"/>
      <c r="CG160" s="32"/>
      <c r="CH160" s="32"/>
      <c r="CI160" s="32"/>
      <c r="CJ160" s="32"/>
      <c r="CK160" s="32"/>
      <c r="CL160" s="32"/>
      <c r="CM160" s="32"/>
      <c r="CN160" s="32"/>
      <c r="CO160" s="32"/>
      <c r="CP160" s="32"/>
      <c r="CQ160" s="32"/>
      <c r="CR160" s="32"/>
      <c r="CS160" s="32"/>
      <c r="CT160" s="32"/>
      <c r="CU160" s="32"/>
      <c r="CV160" s="32"/>
      <c r="CW160" s="32"/>
      <c r="CX160" s="32"/>
      <c r="CY160" s="32"/>
      <c r="CZ160" s="32"/>
      <c r="DA160" s="32"/>
      <c r="DB160" s="32"/>
      <c r="DC160" s="32"/>
      <c r="DD160" s="32"/>
      <c r="DE160" s="32"/>
      <c r="DF160" s="32"/>
      <c r="DG160" s="32"/>
      <c r="DH160" s="32"/>
      <c r="DI160" s="32"/>
      <c r="DJ160" s="32"/>
      <c r="DK160" s="32"/>
      <c r="DL160" s="32"/>
      <c r="DM160" s="32"/>
      <c r="DN160" s="32"/>
      <c r="DO160" s="32"/>
      <c r="DP160" s="32"/>
      <c r="DQ160" s="32"/>
      <c r="DR160" s="32"/>
      <c r="DS160" s="13">
        <f>+MEDIAN(O160,S160)</f>
        <v>11950</v>
      </c>
      <c r="DT160" s="13">
        <f>+AVERAGE(O160,S160)</f>
        <v>11950</v>
      </c>
      <c r="DU160" s="13">
        <f>+STDEV(O160,S160)</f>
        <v>636.3961030678928</v>
      </c>
      <c r="DV160" s="17">
        <f t="shared" si="20"/>
        <v>5.3254904022417809E-2</v>
      </c>
      <c r="DW160" s="373">
        <f t="shared" si="21"/>
        <v>11950</v>
      </c>
      <c r="DX160" s="13">
        <f t="shared" si="19"/>
        <v>239000</v>
      </c>
      <c r="DY160" s="10" t="s">
        <v>308</v>
      </c>
    </row>
    <row r="161" spans="1:129" ht="26" hidden="1" x14ac:dyDescent="0.3">
      <c r="A161" s="19">
        <v>133</v>
      </c>
      <c r="B161" s="9" t="s">
        <v>15</v>
      </c>
      <c r="C161" s="20" t="s">
        <v>101</v>
      </c>
      <c r="D161" s="26" t="s">
        <v>106</v>
      </c>
      <c r="E161" s="10" t="s">
        <v>53</v>
      </c>
      <c r="F161" s="19" t="s">
        <v>19</v>
      </c>
      <c r="G161" s="21">
        <v>100</v>
      </c>
      <c r="H161" s="11">
        <v>1</v>
      </c>
      <c r="I161" s="191"/>
      <c r="J161" s="191"/>
      <c r="K161" s="191"/>
      <c r="L161" s="191"/>
      <c r="M161" s="191"/>
      <c r="N161" s="191"/>
      <c r="O161" s="211"/>
      <c r="P161" s="212"/>
      <c r="Q161" s="32"/>
      <c r="R161" s="32"/>
      <c r="S161" s="32"/>
      <c r="T161" s="32"/>
      <c r="U161" s="32"/>
      <c r="V161" s="32"/>
      <c r="W161" s="32"/>
      <c r="X161" s="32"/>
      <c r="Y161" s="32"/>
      <c r="Z161" s="32"/>
      <c r="AA161" s="32"/>
      <c r="AB161" s="32"/>
      <c r="AC161" s="32"/>
      <c r="AD161" s="32"/>
      <c r="AE161" s="32"/>
      <c r="AF161" s="32"/>
      <c r="AG161" s="32"/>
      <c r="AH161" s="32"/>
      <c r="AI161" s="32"/>
      <c r="AJ161" s="32"/>
      <c r="AK161" s="32"/>
      <c r="AL161" s="32"/>
      <c r="AM161" s="32"/>
      <c r="AN161" s="32"/>
      <c r="AO161" s="32"/>
      <c r="AP161" s="32"/>
      <c r="AQ161" s="32"/>
      <c r="AR161" s="32"/>
      <c r="AS161" s="32"/>
      <c r="AT161" s="32"/>
      <c r="AU161" s="32"/>
      <c r="AV161" s="32"/>
      <c r="AW161" s="32"/>
      <c r="AX161" s="32"/>
      <c r="AY161" s="32"/>
      <c r="AZ161" s="32"/>
      <c r="BA161" s="32"/>
      <c r="BB161" s="32"/>
      <c r="BC161" s="32"/>
      <c r="BD161" s="32"/>
      <c r="BE161" s="32"/>
      <c r="BF161" s="32"/>
      <c r="BG161" s="32"/>
      <c r="BH161" s="32"/>
      <c r="BI161" s="32"/>
      <c r="BJ161" s="32"/>
      <c r="BK161" s="192"/>
      <c r="BL161" s="32"/>
      <c r="BM161" s="192"/>
      <c r="BN161" s="32"/>
      <c r="BO161" s="32"/>
      <c r="BP161" s="32"/>
      <c r="BQ161" s="32"/>
      <c r="BR161" s="32"/>
      <c r="BS161" s="32"/>
      <c r="BT161" s="32"/>
      <c r="BU161" s="32"/>
      <c r="BV161" s="32"/>
      <c r="BW161" s="32"/>
      <c r="BX161" s="32"/>
      <c r="BY161" s="32"/>
      <c r="BZ161" s="32"/>
      <c r="CA161" s="32"/>
      <c r="CB161" s="32"/>
      <c r="CC161" s="32"/>
      <c r="CD161" s="32"/>
      <c r="CE161" s="32"/>
      <c r="CF161" s="32"/>
      <c r="CG161" s="32"/>
      <c r="CH161" s="32"/>
      <c r="CI161" s="32"/>
      <c r="CJ161" s="32"/>
      <c r="CK161" s="32"/>
      <c r="CL161" s="32"/>
      <c r="CM161" s="32"/>
      <c r="CN161" s="32"/>
      <c r="CO161" s="211"/>
      <c r="CP161" s="32"/>
      <c r="CQ161" s="225"/>
      <c r="CR161" s="32"/>
      <c r="CS161" s="28">
        <v>7000</v>
      </c>
      <c r="CT161" s="25">
        <f>CS161*G161</f>
        <v>700000</v>
      </c>
      <c r="CU161" s="225"/>
      <c r="CV161" s="25"/>
      <c r="CW161" s="245"/>
      <c r="CX161" s="25"/>
      <c r="CY161" s="245">
        <v>5000</v>
      </c>
      <c r="CZ161" s="25">
        <f>CY161*G161*H161</f>
        <v>500000</v>
      </c>
      <c r="DA161" s="25"/>
      <c r="DB161" s="25"/>
      <c r="DC161" s="245"/>
      <c r="DD161" s="25"/>
      <c r="DE161" s="25"/>
      <c r="DF161" s="25"/>
      <c r="DG161" s="25"/>
      <c r="DH161" s="25"/>
      <c r="DI161" s="25"/>
      <c r="DJ161" s="25"/>
      <c r="DK161" s="25"/>
      <c r="DL161" s="25"/>
      <c r="DM161" s="25"/>
      <c r="DN161" s="25"/>
      <c r="DO161" s="25"/>
      <c r="DP161" s="25"/>
      <c r="DQ161" s="25"/>
      <c r="DR161" s="25"/>
      <c r="DS161" s="13">
        <f>+MEDIAN(CS161,CY161)</f>
        <v>6000</v>
      </c>
      <c r="DT161" s="13">
        <f>+AVERAGE(CS161,CY161)</f>
        <v>6000</v>
      </c>
      <c r="DU161" s="13">
        <f>+STDEV(CS161,CY161)</f>
        <v>1414.2135623730951</v>
      </c>
      <c r="DV161" s="17">
        <f t="shared" si="20"/>
        <v>0.23570226039551584</v>
      </c>
      <c r="DW161" s="373">
        <f t="shared" si="21"/>
        <v>6000</v>
      </c>
      <c r="DX161" s="13">
        <f t="shared" si="19"/>
        <v>600000</v>
      </c>
      <c r="DY161" s="10" t="s">
        <v>322</v>
      </c>
    </row>
    <row r="162" spans="1:129" ht="91" hidden="1" x14ac:dyDescent="0.3">
      <c r="A162" s="19">
        <v>134</v>
      </c>
      <c r="B162" s="9" t="s">
        <v>15</v>
      </c>
      <c r="C162" s="20" t="s">
        <v>101</v>
      </c>
      <c r="D162" s="26" t="s">
        <v>103</v>
      </c>
      <c r="E162" s="10" t="s">
        <v>54</v>
      </c>
      <c r="F162" s="19" t="s">
        <v>19</v>
      </c>
      <c r="G162" s="21">
        <v>5</v>
      </c>
      <c r="H162" s="11">
        <v>1</v>
      </c>
      <c r="I162" s="191"/>
      <c r="J162" s="191"/>
      <c r="K162" s="191"/>
      <c r="L162" s="191"/>
      <c r="M162" s="191"/>
      <c r="N162" s="191"/>
      <c r="O162" s="211"/>
      <c r="P162" s="212"/>
      <c r="Q162" s="32"/>
      <c r="R162" s="32"/>
      <c r="S162" s="32"/>
      <c r="T162" s="32"/>
      <c r="U162" s="32"/>
      <c r="V162" s="32"/>
      <c r="W162" s="32"/>
      <c r="X162" s="32"/>
      <c r="Y162" s="32"/>
      <c r="Z162" s="32"/>
      <c r="AA162" s="32"/>
      <c r="AB162" s="32"/>
      <c r="AC162" s="32"/>
      <c r="AD162" s="32"/>
      <c r="AE162" s="32"/>
      <c r="AF162" s="32"/>
      <c r="AG162" s="32"/>
      <c r="AH162" s="32"/>
      <c r="AI162" s="32"/>
      <c r="AJ162" s="32"/>
      <c r="AK162" s="32"/>
      <c r="AL162" s="32"/>
      <c r="AM162" s="32"/>
      <c r="AN162" s="32"/>
      <c r="AO162" s="32"/>
      <c r="AP162" s="32"/>
      <c r="AQ162" s="32"/>
      <c r="AR162" s="32"/>
      <c r="AS162" s="32"/>
      <c r="AT162" s="32"/>
      <c r="AU162" s="32"/>
      <c r="AV162" s="32"/>
      <c r="AW162" s="32"/>
      <c r="AX162" s="32"/>
      <c r="AY162" s="32"/>
      <c r="AZ162" s="32"/>
      <c r="BA162" s="32"/>
      <c r="BB162" s="32"/>
      <c r="BC162" s="32"/>
      <c r="BD162" s="32"/>
      <c r="BE162" s="32"/>
      <c r="BF162" s="32"/>
      <c r="BG162" s="32"/>
      <c r="BH162" s="32"/>
      <c r="BI162" s="32"/>
      <c r="BJ162" s="32"/>
      <c r="BK162" s="192"/>
      <c r="BL162" s="32"/>
      <c r="BM162" s="192"/>
      <c r="BN162" s="32"/>
      <c r="BO162" s="32"/>
      <c r="BP162" s="32"/>
      <c r="BQ162" s="32"/>
      <c r="BR162" s="32"/>
      <c r="BS162" s="32"/>
      <c r="BT162" s="32"/>
      <c r="BU162" s="32"/>
      <c r="BV162" s="32"/>
      <c r="BW162" s="32"/>
      <c r="BX162" s="32"/>
      <c r="BY162" s="32"/>
      <c r="BZ162" s="32"/>
      <c r="CA162" s="32"/>
      <c r="CB162" s="32"/>
      <c r="CC162" s="32"/>
      <c r="CD162" s="32"/>
      <c r="CE162" s="32"/>
      <c r="CF162" s="32"/>
      <c r="CG162" s="32"/>
      <c r="CH162" s="32"/>
      <c r="CI162" s="32"/>
      <c r="CJ162" s="32"/>
      <c r="CK162" s="32"/>
      <c r="CL162" s="32"/>
      <c r="CM162" s="32"/>
      <c r="CN162" s="32"/>
      <c r="CO162" s="225"/>
      <c r="CP162" s="32"/>
      <c r="CQ162" s="225">
        <v>180000</v>
      </c>
      <c r="CR162" s="32">
        <f>CQ162*G162</f>
        <v>900000</v>
      </c>
      <c r="CS162" s="28"/>
      <c r="CT162" s="25"/>
      <c r="CU162" s="225">
        <v>180000</v>
      </c>
      <c r="CV162" s="25">
        <f>CU162*G162</f>
        <v>900000</v>
      </c>
      <c r="CW162" s="245"/>
      <c r="CX162" s="25"/>
      <c r="CY162" s="245">
        <v>100000</v>
      </c>
      <c r="CZ162" s="25">
        <f>CY162*G162*H162</f>
        <v>500000</v>
      </c>
      <c r="DA162" s="25"/>
      <c r="DB162" s="25"/>
      <c r="DC162" s="245"/>
      <c r="DD162" s="25"/>
      <c r="DE162" s="25"/>
      <c r="DF162" s="25"/>
      <c r="DG162" s="25"/>
      <c r="DH162" s="25"/>
      <c r="DI162" s="25"/>
      <c r="DJ162" s="25"/>
      <c r="DK162" s="25"/>
      <c r="DL162" s="25"/>
      <c r="DM162" s="25"/>
      <c r="DN162" s="25"/>
      <c r="DO162" s="25"/>
      <c r="DP162" s="25"/>
      <c r="DQ162" s="25"/>
      <c r="DR162" s="25"/>
      <c r="DS162" s="13">
        <f>+MEDIAN(CQ162,CU162,CY162)</f>
        <v>180000</v>
      </c>
      <c r="DT162" s="13">
        <f>+AVERAGE(CQ162,CU162,CY162)</f>
        <v>153333.33333333334</v>
      </c>
      <c r="DU162" s="13">
        <f>+STDEV(CQ162,CU162,CY162)</f>
        <v>46188.02153517009</v>
      </c>
      <c r="DV162" s="17">
        <f t="shared" si="20"/>
        <v>0.3012262274032832</v>
      </c>
      <c r="DW162" s="373">
        <f t="shared" si="21"/>
        <v>180000</v>
      </c>
      <c r="DX162" s="13">
        <f t="shared" si="19"/>
        <v>900000</v>
      </c>
      <c r="DY162" s="10" t="s">
        <v>322</v>
      </c>
    </row>
    <row r="163" spans="1:129" ht="78" hidden="1" x14ac:dyDescent="0.3">
      <c r="A163" s="19">
        <v>135</v>
      </c>
      <c r="B163" s="9" t="s">
        <v>15</v>
      </c>
      <c r="C163" s="20" t="s">
        <v>101</v>
      </c>
      <c r="D163" s="9" t="s">
        <v>118</v>
      </c>
      <c r="E163" s="10" t="s">
        <v>119</v>
      </c>
      <c r="F163" s="9" t="s">
        <v>120</v>
      </c>
      <c r="G163" s="11">
        <v>7</v>
      </c>
      <c r="H163" s="11">
        <v>2</v>
      </c>
      <c r="I163" s="191"/>
      <c r="J163" s="191"/>
      <c r="K163" s="191"/>
      <c r="L163" s="191"/>
      <c r="M163" s="191"/>
      <c r="N163" s="191"/>
      <c r="O163" s="211"/>
      <c r="P163" s="21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c r="BI163" s="32"/>
      <c r="BJ163" s="32"/>
      <c r="BK163" s="192"/>
      <c r="BL163" s="32"/>
      <c r="BM163" s="192"/>
      <c r="BN163" s="32"/>
      <c r="BO163" s="32"/>
      <c r="BP163" s="32"/>
      <c r="BQ163" s="32"/>
      <c r="BR163" s="32"/>
      <c r="BS163" s="32"/>
      <c r="BT163" s="32"/>
      <c r="BU163" s="32"/>
      <c r="BV163" s="32"/>
      <c r="BW163" s="32"/>
      <c r="BX163" s="32"/>
      <c r="BY163" s="32"/>
      <c r="BZ163" s="32"/>
      <c r="CA163" s="32"/>
      <c r="CB163" s="32"/>
      <c r="CC163" s="32"/>
      <c r="CD163" s="32"/>
      <c r="CE163" s="32"/>
      <c r="CF163" s="32"/>
      <c r="CG163" s="32"/>
      <c r="CH163" s="32"/>
      <c r="CI163" s="32"/>
      <c r="CJ163" s="32"/>
      <c r="CK163" s="32"/>
      <c r="CL163" s="32"/>
      <c r="CM163" s="32"/>
      <c r="CN163" s="32"/>
      <c r="CO163" s="32">
        <v>200000</v>
      </c>
      <c r="CP163" s="32">
        <f>CO163*G163*H163</f>
        <v>2800000</v>
      </c>
      <c r="CQ163" s="225">
        <v>190000</v>
      </c>
      <c r="CR163" s="32">
        <f>CQ163*G163*H163</f>
        <v>2660000</v>
      </c>
      <c r="CS163" s="224">
        <v>150000</v>
      </c>
      <c r="CT163" s="32">
        <f>CS163*G163*H163</f>
        <v>2100000</v>
      </c>
      <c r="CU163" s="225">
        <v>190000</v>
      </c>
      <c r="CV163" s="32">
        <f>CU163*G163*H163</f>
        <v>2660000</v>
      </c>
      <c r="CW163" s="245"/>
      <c r="CX163" s="32"/>
      <c r="CY163" s="245"/>
      <c r="CZ163" s="32"/>
      <c r="DA163" s="32"/>
      <c r="DB163" s="32"/>
      <c r="DC163" s="245"/>
      <c r="DD163" s="32"/>
      <c r="DE163" s="32"/>
      <c r="DF163" s="32"/>
      <c r="DG163" s="32"/>
      <c r="DH163" s="32"/>
      <c r="DI163" s="32"/>
      <c r="DJ163" s="32"/>
      <c r="DK163" s="32"/>
      <c r="DL163" s="32"/>
      <c r="DM163" s="32"/>
      <c r="DN163" s="32"/>
      <c r="DO163" s="32"/>
      <c r="DP163" s="32"/>
      <c r="DQ163" s="32"/>
      <c r="DR163" s="32"/>
      <c r="DS163" s="13">
        <f>+MEDIAN(CO163,CQ163,CS163,CU163)</f>
        <v>190000</v>
      </c>
      <c r="DT163" s="13">
        <f>+AVERAGE(CO163,CQ163,CS163,CU163)</f>
        <v>182500</v>
      </c>
      <c r="DU163" s="13">
        <f>+STDEV(CO163,CQ163,CS163,CU163)</f>
        <v>22173.557826083452</v>
      </c>
      <c r="DV163" s="17">
        <f t="shared" si="20"/>
        <v>0.12149894699223809</v>
      </c>
      <c r="DW163" s="373">
        <f t="shared" si="21"/>
        <v>182500</v>
      </c>
      <c r="DX163" s="13">
        <f t="shared" si="19"/>
        <v>2555000</v>
      </c>
      <c r="DY163" s="10" t="s">
        <v>328</v>
      </c>
    </row>
    <row r="164" spans="1:129" ht="39" hidden="1" x14ac:dyDescent="0.3">
      <c r="A164" s="19">
        <v>136</v>
      </c>
      <c r="B164" s="9" t="s">
        <v>15</v>
      </c>
      <c r="C164" s="20" t="s">
        <v>101</v>
      </c>
      <c r="D164" s="9" t="s">
        <v>152</v>
      </c>
      <c r="E164" s="10" t="s">
        <v>153</v>
      </c>
      <c r="F164" s="9" t="s">
        <v>19</v>
      </c>
      <c r="G164" s="11">
        <v>35</v>
      </c>
      <c r="H164" s="11">
        <v>1</v>
      </c>
      <c r="I164" s="191"/>
      <c r="J164" s="191"/>
      <c r="K164" s="191"/>
      <c r="L164" s="191"/>
      <c r="M164" s="191"/>
      <c r="N164" s="191"/>
      <c r="O164" s="211"/>
      <c r="P164" s="212"/>
      <c r="Q164" s="32"/>
      <c r="R164" s="32"/>
      <c r="S164" s="32"/>
      <c r="T164" s="32"/>
      <c r="U164" s="25">
        <v>148</v>
      </c>
      <c r="V164" s="32">
        <f>U164*G164</f>
        <v>5180</v>
      </c>
      <c r="W164" s="25">
        <v>180</v>
      </c>
      <c r="X164" s="32">
        <f>W164*G164</f>
        <v>6300</v>
      </c>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c r="BI164" s="32"/>
      <c r="BJ164" s="32"/>
      <c r="BK164" s="192"/>
      <c r="BL164" s="32"/>
      <c r="BM164" s="192"/>
      <c r="BN164" s="32"/>
      <c r="BO164" s="32"/>
      <c r="BP164" s="32"/>
      <c r="BQ164" s="32"/>
      <c r="BR164" s="32"/>
      <c r="BS164" s="32"/>
      <c r="BT164" s="32"/>
      <c r="BU164" s="32"/>
      <c r="BV164" s="32"/>
      <c r="BW164" s="32"/>
      <c r="BX164" s="32"/>
      <c r="BY164" s="32"/>
      <c r="BZ164" s="32"/>
      <c r="CA164" s="32"/>
      <c r="CB164" s="32"/>
      <c r="CC164" s="32"/>
      <c r="CD164" s="32"/>
      <c r="CE164" s="32"/>
      <c r="CF164" s="32"/>
      <c r="CG164" s="32"/>
      <c r="CH164" s="32"/>
      <c r="CI164" s="32"/>
      <c r="CJ164" s="32"/>
      <c r="CK164" s="32"/>
      <c r="CL164" s="32"/>
      <c r="CM164" s="32"/>
      <c r="CN164" s="32"/>
      <c r="CO164" s="32"/>
      <c r="CP164" s="32"/>
      <c r="CQ164" s="32"/>
      <c r="CR164" s="32"/>
      <c r="CS164" s="32"/>
      <c r="CT164" s="32"/>
      <c r="CU164" s="32"/>
      <c r="CV164" s="32"/>
      <c r="CW164" s="32"/>
      <c r="CX164" s="32"/>
      <c r="CY164" s="32"/>
      <c r="CZ164" s="32"/>
      <c r="DA164" s="32"/>
      <c r="DB164" s="32"/>
      <c r="DC164" s="32"/>
      <c r="DD164" s="32"/>
      <c r="DE164" s="32"/>
      <c r="DF164" s="32"/>
      <c r="DG164" s="32"/>
      <c r="DH164" s="32"/>
      <c r="DI164" s="32"/>
      <c r="DJ164" s="32"/>
      <c r="DK164" s="32"/>
      <c r="DL164" s="32"/>
      <c r="DM164" s="32"/>
      <c r="DN164" s="32"/>
      <c r="DO164" s="32"/>
      <c r="DP164" s="32"/>
      <c r="DQ164" s="32"/>
      <c r="DR164" s="32"/>
      <c r="DS164" s="265">
        <f>MEDIAN(U164,W164)</f>
        <v>164</v>
      </c>
      <c r="DT164" s="265">
        <f>AVERAGE(U164,W164)</f>
        <v>164</v>
      </c>
      <c r="DU164" s="265">
        <f>STDEV(U164,W164)</f>
        <v>22.627416997969522</v>
      </c>
      <c r="DV164" s="48">
        <f t="shared" ref="DV164:DV171" si="22">DU164/DT164</f>
        <v>0.13797205486566783</v>
      </c>
      <c r="DW164" s="377">
        <f>ROUNDUP(IF(DV164&lt;15%,DT164,DS164),0)</f>
        <v>164</v>
      </c>
      <c r="DX164" s="13">
        <f t="shared" si="19"/>
        <v>5740</v>
      </c>
      <c r="DY164" s="10" t="s">
        <v>313</v>
      </c>
    </row>
    <row r="165" spans="1:129" ht="39" hidden="1" x14ac:dyDescent="0.3">
      <c r="A165" s="19">
        <v>137</v>
      </c>
      <c r="B165" s="9" t="s">
        <v>15</v>
      </c>
      <c r="C165" s="20" t="s">
        <v>101</v>
      </c>
      <c r="D165" s="26" t="s">
        <v>269</v>
      </c>
      <c r="E165" s="10" t="s">
        <v>47</v>
      </c>
      <c r="F165" s="19" t="s">
        <v>24</v>
      </c>
      <c r="G165" s="99">
        <v>8</v>
      </c>
      <c r="H165" s="11">
        <v>1</v>
      </c>
      <c r="I165" s="191"/>
      <c r="J165" s="191"/>
      <c r="K165" s="191"/>
      <c r="L165" s="191"/>
      <c r="M165" s="191"/>
      <c r="N165" s="191"/>
      <c r="O165" s="211"/>
      <c r="P165" s="212"/>
      <c r="Q165" s="25">
        <v>12000</v>
      </c>
      <c r="R165" s="32">
        <f>Q165*G168</f>
        <v>96000</v>
      </c>
      <c r="S165" s="25">
        <v>10500</v>
      </c>
      <c r="T165" s="32">
        <f>S165*G168</f>
        <v>84000</v>
      </c>
      <c r="U165" s="32"/>
      <c r="V165" s="32"/>
      <c r="W165" s="32"/>
      <c r="X165" s="32"/>
      <c r="Y165" s="32"/>
      <c r="Z165" s="32"/>
      <c r="AA165" s="32"/>
      <c r="AB165" s="32"/>
      <c r="AC165" s="32"/>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c r="BI165" s="32"/>
      <c r="BJ165" s="32"/>
      <c r="BK165" s="192"/>
      <c r="BL165" s="32"/>
      <c r="BM165" s="192"/>
      <c r="BN165" s="32"/>
      <c r="BO165" s="32"/>
      <c r="BP165" s="32"/>
      <c r="BQ165" s="32"/>
      <c r="BR165" s="32"/>
      <c r="BS165" s="32"/>
      <c r="BT165" s="32"/>
      <c r="BU165" s="32"/>
      <c r="BV165" s="32"/>
      <c r="BW165" s="32"/>
      <c r="BX165" s="32"/>
      <c r="BY165" s="32"/>
      <c r="BZ165" s="32"/>
      <c r="CA165" s="32"/>
      <c r="CB165" s="32"/>
      <c r="CC165" s="32"/>
      <c r="CD165" s="32"/>
      <c r="CE165" s="32"/>
      <c r="CF165" s="32"/>
      <c r="CG165" s="32"/>
      <c r="CH165" s="32"/>
      <c r="CI165" s="32"/>
      <c r="CJ165" s="32"/>
      <c r="CK165" s="32"/>
      <c r="CL165" s="32"/>
      <c r="CM165" s="32"/>
      <c r="CN165" s="32"/>
      <c r="CO165" s="32"/>
      <c r="CP165" s="32"/>
      <c r="CQ165" s="32"/>
      <c r="CR165" s="32"/>
      <c r="CS165" s="32"/>
      <c r="CT165" s="32"/>
      <c r="CU165" s="32"/>
      <c r="CV165" s="32"/>
      <c r="CW165" s="32"/>
      <c r="CX165" s="32"/>
      <c r="CY165" s="32"/>
      <c r="CZ165" s="32"/>
      <c r="DA165" s="32"/>
      <c r="DB165" s="32"/>
      <c r="DC165" s="32"/>
      <c r="DD165" s="32"/>
      <c r="DE165" s="32"/>
      <c r="DF165" s="32"/>
      <c r="DG165" s="32"/>
      <c r="DH165" s="32"/>
      <c r="DI165" s="32"/>
      <c r="DJ165" s="32"/>
      <c r="DK165" s="32"/>
      <c r="DL165" s="32"/>
      <c r="DM165" s="32"/>
      <c r="DN165" s="32"/>
      <c r="DO165" s="32"/>
      <c r="DP165" s="32"/>
      <c r="DQ165" s="32"/>
      <c r="DR165" s="32"/>
      <c r="DS165" s="13">
        <f>+MEDIAN(Q165,S165)</f>
        <v>11250</v>
      </c>
      <c r="DT165" s="13">
        <f>+AVERAGE(Q165,S165)</f>
        <v>11250</v>
      </c>
      <c r="DU165" s="13">
        <f>+STDEV(Q165,S165)</f>
        <v>1060.6601717798212</v>
      </c>
      <c r="DV165" s="17">
        <f t="shared" si="22"/>
        <v>9.4280904158206336E-2</v>
      </c>
      <c r="DW165" s="373">
        <f t="shared" ref="DW165:DW171" si="23">+ROUNDUP(IF(DV165&lt;15%,DT165,DS165),0)</f>
        <v>11250</v>
      </c>
      <c r="DX165" s="13">
        <f t="shared" si="19"/>
        <v>90000</v>
      </c>
      <c r="DY165" s="10" t="s">
        <v>308</v>
      </c>
    </row>
    <row r="166" spans="1:129" ht="39" hidden="1" x14ac:dyDescent="0.3">
      <c r="A166" s="19">
        <v>138</v>
      </c>
      <c r="B166" s="9" t="s">
        <v>15</v>
      </c>
      <c r="C166" s="20" t="s">
        <v>101</v>
      </c>
      <c r="D166" s="26" t="s">
        <v>104</v>
      </c>
      <c r="E166" s="10" t="s">
        <v>48</v>
      </c>
      <c r="F166" s="19" t="s">
        <v>40</v>
      </c>
      <c r="G166" s="99">
        <v>8</v>
      </c>
      <c r="H166" s="11">
        <v>1</v>
      </c>
      <c r="I166" s="191"/>
      <c r="J166" s="191"/>
      <c r="K166" s="191"/>
      <c r="L166" s="191"/>
      <c r="M166" s="191"/>
      <c r="N166" s="191"/>
      <c r="O166" s="25">
        <v>1155</v>
      </c>
      <c r="P166" s="212">
        <f>O166*G166</f>
        <v>9240</v>
      </c>
      <c r="Q166" s="25">
        <v>1350</v>
      </c>
      <c r="R166" s="32">
        <f>Q166*G166</f>
        <v>10800</v>
      </c>
      <c r="S166" s="25">
        <v>820</v>
      </c>
      <c r="T166" s="32">
        <f>S166*G166</f>
        <v>6560</v>
      </c>
      <c r="U166" s="25">
        <v>1000</v>
      </c>
      <c r="V166" s="32">
        <f>U166*G166</f>
        <v>8000</v>
      </c>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c r="BI166" s="32"/>
      <c r="BJ166" s="32"/>
      <c r="BK166" s="192"/>
      <c r="BL166" s="32"/>
      <c r="BM166" s="192"/>
      <c r="BN166" s="32"/>
      <c r="BO166" s="32"/>
      <c r="BP166" s="32"/>
      <c r="BQ166" s="32"/>
      <c r="BR166" s="32"/>
      <c r="BS166" s="32"/>
      <c r="BT166" s="32"/>
      <c r="BU166" s="32"/>
      <c r="BV166" s="32"/>
      <c r="BW166" s="32"/>
      <c r="BX166" s="32"/>
      <c r="BY166" s="32"/>
      <c r="BZ166" s="32"/>
      <c r="CA166" s="32"/>
      <c r="CB166" s="32"/>
      <c r="CC166" s="32"/>
      <c r="CD166" s="32"/>
      <c r="CE166" s="32"/>
      <c r="CF166" s="32"/>
      <c r="CG166" s="32"/>
      <c r="CH166" s="32"/>
      <c r="CI166" s="32"/>
      <c r="CJ166" s="32"/>
      <c r="CK166" s="32"/>
      <c r="CL166" s="32"/>
      <c r="CM166" s="32"/>
      <c r="CN166" s="32"/>
      <c r="CO166" s="32"/>
      <c r="CP166" s="32"/>
      <c r="CQ166" s="32"/>
      <c r="CR166" s="32"/>
      <c r="CS166" s="32"/>
      <c r="CT166" s="32"/>
      <c r="CU166" s="32"/>
      <c r="CV166" s="32"/>
      <c r="CW166" s="32"/>
      <c r="CX166" s="32"/>
      <c r="CY166" s="32"/>
      <c r="CZ166" s="32"/>
      <c r="DA166" s="32"/>
      <c r="DB166" s="32"/>
      <c r="DC166" s="32"/>
      <c r="DD166" s="32"/>
      <c r="DE166" s="32"/>
      <c r="DF166" s="32"/>
      <c r="DG166" s="32"/>
      <c r="DH166" s="32"/>
      <c r="DI166" s="32"/>
      <c r="DJ166" s="32"/>
      <c r="DK166" s="32"/>
      <c r="DL166" s="32"/>
      <c r="DM166" s="32"/>
      <c r="DN166" s="32"/>
      <c r="DO166" s="32"/>
      <c r="DP166" s="32"/>
      <c r="DQ166" s="32"/>
      <c r="DR166" s="32"/>
      <c r="DS166" s="13">
        <f>+MEDIAN(O166,Q166,S166,U166)</f>
        <v>1077.5</v>
      </c>
      <c r="DT166" s="13">
        <f>+AVERAGE(O166,Q166,S166,U166)</f>
        <v>1081.25</v>
      </c>
      <c r="DU166" s="13">
        <f>+STDEV(O166,Q166,S166,U166)</f>
        <v>225.47634761396446</v>
      </c>
      <c r="DV166" s="17">
        <f t="shared" si="22"/>
        <v>0.20853303825568967</v>
      </c>
      <c r="DW166" s="373">
        <f t="shared" si="23"/>
        <v>1078</v>
      </c>
      <c r="DX166" s="13">
        <f t="shared" si="19"/>
        <v>8624</v>
      </c>
      <c r="DY166" s="10" t="s">
        <v>309</v>
      </c>
    </row>
    <row r="167" spans="1:129" ht="39" hidden="1" x14ac:dyDescent="0.3">
      <c r="A167" s="19">
        <v>139</v>
      </c>
      <c r="B167" s="9" t="s">
        <v>15</v>
      </c>
      <c r="C167" s="20" t="s">
        <v>101</v>
      </c>
      <c r="D167" s="26" t="s">
        <v>105</v>
      </c>
      <c r="E167" s="10" t="s">
        <v>49</v>
      </c>
      <c r="F167" s="19" t="s">
        <v>40</v>
      </c>
      <c r="G167" s="99">
        <v>8</v>
      </c>
      <c r="H167" s="11">
        <v>1</v>
      </c>
      <c r="I167" s="191"/>
      <c r="J167" s="191"/>
      <c r="K167" s="191"/>
      <c r="L167" s="191"/>
      <c r="M167" s="191"/>
      <c r="N167" s="191"/>
      <c r="O167" s="211"/>
      <c r="P167" s="212"/>
      <c r="Q167" s="32"/>
      <c r="R167" s="32"/>
      <c r="S167" s="32"/>
      <c r="T167" s="32"/>
      <c r="U167" s="25">
        <v>1900</v>
      </c>
      <c r="V167" s="32">
        <f>U167*G167</f>
        <v>15200</v>
      </c>
      <c r="W167" s="279">
        <v>2000</v>
      </c>
      <c r="X167" s="32">
        <f>W167*G167</f>
        <v>16000</v>
      </c>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c r="BI167" s="32"/>
      <c r="BJ167" s="32"/>
      <c r="BK167" s="192"/>
      <c r="BL167" s="32"/>
      <c r="BM167" s="192"/>
      <c r="BN167" s="32"/>
      <c r="BO167" s="32"/>
      <c r="BP167" s="32"/>
      <c r="BQ167" s="32"/>
      <c r="BR167" s="32"/>
      <c r="BS167" s="32"/>
      <c r="BT167" s="32"/>
      <c r="BU167" s="32"/>
      <c r="BV167" s="32"/>
      <c r="BW167" s="32"/>
      <c r="BX167" s="32"/>
      <c r="BY167" s="32"/>
      <c r="BZ167" s="32"/>
      <c r="CA167" s="32"/>
      <c r="CB167" s="32"/>
      <c r="CC167" s="32"/>
      <c r="CD167" s="32"/>
      <c r="CE167" s="32"/>
      <c r="CF167" s="32"/>
      <c r="CG167" s="32"/>
      <c r="CH167" s="32"/>
      <c r="CI167" s="32"/>
      <c r="CJ167" s="32"/>
      <c r="CK167" s="32"/>
      <c r="CL167" s="32"/>
      <c r="CM167" s="32"/>
      <c r="CN167" s="32"/>
      <c r="CO167" s="32"/>
      <c r="CP167" s="32"/>
      <c r="CQ167" s="32"/>
      <c r="CR167" s="32"/>
      <c r="CS167" s="32"/>
      <c r="CT167" s="32"/>
      <c r="CU167" s="32"/>
      <c r="CV167" s="32"/>
      <c r="CW167" s="32"/>
      <c r="CX167" s="32"/>
      <c r="CY167" s="32"/>
      <c r="CZ167" s="32"/>
      <c r="DA167" s="32"/>
      <c r="DB167" s="32"/>
      <c r="DC167" s="32"/>
      <c r="DD167" s="32"/>
      <c r="DE167" s="32"/>
      <c r="DF167" s="32"/>
      <c r="DG167" s="32"/>
      <c r="DH167" s="32"/>
      <c r="DI167" s="32"/>
      <c r="DJ167" s="32"/>
      <c r="DK167" s="32"/>
      <c r="DL167" s="32"/>
      <c r="DM167" s="32"/>
      <c r="DN167" s="32"/>
      <c r="DO167" s="32"/>
      <c r="DP167" s="32"/>
      <c r="DQ167" s="32"/>
      <c r="DR167" s="32"/>
      <c r="DS167" s="13">
        <f>+MEDIAN(U167,W167)</f>
        <v>1950</v>
      </c>
      <c r="DT167" s="13">
        <f>+AVERAGE(U167,W167)</f>
        <v>1950</v>
      </c>
      <c r="DU167" s="13">
        <f>+STDEV(U167,W167)</f>
        <v>70.710678118654755</v>
      </c>
      <c r="DV167" s="17">
        <f t="shared" si="22"/>
        <v>3.6261886214694748E-2</v>
      </c>
      <c r="DW167" s="373">
        <f t="shared" si="23"/>
        <v>1950</v>
      </c>
      <c r="DX167" s="13">
        <f t="shared" si="19"/>
        <v>15600</v>
      </c>
      <c r="DY167" s="10" t="s">
        <v>308</v>
      </c>
    </row>
    <row r="168" spans="1:129" ht="39" hidden="1" x14ac:dyDescent="0.3">
      <c r="A168" s="19">
        <v>140</v>
      </c>
      <c r="B168" s="9" t="s">
        <v>15</v>
      </c>
      <c r="C168" s="20" t="s">
        <v>101</v>
      </c>
      <c r="D168" s="49" t="s">
        <v>272</v>
      </c>
      <c r="E168" s="10" t="s">
        <v>50</v>
      </c>
      <c r="F168" s="19" t="s">
        <v>273</v>
      </c>
      <c r="G168" s="99">
        <v>8</v>
      </c>
      <c r="H168" s="11">
        <v>1</v>
      </c>
      <c r="I168" s="191"/>
      <c r="J168" s="191"/>
      <c r="K168" s="191"/>
      <c r="L168" s="191"/>
      <c r="M168" s="191"/>
      <c r="N168" s="191"/>
      <c r="O168" s="25">
        <v>5462</v>
      </c>
      <c r="P168" s="212">
        <f>O168*G168</f>
        <v>43696</v>
      </c>
      <c r="Q168" s="25">
        <v>4000</v>
      </c>
      <c r="R168" s="32">
        <f>Q168*G168</f>
        <v>32000</v>
      </c>
      <c r="S168" s="25">
        <v>4096</v>
      </c>
      <c r="T168" s="32">
        <f>S168*G168</f>
        <v>32768</v>
      </c>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c r="BI168" s="32"/>
      <c r="BJ168" s="32"/>
      <c r="BK168" s="192"/>
      <c r="BL168" s="32"/>
      <c r="BM168" s="192"/>
      <c r="BN168" s="32"/>
      <c r="BO168" s="32"/>
      <c r="BP168" s="32"/>
      <c r="BQ168" s="32"/>
      <c r="BR168" s="32"/>
      <c r="BS168" s="32"/>
      <c r="BT168" s="32"/>
      <c r="BU168" s="32"/>
      <c r="BV168" s="32"/>
      <c r="BW168" s="32"/>
      <c r="BX168" s="32"/>
      <c r="BY168" s="32"/>
      <c r="BZ168" s="32"/>
      <c r="CA168" s="32"/>
      <c r="CB168" s="32"/>
      <c r="CC168" s="32"/>
      <c r="CD168" s="32"/>
      <c r="CE168" s="32"/>
      <c r="CF168" s="32"/>
      <c r="CG168" s="32"/>
      <c r="CH168" s="32"/>
      <c r="CI168" s="32"/>
      <c r="CJ168" s="32"/>
      <c r="CK168" s="32"/>
      <c r="CL168" s="32"/>
      <c r="CM168" s="32"/>
      <c r="CN168" s="32"/>
      <c r="CO168" s="32"/>
      <c r="CP168" s="32"/>
      <c r="CQ168" s="32"/>
      <c r="CR168" s="32"/>
      <c r="CS168" s="32"/>
      <c r="CT168" s="32"/>
      <c r="CU168" s="32"/>
      <c r="CV168" s="32"/>
      <c r="CW168" s="32"/>
      <c r="CX168" s="32"/>
      <c r="CY168" s="32"/>
      <c r="CZ168" s="32"/>
      <c r="DA168" s="32"/>
      <c r="DB168" s="32"/>
      <c r="DC168" s="32"/>
      <c r="DD168" s="32"/>
      <c r="DE168" s="32"/>
      <c r="DF168" s="32"/>
      <c r="DG168" s="32"/>
      <c r="DH168" s="32"/>
      <c r="DI168" s="32"/>
      <c r="DJ168" s="32"/>
      <c r="DK168" s="32"/>
      <c r="DL168" s="32"/>
      <c r="DM168" s="32"/>
      <c r="DN168" s="32"/>
      <c r="DO168" s="32"/>
      <c r="DP168" s="32"/>
      <c r="DQ168" s="32"/>
      <c r="DR168" s="32"/>
      <c r="DS168" s="13">
        <f>+MEDIAN(O168,Q168,S168)</f>
        <v>4096</v>
      </c>
      <c r="DT168" s="13">
        <f>+AVERAGE(O168,Q168,S168)</f>
        <v>4519.333333333333</v>
      </c>
      <c r="DU168" s="13">
        <f>+STDEV(O168,Q168,S168)</f>
        <v>817.78318234928997</v>
      </c>
      <c r="DV168" s="17">
        <f t="shared" si="22"/>
        <v>0.18095217193154375</v>
      </c>
      <c r="DW168" s="373">
        <f t="shared" si="23"/>
        <v>4096</v>
      </c>
      <c r="DX168" s="13">
        <f t="shared" si="19"/>
        <v>32768</v>
      </c>
      <c r="DY168" s="10" t="s">
        <v>309</v>
      </c>
    </row>
    <row r="169" spans="1:129" ht="39" hidden="1" x14ac:dyDescent="0.3">
      <c r="A169" s="19">
        <v>141</v>
      </c>
      <c r="B169" s="9" t="s">
        <v>15</v>
      </c>
      <c r="C169" s="20" t="s">
        <v>101</v>
      </c>
      <c r="D169" s="26" t="s">
        <v>274</v>
      </c>
      <c r="E169" s="10" t="s">
        <v>52</v>
      </c>
      <c r="F169" s="19" t="s">
        <v>24</v>
      </c>
      <c r="G169" s="21">
        <v>8</v>
      </c>
      <c r="H169" s="11">
        <v>1</v>
      </c>
      <c r="I169" s="191"/>
      <c r="J169" s="191"/>
      <c r="K169" s="191"/>
      <c r="L169" s="191"/>
      <c r="M169" s="191"/>
      <c r="N169" s="191"/>
      <c r="O169" s="25">
        <v>11500</v>
      </c>
      <c r="P169" s="212">
        <f>O169*G169</f>
        <v>92000</v>
      </c>
      <c r="Q169" s="32"/>
      <c r="R169" s="32"/>
      <c r="S169" s="25">
        <v>12400</v>
      </c>
      <c r="T169" s="32">
        <f>S169*G169</f>
        <v>99200</v>
      </c>
      <c r="U169" s="32"/>
      <c r="V169" s="32"/>
      <c r="W169" s="32"/>
      <c r="X169" s="32"/>
      <c r="Y169" s="32"/>
      <c r="Z169" s="32"/>
      <c r="AA169" s="32"/>
      <c r="AB169" s="32"/>
      <c r="AC169" s="32"/>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c r="BI169" s="32"/>
      <c r="BJ169" s="32"/>
      <c r="BK169" s="192"/>
      <c r="BL169" s="32"/>
      <c r="BM169" s="192"/>
      <c r="BN169" s="32"/>
      <c r="BO169" s="32"/>
      <c r="BP169" s="32"/>
      <c r="BQ169" s="32"/>
      <c r="BR169" s="32"/>
      <c r="BS169" s="32"/>
      <c r="BT169" s="32"/>
      <c r="BU169" s="32"/>
      <c r="BV169" s="32"/>
      <c r="BW169" s="32"/>
      <c r="BX169" s="32"/>
      <c r="BY169" s="32"/>
      <c r="BZ169" s="32"/>
      <c r="CA169" s="32"/>
      <c r="CB169" s="32"/>
      <c r="CC169" s="32"/>
      <c r="CD169" s="32"/>
      <c r="CE169" s="32"/>
      <c r="CF169" s="32"/>
      <c r="CG169" s="32"/>
      <c r="CH169" s="32"/>
      <c r="CI169" s="32"/>
      <c r="CJ169" s="32"/>
      <c r="CK169" s="32"/>
      <c r="CL169" s="32"/>
      <c r="CM169" s="32"/>
      <c r="CN169" s="32"/>
      <c r="CO169" s="32"/>
      <c r="CP169" s="32"/>
      <c r="CQ169" s="32"/>
      <c r="CR169" s="32"/>
      <c r="CS169" s="32"/>
      <c r="CT169" s="32"/>
      <c r="CU169" s="32"/>
      <c r="CV169" s="32"/>
      <c r="CW169" s="32"/>
      <c r="CX169" s="32"/>
      <c r="CY169" s="32"/>
      <c r="CZ169" s="32"/>
      <c r="DA169" s="32"/>
      <c r="DB169" s="32"/>
      <c r="DC169" s="32"/>
      <c r="DD169" s="32"/>
      <c r="DE169" s="32"/>
      <c r="DF169" s="32"/>
      <c r="DG169" s="32"/>
      <c r="DH169" s="32"/>
      <c r="DI169" s="32"/>
      <c r="DJ169" s="32"/>
      <c r="DK169" s="32"/>
      <c r="DL169" s="32"/>
      <c r="DM169" s="32"/>
      <c r="DN169" s="32"/>
      <c r="DO169" s="32"/>
      <c r="DP169" s="32"/>
      <c r="DQ169" s="32"/>
      <c r="DR169" s="32"/>
      <c r="DS169" s="13">
        <f>+MEDIAN(O169,S169)</f>
        <v>11950</v>
      </c>
      <c r="DT169" s="13">
        <f>+AVERAGE(O169,S169)</f>
        <v>11950</v>
      </c>
      <c r="DU169" s="13">
        <f>+STDEV(O169,S169)</f>
        <v>636.3961030678928</v>
      </c>
      <c r="DV169" s="17">
        <f t="shared" si="22"/>
        <v>5.3254904022417809E-2</v>
      </c>
      <c r="DW169" s="373">
        <f t="shared" si="23"/>
        <v>11950</v>
      </c>
      <c r="DX169" s="13">
        <f t="shared" si="19"/>
        <v>95600</v>
      </c>
      <c r="DY169" s="10" t="s">
        <v>308</v>
      </c>
    </row>
    <row r="170" spans="1:129" ht="195" hidden="1" x14ac:dyDescent="0.3">
      <c r="A170" s="19">
        <v>142</v>
      </c>
      <c r="B170" s="9" t="s">
        <v>15</v>
      </c>
      <c r="C170" s="20" t="s">
        <v>101</v>
      </c>
      <c r="D170" s="26" t="s">
        <v>364</v>
      </c>
      <c r="E170" s="10" t="s">
        <v>244</v>
      </c>
      <c r="F170" s="19" t="s">
        <v>19</v>
      </c>
      <c r="G170" s="21">
        <v>100</v>
      </c>
      <c r="H170" s="11">
        <v>1</v>
      </c>
      <c r="I170" s="191"/>
      <c r="J170" s="191"/>
      <c r="K170" s="191"/>
      <c r="L170" s="191"/>
      <c r="M170" s="191"/>
      <c r="N170" s="191"/>
      <c r="O170" s="211"/>
      <c r="P170" s="212"/>
      <c r="Q170" s="32"/>
      <c r="R170" s="32"/>
      <c r="S170" s="32"/>
      <c r="T170" s="32"/>
      <c r="U170" s="32"/>
      <c r="V170" s="32"/>
      <c r="W170" s="32"/>
      <c r="X170" s="32"/>
      <c r="Y170" s="32"/>
      <c r="Z170" s="32"/>
      <c r="AA170" s="32"/>
      <c r="AB170" s="32"/>
      <c r="AC170" s="32"/>
      <c r="AD170" s="32"/>
      <c r="AE170" s="32"/>
      <c r="AF170" s="32"/>
      <c r="AG170" s="32"/>
      <c r="AH170" s="32"/>
      <c r="AI170" s="32"/>
      <c r="AJ170" s="32"/>
      <c r="AK170" s="32">
        <v>27000</v>
      </c>
      <c r="AL170" s="32">
        <f>AK170*G170</f>
        <v>2700000</v>
      </c>
      <c r="AM170" s="32">
        <f>18000+(18000*5.2%)</f>
        <v>18936</v>
      </c>
      <c r="AN170" s="32">
        <f>AM170*G170</f>
        <v>1893600</v>
      </c>
      <c r="AO170" s="32">
        <f>13400+(13400*5.2%)</f>
        <v>14096.8</v>
      </c>
      <c r="AP170" s="32">
        <f>AO170*G170</f>
        <v>1409680</v>
      </c>
      <c r="AQ170" s="32">
        <f>16900+(16900*5.2%)</f>
        <v>17778.8</v>
      </c>
      <c r="AR170" s="32">
        <f>AQ170*G170</f>
        <v>1777880</v>
      </c>
      <c r="AS170" s="32"/>
      <c r="AT170" s="32"/>
      <c r="AU170" s="32"/>
      <c r="AV170" s="32"/>
      <c r="AW170" s="32"/>
      <c r="AX170" s="32"/>
      <c r="AY170" s="32"/>
      <c r="AZ170" s="32"/>
      <c r="BA170" s="32"/>
      <c r="BB170" s="32"/>
      <c r="BC170" s="32"/>
      <c r="BD170" s="32"/>
      <c r="BE170" s="32"/>
      <c r="BF170" s="32"/>
      <c r="BG170" s="32"/>
      <c r="BH170" s="32"/>
      <c r="BI170" s="32"/>
      <c r="BJ170" s="32"/>
      <c r="BK170" s="192"/>
      <c r="BL170" s="32"/>
      <c r="BM170" s="192"/>
      <c r="BN170" s="32"/>
      <c r="BO170" s="32"/>
      <c r="BP170" s="32"/>
      <c r="BQ170" s="32"/>
      <c r="BR170" s="32"/>
      <c r="BS170" s="32"/>
      <c r="BT170" s="32"/>
      <c r="BU170" s="32"/>
      <c r="BV170" s="32"/>
      <c r="BW170" s="32"/>
      <c r="BX170" s="32"/>
      <c r="BY170" s="32"/>
      <c r="BZ170" s="32"/>
      <c r="CA170" s="32"/>
      <c r="CB170" s="32"/>
      <c r="CC170" s="32"/>
      <c r="CD170" s="32"/>
      <c r="CE170" s="32"/>
      <c r="CF170" s="32"/>
      <c r="CG170" s="32"/>
      <c r="CH170" s="32"/>
      <c r="CI170" s="32"/>
      <c r="CJ170" s="32"/>
      <c r="CK170" s="32"/>
      <c r="CL170" s="32"/>
      <c r="CM170" s="32"/>
      <c r="CN170" s="32"/>
      <c r="CO170" s="32"/>
      <c r="CP170" s="32"/>
      <c r="CQ170" s="32"/>
      <c r="CR170" s="32"/>
      <c r="CS170" s="32"/>
      <c r="CT170" s="32"/>
      <c r="CU170" s="32"/>
      <c r="CV170" s="32"/>
      <c r="CW170" s="32"/>
      <c r="CX170" s="32"/>
      <c r="CY170" s="32"/>
      <c r="CZ170" s="32"/>
      <c r="DA170" s="32"/>
      <c r="DB170" s="32"/>
      <c r="DC170" s="32"/>
      <c r="DD170" s="32"/>
      <c r="DE170" s="32"/>
      <c r="DF170" s="32"/>
      <c r="DG170" s="32"/>
      <c r="DH170" s="32"/>
      <c r="DI170" s="32"/>
      <c r="DJ170" s="32"/>
      <c r="DK170" s="32"/>
      <c r="DL170" s="32"/>
      <c r="DM170" s="32"/>
      <c r="DN170" s="32"/>
      <c r="DO170" s="32"/>
      <c r="DP170" s="32"/>
      <c r="DQ170" s="32"/>
      <c r="DR170" s="32"/>
      <c r="DS170" s="13">
        <f>+MEDIAN(AK170,AM170,AO170,AQ170)</f>
        <v>18357.400000000001</v>
      </c>
      <c r="DT170" s="13">
        <f>+AVERAGE(AK170,AM170,AO170,AQ170)</f>
        <v>19452.900000000001</v>
      </c>
      <c r="DU170" s="13">
        <f>+STDEV(AK170,AM170,AO170,AQ170)</f>
        <v>5438.0242135049912</v>
      </c>
      <c r="DV170" s="17">
        <f t="shared" si="22"/>
        <v>0.27954825313989129</v>
      </c>
      <c r="DW170" s="373">
        <f t="shared" si="23"/>
        <v>18358</v>
      </c>
      <c r="DX170" s="13">
        <f t="shared" si="19"/>
        <v>1835800</v>
      </c>
      <c r="DY170" s="10" t="s">
        <v>309</v>
      </c>
    </row>
    <row r="171" spans="1:129" ht="78" hidden="1" x14ac:dyDescent="0.3">
      <c r="A171" s="19">
        <v>143</v>
      </c>
      <c r="B171" s="9" t="s">
        <v>15</v>
      </c>
      <c r="C171" s="20" t="s">
        <v>101</v>
      </c>
      <c r="D171" s="9" t="s">
        <v>118</v>
      </c>
      <c r="E171" s="10" t="s">
        <v>119</v>
      </c>
      <c r="F171" s="9" t="s">
        <v>120</v>
      </c>
      <c r="G171" s="11">
        <v>7</v>
      </c>
      <c r="H171" s="11">
        <v>2</v>
      </c>
      <c r="I171" s="191"/>
      <c r="J171" s="191"/>
      <c r="K171" s="191"/>
      <c r="L171" s="191"/>
      <c r="M171" s="191"/>
      <c r="N171" s="191"/>
      <c r="O171" s="211"/>
      <c r="P171" s="21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c r="BI171" s="32"/>
      <c r="BJ171" s="32"/>
      <c r="BK171" s="192"/>
      <c r="BL171" s="32"/>
      <c r="BM171" s="192"/>
      <c r="BN171" s="32"/>
      <c r="BO171" s="32"/>
      <c r="BP171" s="32"/>
      <c r="BQ171" s="32"/>
      <c r="BR171" s="32"/>
      <c r="BS171" s="32"/>
      <c r="BT171" s="32"/>
      <c r="BU171" s="32"/>
      <c r="BV171" s="32"/>
      <c r="BW171" s="32"/>
      <c r="BX171" s="32"/>
      <c r="BY171" s="32"/>
      <c r="BZ171" s="32"/>
      <c r="CA171" s="32"/>
      <c r="CB171" s="32"/>
      <c r="CC171" s="32"/>
      <c r="CD171" s="32"/>
      <c r="CE171" s="32"/>
      <c r="CF171" s="32"/>
      <c r="CG171" s="32"/>
      <c r="CH171" s="32"/>
      <c r="CI171" s="32"/>
      <c r="CJ171" s="32"/>
      <c r="CK171" s="32"/>
      <c r="CL171" s="32"/>
      <c r="CM171" s="32"/>
      <c r="CN171" s="32"/>
      <c r="CO171" s="32">
        <v>200000</v>
      </c>
      <c r="CP171" s="32">
        <f>CO171*G171*H171</f>
        <v>2800000</v>
      </c>
      <c r="CQ171" s="225">
        <v>190000</v>
      </c>
      <c r="CR171" s="32">
        <f>CQ171*G171*H171</f>
        <v>2660000</v>
      </c>
      <c r="CS171" s="224">
        <v>150000</v>
      </c>
      <c r="CT171" s="32">
        <f>CS171*G171*H171</f>
        <v>2100000</v>
      </c>
      <c r="CU171" s="225">
        <v>190000</v>
      </c>
      <c r="CV171" s="32">
        <f>CU171*G171*H171</f>
        <v>2660000</v>
      </c>
      <c r="CW171" s="245"/>
      <c r="CX171" s="32"/>
      <c r="CY171" s="245"/>
      <c r="CZ171" s="32"/>
      <c r="DA171" s="32"/>
      <c r="DB171" s="32"/>
      <c r="DC171" s="245"/>
      <c r="DD171" s="32"/>
      <c r="DE171" s="32"/>
      <c r="DF171" s="32"/>
      <c r="DG171" s="32"/>
      <c r="DH171" s="32"/>
      <c r="DI171" s="32"/>
      <c r="DJ171" s="32"/>
      <c r="DK171" s="32"/>
      <c r="DL171" s="32"/>
      <c r="DM171" s="32"/>
      <c r="DN171" s="32"/>
      <c r="DO171" s="32"/>
      <c r="DP171" s="32"/>
      <c r="DQ171" s="32"/>
      <c r="DR171" s="32"/>
      <c r="DS171" s="13">
        <f>+MEDIAN(CO171,CQ171,CS171,CU171)</f>
        <v>190000</v>
      </c>
      <c r="DT171" s="13">
        <f>+AVERAGE(CO171,CQ171,CS171,CU171)</f>
        <v>182500</v>
      </c>
      <c r="DU171" s="13">
        <f>+STDEV(CO171,CQ171,CS171,CU171)</f>
        <v>22173.557826083452</v>
      </c>
      <c r="DV171" s="17">
        <f t="shared" si="22"/>
        <v>0.12149894699223809</v>
      </c>
      <c r="DW171" s="373">
        <f t="shared" si="23"/>
        <v>182500</v>
      </c>
      <c r="DX171" s="13">
        <f t="shared" si="19"/>
        <v>2555000</v>
      </c>
      <c r="DY171" s="10" t="s">
        <v>456</v>
      </c>
    </row>
    <row r="172" spans="1:129" ht="195" hidden="1" x14ac:dyDescent="0.3">
      <c r="A172" s="19">
        <v>144</v>
      </c>
      <c r="B172" s="9" t="s">
        <v>15</v>
      </c>
      <c r="C172" s="20" t="s">
        <v>101</v>
      </c>
      <c r="D172" s="26" t="s">
        <v>364</v>
      </c>
      <c r="E172" s="10" t="s">
        <v>244</v>
      </c>
      <c r="F172" s="19" t="s">
        <v>19</v>
      </c>
      <c r="G172" s="21">
        <v>100</v>
      </c>
      <c r="H172" s="11">
        <v>1</v>
      </c>
      <c r="I172" s="191"/>
      <c r="J172" s="191"/>
      <c r="K172" s="191"/>
      <c r="L172" s="191"/>
      <c r="M172" s="191"/>
      <c r="N172" s="191"/>
      <c r="O172" s="211"/>
      <c r="P172" s="212"/>
      <c r="Q172" s="32"/>
      <c r="R172" s="32"/>
      <c r="S172" s="32"/>
      <c r="T172" s="32"/>
      <c r="U172" s="32"/>
      <c r="V172" s="32"/>
      <c r="W172" s="32"/>
      <c r="X172" s="32"/>
      <c r="Y172" s="32"/>
      <c r="Z172" s="32"/>
      <c r="AA172" s="32"/>
      <c r="AB172" s="32"/>
      <c r="AC172" s="32"/>
      <c r="AD172" s="32"/>
      <c r="AE172" s="32"/>
      <c r="AF172" s="32"/>
      <c r="AG172" s="32"/>
      <c r="AH172" s="32"/>
      <c r="AI172" s="32"/>
      <c r="AJ172" s="32"/>
      <c r="AK172" s="32">
        <v>27000</v>
      </c>
      <c r="AL172" s="32">
        <f>AK172*G172</f>
        <v>2700000</v>
      </c>
      <c r="AM172" s="32">
        <f>18000+(18000*5.2%)</f>
        <v>18936</v>
      </c>
      <c r="AN172" s="32">
        <f>AM172*G172</f>
        <v>1893600</v>
      </c>
      <c r="AO172" s="32">
        <f>13400+(13400*5.2%)</f>
        <v>14096.8</v>
      </c>
      <c r="AP172" s="32">
        <f>AO172*G172</f>
        <v>1409680</v>
      </c>
      <c r="AQ172" s="32">
        <f>16900+(16900*5.2%)</f>
        <v>17778.8</v>
      </c>
      <c r="AR172" s="32">
        <f>AQ172*G172</f>
        <v>1777880</v>
      </c>
      <c r="AS172" s="32"/>
      <c r="AT172" s="32"/>
      <c r="AU172" s="32"/>
      <c r="AV172" s="32"/>
      <c r="AW172" s="32"/>
      <c r="AX172" s="32"/>
      <c r="AY172" s="32"/>
      <c r="AZ172" s="32"/>
      <c r="BA172" s="32"/>
      <c r="BB172" s="32"/>
      <c r="BC172" s="32"/>
      <c r="BD172" s="32"/>
      <c r="BE172" s="32"/>
      <c r="BF172" s="32"/>
      <c r="BG172" s="32"/>
      <c r="BH172" s="32"/>
      <c r="BI172" s="32"/>
      <c r="BJ172" s="32"/>
      <c r="BK172" s="192"/>
      <c r="BL172" s="32"/>
      <c r="BM172" s="192"/>
      <c r="BN172" s="32"/>
      <c r="BO172" s="32"/>
      <c r="BP172" s="32"/>
      <c r="BQ172" s="32"/>
      <c r="BR172" s="32"/>
      <c r="BS172" s="32"/>
      <c r="BT172" s="32"/>
      <c r="BU172" s="32"/>
      <c r="BV172" s="32"/>
      <c r="BW172" s="32"/>
      <c r="BX172" s="32"/>
      <c r="BY172" s="32"/>
      <c r="BZ172" s="32"/>
      <c r="CA172" s="32"/>
      <c r="CB172" s="32"/>
      <c r="CC172" s="32"/>
      <c r="CD172" s="32"/>
      <c r="CE172" s="32"/>
      <c r="CF172" s="32"/>
      <c r="CG172" s="32"/>
      <c r="CH172" s="32"/>
      <c r="CI172" s="32"/>
      <c r="CJ172" s="32"/>
      <c r="CK172" s="32"/>
      <c r="CL172" s="32"/>
      <c r="CM172" s="32"/>
      <c r="CN172" s="32"/>
      <c r="CO172" s="32"/>
      <c r="CP172" s="32"/>
      <c r="CQ172" s="32"/>
      <c r="CR172" s="32"/>
      <c r="CS172" s="32"/>
      <c r="CT172" s="32"/>
      <c r="CU172" s="32"/>
      <c r="CV172" s="32"/>
      <c r="CW172" s="32"/>
      <c r="CX172" s="32"/>
      <c r="CY172" s="32"/>
      <c r="CZ172" s="32"/>
      <c r="DA172" s="32"/>
      <c r="DB172" s="32"/>
      <c r="DC172" s="32"/>
      <c r="DD172" s="32"/>
      <c r="DE172" s="32"/>
      <c r="DF172" s="32"/>
      <c r="DG172" s="32"/>
      <c r="DH172" s="32"/>
      <c r="DI172" s="32"/>
      <c r="DJ172" s="32"/>
      <c r="DK172" s="32"/>
      <c r="DL172" s="32"/>
      <c r="DM172" s="32"/>
      <c r="DN172" s="32"/>
      <c r="DO172" s="32"/>
      <c r="DP172" s="32"/>
      <c r="DQ172" s="32"/>
      <c r="DR172" s="32"/>
      <c r="DS172" s="13">
        <f>+MEDIAN(AK172,AM172,AO172,AQ172)</f>
        <v>18357.400000000001</v>
      </c>
      <c r="DT172" s="13">
        <f>+AVERAGE(AK172,AM172,AO172,AQ172)</f>
        <v>19452.900000000001</v>
      </c>
      <c r="DU172" s="13">
        <f>+STDEV(AK172,AM172,AO172,AQ172)</f>
        <v>5438.0242135049912</v>
      </c>
      <c r="DV172" s="17">
        <f t="shared" ref="DV172:DV177" si="24">DU172/DT172</f>
        <v>0.27954825313989129</v>
      </c>
      <c r="DW172" s="373">
        <f t="shared" ref="DW172:DW177" si="25">+ROUNDUP(IF(DV172&lt;15%,DT172,DS172),0)</f>
        <v>18358</v>
      </c>
      <c r="DX172" s="13">
        <f t="shared" si="19"/>
        <v>1835800</v>
      </c>
      <c r="DY172" s="10" t="s">
        <v>309</v>
      </c>
    </row>
    <row r="173" spans="1:129" ht="77.5" hidden="1" x14ac:dyDescent="0.3">
      <c r="A173" s="19">
        <v>145</v>
      </c>
      <c r="B173" s="9" t="s">
        <v>15</v>
      </c>
      <c r="C173" s="20" t="s">
        <v>101</v>
      </c>
      <c r="D173" s="9" t="s">
        <v>377</v>
      </c>
      <c r="E173" s="71" t="s">
        <v>445</v>
      </c>
      <c r="F173" s="35" t="s">
        <v>463</v>
      </c>
      <c r="G173" s="21">
        <v>1</v>
      </c>
      <c r="H173" s="11">
        <v>1</v>
      </c>
      <c r="I173" s="191"/>
      <c r="J173" s="191"/>
      <c r="K173" s="191"/>
      <c r="L173" s="191"/>
      <c r="M173" s="191"/>
      <c r="N173" s="191"/>
      <c r="O173" s="267"/>
      <c r="P173" s="212"/>
      <c r="Q173" s="32"/>
      <c r="R173" s="32"/>
      <c r="S173" s="32"/>
      <c r="T173" s="32"/>
      <c r="U173" s="32"/>
      <c r="V173" s="32"/>
      <c r="W173" s="32"/>
      <c r="X173" s="32"/>
      <c r="Y173" s="32"/>
      <c r="Z173" s="32"/>
      <c r="AA173" s="32">
        <v>1200000</v>
      </c>
      <c r="AB173" s="32">
        <f>AA173*H173</f>
        <v>1200000</v>
      </c>
      <c r="AC173" s="32"/>
      <c r="AD173" s="32"/>
      <c r="AE173" s="32"/>
      <c r="AF173" s="32"/>
      <c r="AG173" s="32">
        <v>1230000</v>
      </c>
      <c r="AH173" s="32">
        <f>AG173*G173*H173</f>
        <v>1230000</v>
      </c>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c r="BI173" s="32"/>
      <c r="BJ173" s="32"/>
      <c r="BK173" s="192"/>
      <c r="BL173" s="32"/>
      <c r="BM173" s="192"/>
      <c r="BN173" s="32"/>
      <c r="BO173" s="32"/>
      <c r="BP173" s="32"/>
      <c r="BQ173" s="32"/>
      <c r="BR173" s="32"/>
      <c r="BS173" s="32"/>
      <c r="BT173" s="32"/>
      <c r="BU173" s="32"/>
      <c r="BV173" s="32"/>
      <c r="BW173" s="32"/>
      <c r="BX173" s="32"/>
      <c r="BY173" s="32"/>
      <c r="BZ173" s="32"/>
      <c r="CA173" s="32"/>
      <c r="CB173" s="32"/>
      <c r="CC173" s="32"/>
      <c r="CD173" s="32"/>
      <c r="CE173" s="32"/>
      <c r="CF173" s="32"/>
      <c r="CG173" s="32"/>
      <c r="CH173" s="32"/>
      <c r="CI173" s="32"/>
      <c r="CJ173" s="32"/>
      <c r="CK173" s="32"/>
      <c r="CL173" s="32"/>
      <c r="CM173" s="32"/>
      <c r="CN173" s="32"/>
      <c r="CO173" s="32"/>
      <c r="CP173" s="32"/>
      <c r="CQ173" s="225">
        <v>2800000</v>
      </c>
      <c r="CR173" s="32">
        <f>CQ173*G173</f>
        <v>2800000</v>
      </c>
      <c r="CS173" s="32"/>
      <c r="CT173" s="32"/>
      <c r="CU173" s="32"/>
      <c r="CV173" s="32"/>
      <c r="CW173" s="32"/>
      <c r="CX173" s="32"/>
      <c r="CY173" s="32"/>
      <c r="CZ173" s="32"/>
      <c r="DA173" s="32"/>
      <c r="DB173" s="32"/>
      <c r="DC173" s="32"/>
      <c r="DD173" s="32"/>
      <c r="DE173" s="32"/>
      <c r="DF173" s="32"/>
      <c r="DG173" s="32"/>
      <c r="DH173" s="32"/>
      <c r="DI173" s="32"/>
      <c r="DJ173" s="32"/>
      <c r="DK173" s="32"/>
      <c r="DL173" s="32"/>
      <c r="DM173" s="32"/>
      <c r="DN173" s="32"/>
      <c r="DO173" s="32"/>
      <c r="DP173" s="32"/>
      <c r="DQ173" s="32"/>
      <c r="DR173" s="32"/>
      <c r="DS173" s="13">
        <f>+MEDIAN(AA173,AG173)</f>
        <v>1215000</v>
      </c>
      <c r="DT173" s="13">
        <f>+AVERAGE(AA173,AG173)</f>
        <v>1215000</v>
      </c>
      <c r="DU173" s="13">
        <f>+STDEV(AA173,AG173)</f>
        <v>21213.203435596424</v>
      </c>
      <c r="DV173" s="17">
        <f t="shared" si="24"/>
        <v>1.7459426695964134E-2</v>
      </c>
      <c r="DW173" s="373">
        <f t="shared" si="25"/>
        <v>1215000</v>
      </c>
      <c r="DX173" s="13">
        <f t="shared" si="19"/>
        <v>1215000</v>
      </c>
      <c r="DY173" s="10" t="s">
        <v>308</v>
      </c>
    </row>
    <row r="174" spans="1:129" ht="312" hidden="1" x14ac:dyDescent="0.3">
      <c r="A174" s="19">
        <v>146</v>
      </c>
      <c r="B174" s="9" t="s">
        <v>15</v>
      </c>
      <c r="C174" s="20" t="s">
        <v>101</v>
      </c>
      <c r="D174" s="26" t="s">
        <v>275</v>
      </c>
      <c r="E174" s="10" t="s">
        <v>276</v>
      </c>
      <c r="F174" s="19" t="s">
        <v>21</v>
      </c>
      <c r="G174" s="99">
        <v>120</v>
      </c>
      <c r="H174" s="11">
        <v>1</v>
      </c>
      <c r="I174" s="191"/>
      <c r="J174" s="191"/>
      <c r="K174" s="191"/>
      <c r="L174" s="191"/>
      <c r="M174" s="191"/>
      <c r="N174" s="191"/>
      <c r="O174" s="211"/>
      <c r="P174" s="212"/>
      <c r="Q174" s="32"/>
      <c r="R174" s="32"/>
      <c r="S174" s="32"/>
      <c r="T174" s="32"/>
      <c r="U174" s="32"/>
      <c r="V174" s="32"/>
      <c r="W174" s="32"/>
      <c r="X174" s="32"/>
      <c r="Y174" s="32"/>
      <c r="Z174" s="32"/>
      <c r="AA174" s="32"/>
      <c r="AB174" s="32"/>
      <c r="AC174" s="32"/>
      <c r="AD174" s="32"/>
      <c r="AE174" s="32"/>
      <c r="AF174" s="32"/>
      <c r="AG174" s="32"/>
      <c r="AH174" s="32"/>
      <c r="AI174" s="32"/>
      <c r="AJ174" s="32"/>
      <c r="AK174" s="32">
        <v>32000</v>
      </c>
      <c r="AL174" s="32">
        <f>AK174*G174</f>
        <v>3840000</v>
      </c>
      <c r="AM174" s="32">
        <f>25600+(25600*5.2%)</f>
        <v>26931.200000000001</v>
      </c>
      <c r="AN174" s="32">
        <f>AM174*G174</f>
        <v>3231744</v>
      </c>
      <c r="AO174" s="32"/>
      <c r="AP174" s="32"/>
      <c r="AQ174" s="32"/>
      <c r="AR174" s="32"/>
      <c r="AS174" s="32"/>
      <c r="AT174" s="32"/>
      <c r="AU174" s="32"/>
      <c r="AV174" s="32"/>
      <c r="AW174" s="32"/>
      <c r="AX174" s="32"/>
      <c r="AY174" s="32"/>
      <c r="AZ174" s="32"/>
      <c r="BA174" s="32"/>
      <c r="BB174" s="32"/>
      <c r="BC174" s="32"/>
      <c r="BD174" s="32"/>
      <c r="BE174" s="32"/>
      <c r="BF174" s="32"/>
      <c r="BG174" s="32"/>
      <c r="BH174" s="32"/>
      <c r="BI174" s="32"/>
      <c r="BJ174" s="32"/>
      <c r="BK174" s="192"/>
      <c r="BL174" s="32"/>
      <c r="BM174" s="192"/>
      <c r="BN174" s="32"/>
      <c r="BO174" s="32"/>
      <c r="BP174" s="32"/>
      <c r="BQ174" s="32"/>
      <c r="BR174" s="32"/>
      <c r="BS174" s="32"/>
      <c r="BT174" s="32"/>
      <c r="BU174" s="32"/>
      <c r="BV174" s="32"/>
      <c r="BW174" s="32"/>
      <c r="BX174" s="32"/>
      <c r="BY174" s="32"/>
      <c r="BZ174" s="32"/>
      <c r="CA174" s="32"/>
      <c r="CB174" s="32"/>
      <c r="CC174" s="32"/>
      <c r="CD174" s="32"/>
      <c r="CE174" s="32"/>
      <c r="CF174" s="32"/>
      <c r="CG174" s="32"/>
      <c r="CH174" s="32"/>
      <c r="CI174" s="32"/>
      <c r="CJ174" s="32"/>
      <c r="CK174" s="32"/>
      <c r="CL174" s="32"/>
      <c r="CM174" s="32"/>
      <c r="CN174" s="32"/>
      <c r="CO174" s="32"/>
      <c r="CP174" s="32"/>
      <c r="CQ174" s="32"/>
      <c r="CR174" s="32"/>
      <c r="CS174" s="32"/>
      <c r="CT174" s="32"/>
      <c r="CU174" s="32"/>
      <c r="CV174" s="32"/>
      <c r="CW174" s="32"/>
      <c r="CX174" s="32"/>
      <c r="CY174" s="32"/>
      <c r="CZ174" s="32"/>
      <c r="DA174" s="32"/>
      <c r="DB174" s="32"/>
      <c r="DC174" s="32"/>
      <c r="DD174" s="32"/>
      <c r="DE174" s="32"/>
      <c r="DF174" s="32"/>
      <c r="DG174" s="32"/>
      <c r="DH174" s="32"/>
      <c r="DI174" s="32"/>
      <c r="DJ174" s="32"/>
      <c r="DK174" s="32"/>
      <c r="DL174" s="32"/>
      <c r="DM174" s="32"/>
      <c r="DN174" s="32"/>
      <c r="DO174" s="32"/>
      <c r="DP174" s="32"/>
      <c r="DQ174" s="32"/>
      <c r="DR174" s="32"/>
      <c r="DS174" s="13">
        <f>+MEDIAN(AK174,AM174)</f>
        <v>29465.599999999999</v>
      </c>
      <c r="DT174" s="13">
        <f>+AVERAGE(AK174,AM174)</f>
        <v>29465.599999999999</v>
      </c>
      <c r="DU174" s="13">
        <f>+STDEV(AK174,AM174)</f>
        <v>3584.1828524783718</v>
      </c>
      <c r="DV174" s="17">
        <f t="shared" si="24"/>
        <v>0.12163956791914544</v>
      </c>
      <c r="DW174" s="373">
        <f t="shared" si="25"/>
        <v>29466</v>
      </c>
      <c r="DX174" s="13">
        <f t="shared" si="19"/>
        <v>3535920</v>
      </c>
      <c r="DY174" s="10" t="s">
        <v>308</v>
      </c>
    </row>
    <row r="175" spans="1:129" ht="409.5" hidden="1" x14ac:dyDescent="0.3">
      <c r="A175" s="19">
        <v>147</v>
      </c>
      <c r="B175" s="9" t="s">
        <v>15</v>
      </c>
      <c r="C175" s="86" t="s">
        <v>101</v>
      </c>
      <c r="D175" s="26" t="s">
        <v>1339</v>
      </c>
      <c r="E175" s="10" t="s">
        <v>1338</v>
      </c>
      <c r="F175" s="20" t="s">
        <v>473</v>
      </c>
      <c r="G175" s="21">
        <v>1</v>
      </c>
      <c r="H175" s="11">
        <v>1</v>
      </c>
      <c r="I175" s="649"/>
      <c r="J175" s="649"/>
      <c r="K175" s="649"/>
      <c r="L175" s="649"/>
      <c r="M175" s="649"/>
      <c r="N175" s="649"/>
      <c r="O175" s="650"/>
      <c r="P175" s="651"/>
      <c r="Q175" s="205"/>
      <c r="R175" s="205"/>
      <c r="S175" s="205"/>
      <c r="T175" s="205"/>
      <c r="U175" s="205"/>
      <c r="V175" s="205"/>
      <c r="W175" s="205"/>
      <c r="X175" s="205"/>
      <c r="Y175" s="205"/>
      <c r="Z175" s="205"/>
      <c r="AA175" s="205"/>
      <c r="AB175" s="205"/>
      <c r="AC175" s="205"/>
      <c r="AD175" s="205"/>
      <c r="AE175" s="205"/>
      <c r="AF175" s="205"/>
      <c r="AG175" s="205"/>
      <c r="AH175" s="205"/>
      <c r="AI175" s="205"/>
      <c r="AJ175" s="205"/>
      <c r="AK175" s="205"/>
      <c r="AL175" s="205"/>
      <c r="AM175" s="205"/>
      <c r="AN175" s="205"/>
      <c r="AO175" s="205"/>
      <c r="AP175" s="205"/>
      <c r="AQ175" s="205"/>
      <c r="AR175" s="205"/>
      <c r="AS175" s="205"/>
      <c r="AT175" s="205"/>
      <c r="AU175" s="205"/>
      <c r="AV175" s="205"/>
      <c r="AW175" s="205"/>
      <c r="AX175" s="205"/>
      <c r="AY175" s="205"/>
      <c r="AZ175" s="205"/>
      <c r="BA175" s="205"/>
      <c r="BB175" s="205"/>
      <c r="BC175" s="205"/>
      <c r="BD175" s="205"/>
      <c r="BE175" s="205"/>
      <c r="BF175" s="205"/>
      <c r="BG175" s="205"/>
      <c r="BH175" s="205"/>
      <c r="BI175" s="205"/>
      <c r="BJ175" s="205"/>
      <c r="BK175" s="206"/>
      <c r="BL175" s="205"/>
      <c r="BM175" s="206"/>
      <c r="BN175" s="205"/>
      <c r="BO175" s="205"/>
      <c r="BP175" s="205"/>
      <c r="BQ175" s="205"/>
      <c r="BR175" s="205"/>
      <c r="BS175" s="205"/>
      <c r="BT175" s="205"/>
      <c r="BU175" s="205"/>
      <c r="BV175" s="205"/>
      <c r="BW175" s="205"/>
      <c r="BX175" s="205"/>
      <c r="BY175" s="205"/>
      <c r="BZ175" s="205"/>
      <c r="CA175" s="205"/>
      <c r="CB175" s="205"/>
      <c r="CC175" s="205"/>
      <c r="CD175" s="205"/>
      <c r="CE175" s="205"/>
      <c r="CF175" s="205"/>
      <c r="CG175" s="205"/>
      <c r="CH175" s="205"/>
      <c r="CI175" s="205"/>
      <c r="CJ175" s="205"/>
      <c r="CK175" s="205"/>
      <c r="CL175" s="205"/>
      <c r="CM175" s="205"/>
      <c r="CN175" s="205"/>
      <c r="CO175" s="653">
        <v>780000</v>
      </c>
      <c r="CP175" s="205">
        <f>CO175*G175</f>
        <v>780000</v>
      </c>
      <c r="CQ175" s="653">
        <v>800000</v>
      </c>
      <c r="CR175" s="205">
        <f>CQ175*G175</f>
        <v>800000</v>
      </c>
      <c r="CS175" s="654"/>
      <c r="CT175" s="205"/>
      <c r="CU175" s="653"/>
      <c r="CV175" s="205"/>
      <c r="CW175" s="658"/>
      <c r="CX175" s="205"/>
      <c r="CY175" s="658"/>
      <c r="CZ175" s="205"/>
      <c r="DA175" s="205"/>
      <c r="DB175" s="205"/>
      <c r="DC175" s="658"/>
      <c r="DD175" s="205"/>
      <c r="DE175" s="205"/>
      <c r="DF175" s="205"/>
      <c r="DG175" s="205"/>
      <c r="DH175" s="205"/>
      <c r="DI175" s="205"/>
      <c r="DJ175" s="205"/>
      <c r="DK175" s="205"/>
      <c r="DL175" s="205"/>
      <c r="DM175" s="205"/>
      <c r="DN175" s="205"/>
      <c r="DO175" s="205"/>
      <c r="DP175" s="205"/>
      <c r="DQ175" s="205"/>
      <c r="DR175" s="205"/>
      <c r="DS175" s="656">
        <f>+MEDIAN(CO175,CQ175)</f>
        <v>790000</v>
      </c>
      <c r="DT175" s="656">
        <f>+AVERAGE(CO175,CQ175)</f>
        <v>790000</v>
      </c>
      <c r="DU175" s="656">
        <f>+STDEV(CO175,CQ175)</f>
        <v>14142.13562373095</v>
      </c>
      <c r="DV175" s="657">
        <f t="shared" si="24"/>
        <v>1.7901437498393607E-2</v>
      </c>
      <c r="DW175" s="662">
        <f t="shared" si="25"/>
        <v>790000</v>
      </c>
      <c r="DX175" s="13">
        <f t="shared" si="19"/>
        <v>790000</v>
      </c>
      <c r="DY175" s="10" t="s">
        <v>321</v>
      </c>
    </row>
    <row r="176" spans="1:129" ht="65" hidden="1" x14ac:dyDescent="0.3">
      <c r="A176" s="19">
        <v>148</v>
      </c>
      <c r="B176" s="9" t="s">
        <v>15</v>
      </c>
      <c r="C176" s="20" t="s">
        <v>101</v>
      </c>
      <c r="D176" s="9" t="s">
        <v>181</v>
      </c>
      <c r="E176" s="10" t="s">
        <v>381</v>
      </c>
      <c r="F176" s="19" t="s">
        <v>19</v>
      </c>
      <c r="G176" s="21">
        <v>4</v>
      </c>
      <c r="H176" s="11">
        <v>1</v>
      </c>
      <c r="I176" s="191"/>
      <c r="J176" s="191"/>
      <c r="K176" s="191"/>
      <c r="L176" s="191"/>
      <c r="M176" s="191"/>
      <c r="N176" s="191"/>
      <c r="O176" s="211"/>
      <c r="P176" s="212"/>
      <c r="Q176" s="32"/>
      <c r="R176" s="32"/>
      <c r="S176" s="32"/>
      <c r="T176" s="32"/>
      <c r="U176" s="32"/>
      <c r="V176" s="32"/>
      <c r="W176" s="32"/>
      <c r="X176" s="32"/>
      <c r="Y176" s="32"/>
      <c r="Z176" s="32"/>
      <c r="AA176" s="32"/>
      <c r="AB176" s="32"/>
      <c r="AC176" s="32"/>
      <c r="AD176" s="32"/>
      <c r="AE176" s="32"/>
      <c r="AF176" s="32"/>
      <c r="AG176" s="32"/>
      <c r="AH176" s="32"/>
      <c r="AI176" s="32"/>
      <c r="AJ176" s="32"/>
      <c r="AK176" s="32"/>
      <c r="AL176" s="32"/>
      <c r="AM176" s="32"/>
      <c r="AN176" s="32"/>
      <c r="AO176" s="32"/>
      <c r="AP176" s="32"/>
      <c r="AQ176" s="32"/>
      <c r="AR176" s="32"/>
      <c r="AS176" s="32"/>
      <c r="AT176" s="32"/>
      <c r="AU176" s="32"/>
      <c r="AV176" s="32"/>
      <c r="AW176" s="32"/>
      <c r="AX176" s="32"/>
      <c r="AY176" s="32"/>
      <c r="AZ176" s="32"/>
      <c r="BA176" s="32">
        <v>210400</v>
      </c>
      <c r="BB176" s="32">
        <f>BA176*G176*H176</f>
        <v>841600</v>
      </c>
      <c r="BC176" s="32"/>
      <c r="BD176" s="32"/>
      <c r="BE176" s="32"/>
      <c r="BF176" s="32"/>
      <c r="BG176" s="32"/>
      <c r="BH176" s="32"/>
      <c r="BI176" s="32"/>
      <c r="BJ176" s="32"/>
      <c r="BK176" s="246"/>
      <c r="BL176" s="32"/>
      <c r="BM176" s="246">
        <v>180000</v>
      </c>
      <c r="BN176" s="32">
        <f>BM176*G176*H176</f>
        <v>720000</v>
      </c>
      <c r="BO176" s="246">
        <v>249900</v>
      </c>
      <c r="BP176" s="32">
        <f>BO176*G176*H176</f>
        <v>999600</v>
      </c>
      <c r="BQ176" s="32"/>
      <c r="BR176" s="32"/>
      <c r="BS176" s="32"/>
      <c r="BT176" s="32"/>
      <c r="BU176" s="32"/>
      <c r="BV176" s="32"/>
      <c r="BW176" s="32"/>
      <c r="BX176" s="32"/>
      <c r="BY176" s="32"/>
      <c r="BZ176" s="32"/>
      <c r="CA176" s="32"/>
      <c r="CB176" s="32"/>
      <c r="CC176" s="32"/>
      <c r="CD176" s="32"/>
      <c r="CE176" s="32"/>
      <c r="CF176" s="32"/>
      <c r="CG176" s="32"/>
      <c r="CH176" s="32"/>
      <c r="CI176" s="32"/>
      <c r="CJ176" s="32"/>
      <c r="CK176" s="32"/>
      <c r="CL176" s="32"/>
      <c r="CM176" s="32"/>
      <c r="CN176" s="32"/>
      <c r="CO176" s="225"/>
      <c r="CP176" s="32"/>
      <c r="CQ176" s="225"/>
      <c r="CR176" s="32"/>
      <c r="CS176" s="28"/>
      <c r="CT176" s="25"/>
      <c r="CU176" s="225"/>
      <c r="CV176" s="25"/>
      <c r="CW176" s="280"/>
      <c r="CX176" s="25"/>
      <c r="CY176" s="280"/>
      <c r="CZ176" s="25"/>
      <c r="DA176" s="25"/>
      <c r="DB176" s="25"/>
      <c r="DC176" s="280"/>
      <c r="DD176" s="25"/>
      <c r="DE176" s="25"/>
      <c r="DF176" s="25"/>
      <c r="DG176" s="25">
        <v>202300</v>
      </c>
      <c r="DH176" s="25">
        <f>DG176*G176*H176</f>
        <v>809200</v>
      </c>
      <c r="DI176" s="25"/>
      <c r="DJ176" s="25"/>
      <c r="DK176" s="25"/>
      <c r="DL176" s="25"/>
      <c r="DM176" s="25"/>
      <c r="DN176" s="25"/>
      <c r="DO176" s="25"/>
      <c r="DP176" s="25"/>
      <c r="DQ176" s="25"/>
      <c r="DR176" s="25"/>
      <c r="DS176" s="13">
        <f>+MEDIAN(BA176,BM176,BO176,DG176)</f>
        <v>206350</v>
      </c>
      <c r="DT176" s="13">
        <f>+AVERAGE(BA176,BM176,BO176,DG176)</f>
        <v>210650</v>
      </c>
      <c r="DU176" s="13">
        <f>+STDEV(BA176,BM176,BO176,DG176)</f>
        <v>29153.444622091116</v>
      </c>
      <c r="DV176" s="17">
        <f t="shared" si="24"/>
        <v>0.13839755339231483</v>
      </c>
      <c r="DW176" s="373">
        <f t="shared" si="25"/>
        <v>210650</v>
      </c>
      <c r="DX176" s="13">
        <f t="shared" si="19"/>
        <v>842600</v>
      </c>
      <c r="DY176" s="10" t="s">
        <v>308</v>
      </c>
    </row>
    <row r="177" spans="1:132" ht="72" hidden="1" customHeight="1" x14ac:dyDescent="0.3">
      <c r="A177" s="19">
        <v>149</v>
      </c>
      <c r="B177" s="14" t="s">
        <v>15</v>
      </c>
      <c r="C177" s="45" t="s">
        <v>101</v>
      </c>
      <c r="D177" s="14" t="s">
        <v>82</v>
      </c>
      <c r="E177" s="104" t="s">
        <v>354</v>
      </c>
      <c r="F177" s="34" t="s">
        <v>509</v>
      </c>
      <c r="G177" s="114">
        <v>1</v>
      </c>
      <c r="H177" s="114">
        <v>2</v>
      </c>
      <c r="I177" s="194"/>
      <c r="J177" s="194"/>
      <c r="K177" s="194"/>
      <c r="L177" s="194"/>
      <c r="M177" s="194"/>
      <c r="N177" s="194"/>
      <c r="O177" s="213"/>
      <c r="P177" s="242"/>
      <c r="Q177" s="197"/>
      <c r="R177" s="197"/>
      <c r="S177" s="197"/>
      <c r="T177" s="197"/>
      <c r="U177" s="197"/>
      <c r="V177" s="197"/>
      <c r="W177" s="197"/>
      <c r="X177" s="197"/>
      <c r="Y177" s="197"/>
      <c r="Z177" s="197"/>
      <c r="AA177" s="197"/>
      <c r="AB177" s="197"/>
      <c r="AC177" s="197"/>
      <c r="AD177" s="197"/>
      <c r="AE177" s="197"/>
      <c r="AF177" s="197"/>
      <c r="AG177" s="197"/>
      <c r="AH177" s="197"/>
      <c r="AI177" s="197"/>
      <c r="AJ177" s="197"/>
      <c r="AK177" s="197"/>
      <c r="AL177" s="197"/>
      <c r="AM177" s="197"/>
      <c r="AN177" s="197"/>
      <c r="AO177" s="197"/>
      <c r="AP177" s="197"/>
      <c r="AQ177" s="197"/>
      <c r="AR177" s="197"/>
      <c r="AS177" s="197"/>
      <c r="AT177" s="197"/>
      <c r="AU177" s="197"/>
      <c r="AV177" s="197"/>
      <c r="AW177" s="197"/>
      <c r="AX177" s="197"/>
      <c r="AY177" s="197"/>
      <c r="AZ177" s="197"/>
      <c r="BA177" s="197"/>
      <c r="BB177" s="197"/>
      <c r="BC177" s="197"/>
      <c r="BD177" s="197"/>
      <c r="BE177" s="197"/>
      <c r="BF177" s="197"/>
      <c r="BG177" s="197"/>
      <c r="BH177" s="197"/>
      <c r="BI177" s="197"/>
      <c r="BJ177" s="197"/>
      <c r="BK177" s="195"/>
      <c r="BL177" s="197"/>
      <c r="BM177" s="195"/>
      <c r="BN177" s="197"/>
      <c r="BO177" s="197"/>
      <c r="BP177" s="197"/>
      <c r="BQ177" s="197"/>
      <c r="BR177" s="197"/>
      <c r="BS177" s="197"/>
      <c r="BT177" s="197"/>
      <c r="BU177" s="197"/>
      <c r="BV177" s="197"/>
      <c r="BW177" s="197"/>
      <c r="BX177" s="197"/>
      <c r="BY177" s="197"/>
      <c r="BZ177" s="197"/>
      <c r="CA177" s="197"/>
      <c r="CB177" s="197"/>
      <c r="CC177" s="197"/>
      <c r="CD177" s="197"/>
      <c r="CE177" s="197"/>
      <c r="CF177" s="197"/>
      <c r="CG177" s="197"/>
      <c r="CH177" s="197"/>
      <c r="CI177" s="197"/>
      <c r="CJ177" s="197"/>
      <c r="CK177" s="197"/>
      <c r="CL177" s="197"/>
      <c r="CM177" s="197"/>
      <c r="CN177" s="197"/>
      <c r="CO177" s="359">
        <v>1400000</v>
      </c>
      <c r="CP177" s="209">
        <f>CO177*G177*H177</f>
        <v>2800000</v>
      </c>
      <c r="CQ177" s="197"/>
      <c r="CR177" s="197"/>
      <c r="CS177" s="33">
        <v>1500000</v>
      </c>
      <c r="CT177" s="25">
        <f>CS177*G177*H177</f>
        <v>3000000</v>
      </c>
      <c r="CU177" s="197"/>
      <c r="CV177" s="197"/>
      <c r="CW177" s="197"/>
      <c r="CX177" s="197"/>
      <c r="CY177" s="197"/>
      <c r="CZ177" s="197"/>
      <c r="DA177" s="197"/>
      <c r="DB177" s="197"/>
      <c r="DC177" s="197"/>
      <c r="DD177" s="197"/>
      <c r="DE177" s="197"/>
      <c r="DF177" s="197"/>
      <c r="DG177" s="197"/>
      <c r="DH177" s="197"/>
      <c r="DI177" s="197"/>
      <c r="DJ177" s="197"/>
      <c r="DK177" s="197"/>
      <c r="DL177" s="197"/>
      <c r="DM177" s="197"/>
      <c r="DN177" s="197"/>
      <c r="DO177" s="197"/>
      <c r="DP177" s="197"/>
      <c r="DQ177" s="197"/>
      <c r="DR177" s="197"/>
      <c r="DS177" s="13">
        <f>+MEDIAN(CO177,CS177)</f>
        <v>1450000</v>
      </c>
      <c r="DT177" s="13">
        <f>+AVERAGE(CO177,CS177)</f>
        <v>1450000</v>
      </c>
      <c r="DU177" s="13">
        <f>+STDEV(CO177,CS177)</f>
        <v>70710.67811865476</v>
      </c>
      <c r="DV177" s="17">
        <f t="shared" si="24"/>
        <v>4.8765984909417075E-2</v>
      </c>
      <c r="DW177" s="373">
        <f t="shared" si="25"/>
        <v>1450000</v>
      </c>
      <c r="DX177" s="13">
        <f>+ROUND(DW177*G177*H177,0)</f>
        <v>2900000</v>
      </c>
      <c r="DY177" s="39" t="s">
        <v>308</v>
      </c>
    </row>
    <row r="178" spans="1:132" s="63" customFormat="1" ht="22" hidden="1" customHeight="1" x14ac:dyDescent="0.3">
      <c r="A178" s="66" t="s">
        <v>382</v>
      </c>
      <c r="B178" s="66"/>
      <c r="C178" s="66"/>
      <c r="D178" s="66"/>
      <c r="E178" s="66"/>
      <c r="F178" s="67"/>
      <c r="G178" s="67"/>
      <c r="H178" s="67"/>
      <c r="I178" s="214"/>
      <c r="J178" s="214"/>
      <c r="K178" s="214"/>
      <c r="L178" s="214"/>
      <c r="M178" s="214"/>
      <c r="N178" s="214"/>
      <c r="O178" s="215"/>
      <c r="P178" s="215"/>
      <c r="Q178" s="215"/>
      <c r="R178" s="215"/>
      <c r="S178" s="215"/>
      <c r="T178" s="215"/>
      <c r="U178" s="215"/>
      <c r="V178" s="215"/>
      <c r="W178" s="215"/>
      <c r="X178" s="215"/>
      <c r="Y178" s="215"/>
      <c r="Z178" s="215"/>
      <c r="AA178" s="215"/>
      <c r="AB178" s="215"/>
      <c r="AC178" s="32">
        <v>526000</v>
      </c>
      <c r="AD178" s="32">
        <v>1052000</v>
      </c>
      <c r="AE178" s="215"/>
      <c r="AF178" s="215"/>
      <c r="AG178" s="215"/>
      <c r="AH178" s="215"/>
      <c r="AI178" s="215"/>
      <c r="AJ178" s="215"/>
      <c r="AK178" s="215"/>
      <c r="AL178" s="215"/>
      <c r="AM178" s="215"/>
      <c r="AN178" s="215"/>
      <c r="AO178" s="215"/>
      <c r="AP178" s="215"/>
      <c r="AQ178" s="215"/>
      <c r="AR178" s="215"/>
      <c r="AS178" s="215"/>
      <c r="AT178" s="215"/>
      <c r="AU178" s="215"/>
      <c r="AV178" s="215"/>
      <c r="AW178" s="215"/>
      <c r="AX178" s="215"/>
      <c r="AY178" s="215"/>
      <c r="AZ178" s="215"/>
      <c r="BA178" s="215"/>
      <c r="BB178" s="215"/>
      <c r="BC178" s="215"/>
      <c r="BD178" s="215"/>
      <c r="BE178" s="215"/>
      <c r="BF178" s="215"/>
      <c r="BG178" s="215"/>
      <c r="BH178" s="215"/>
      <c r="BI178" s="215"/>
      <c r="BJ178" s="215"/>
      <c r="BK178" s="215"/>
      <c r="BL178" s="216"/>
      <c r="BM178" s="215"/>
      <c r="BN178" s="216"/>
      <c r="BO178" s="216"/>
      <c r="BP178" s="216"/>
      <c r="BQ178" s="216"/>
      <c r="BR178" s="216"/>
      <c r="BS178" s="216"/>
      <c r="BT178" s="216"/>
      <c r="BU178" s="216"/>
      <c r="BV178" s="216"/>
      <c r="BW178" s="216"/>
      <c r="BX178" s="216"/>
      <c r="BY178" s="216"/>
      <c r="BZ178" s="216"/>
      <c r="CA178" s="216"/>
      <c r="CB178" s="216"/>
      <c r="CC178" s="216"/>
      <c r="CD178" s="216"/>
      <c r="CE178" s="216"/>
      <c r="CF178" s="216"/>
      <c r="CG178" s="216"/>
      <c r="CH178" s="216"/>
      <c r="CI178" s="216"/>
      <c r="CJ178" s="216"/>
      <c r="CK178" s="216"/>
      <c r="CL178" s="216"/>
      <c r="CM178" s="216"/>
      <c r="CN178" s="216"/>
      <c r="CO178" s="216"/>
      <c r="CP178" s="216"/>
      <c r="CQ178" s="216"/>
      <c r="CR178" s="216"/>
      <c r="CS178" s="216"/>
      <c r="CT178" s="216"/>
      <c r="CU178" s="216"/>
      <c r="CV178" s="216"/>
      <c r="CW178" s="216"/>
      <c r="CX178" s="216"/>
      <c r="CY178" s="216"/>
      <c r="CZ178" s="216"/>
      <c r="DA178" s="216"/>
      <c r="DB178" s="216"/>
      <c r="DC178" s="216"/>
      <c r="DD178" s="216"/>
      <c r="DE178" s="216"/>
      <c r="DF178" s="216"/>
      <c r="DG178" s="216"/>
      <c r="DH178" s="216"/>
      <c r="DI178" s="216"/>
      <c r="DJ178" s="216"/>
      <c r="DK178" s="216"/>
      <c r="DL178" s="216"/>
      <c r="DM178" s="216"/>
      <c r="DN178" s="216"/>
      <c r="DO178" s="216"/>
      <c r="DP178" s="216"/>
      <c r="DQ178" s="216"/>
      <c r="DR178" s="216"/>
      <c r="DS178" s="215"/>
      <c r="DT178" s="215"/>
      <c r="DU178" s="215"/>
      <c r="DV178" s="68"/>
      <c r="DW178" s="69">
        <f>SUM(DW152:DW177)</f>
        <v>19726308</v>
      </c>
      <c r="DX178" s="69">
        <f>SUM(DX152:DX177)</f>
        <v>51492992</v>
      </c>
      <c r="DY178" s="165"/>
      <c r="DZ178" s="609"/>
      <c r="EA178" s="609"/>
      <c r="EB178" s="609"/>
    </row>
    <row r="179" spans="1:132" ht="137" hidden="1" customHeight="1" x14ac:dyDescent="0.3">
      <c r="A179" s="19">
        <v>150</v>
      </c>
      <c r="B179" s="14" t="s">
        <v>15</v>
      </c>
      <c r="C179" s="45"/>
      <c r="D179" s="14" t="s">
        <v>1157</v>
      </c>
      <c r="E179" s="104" t="s">
        <v>1176</v>
      </c>
      <c r="F179" s="603">
        <v>0.08</v>
      </c>
      <c r="G179" s="114"/>
      <c r="H179" s="114"/>
      <c r="I179" s="194"/>
      <c r="J179" s="194"/>
      <c r="K179" s="194"/>
      <c r="L179" s="194"/>
      <c r="M179" s="194"/>
      <c r="N179" s="194"/>
      <c r="O179" s="213"/>
      <c r="P179" s="242"/>
      <c r="Q179" s="197"/>
      <c r="R179" s="197"/>
      <c r="S179" s="197"/>
      <c r="T179" s="197"/>
      <c r="U179" s="197"/>
      <c r="V179" s="197"/>
      <c r="W179" s="197"/>
      <c r="X179" s="197"/>
      <c r="Y179" s="197"/>
      <c r="Z179" s="197"/>
      <c r="AA179" s="197"/>
      <c r="AB179" s="197"/>
      <c r="AC179" s="197"/>
      <c r="AD179" s="197"/>
      <c r="AE179" s="197"/>
      <c r="AF179" s="197"/>
      <c r="AG179" s="197"/>
      <c r="AH179" s="197"/>
      <c r="AI179" s="197"/>
      <c r="AJ179" s="197"/>
      <c r="AK179" s="197"/>
      <c r="AL179" s="197"/>
      <c r="AM179" s="197"/>
      <c r="AN179" s="197"/>
      <c r="AO179" s="197"/>
      <c r="AP179" s="197"/>
      <c r="AQ179" s="197"/>
      <c r="AR179" s="197"/>
      <c r="AS179" s="197"/>
      <c r="AT179" s="197"/>
      <c r="AU179" s="197"/>
      <c r="AV179" s="197"/>
      <c r="AW179" s="197"/>
      <c r="AX179" s="197"/>
      <c r="AY179" s="197"/>
      <c r="AZ179" s="197"/>
      <c r="BA179" s="197"/>
      <c r="BB179" s="197"/>
      <c r="BC179" s="197"/>
      <c r="BD179" s="197"/>
      <c r="BE179" s="197"/>
      <c r="BF179" s="197"/>
      <c r="BG179" s="197"/>
      <c r="BH179" s="197"/>
      <c r="BI179" s="197"/>
      <c r="BJ179" s="197"/>
      <c r="BK179" s="195"/>
      <c r="BL179" s="197"/>
      <c r="BM179" s="195"/>
      <c r="BN179" s="197"/>
      <c r="BO179" s="197"/>
      <c r="BP179" s="197"/>
      <c r="BQ179" s="197"/>
      <c r="BR179" s="197"/>
      <c r="BS179" s="197"/>
      <c r="BT179" s="197"/>
      <c r="BU179" s="197"/>
      <c r="BV179" s="197"/>
      <c r="BW179" s="197"/>
      <c r="BX179" s="197"/>
      <c r="BY179" s="197"/>
      <c r="BZ179" s="197"/>
      <c r="CA179" s="197"/>
      <c r="CB179" s="197"/>
      <c r="CC179" s="197"/>
      <c r="CD179" s="197"/>
      <c r="CE179" s="197"/>
      <c r="CF179" s="197"/>
      <c r="CG179" s="197"/>
      <c r="CH179" s="197"/>
      <c r="CI179" s="197"/>
      <c r="CJ179" s="197"/>
      <c r="CK179" s="197"/>
      <c r="CL179" s="197"/>
      <c r="CM179" s="197"/>
      <c r="CN179" s="197"/>
      <c r="CO179" s="359"/>
      <c r="CP179" s="209"/>
      <c r="CQ179" s="197"/>
      <c r="CR179" s="197"/>
      <c r="CS179" s="33"/>
      <c r="CT179" s="25"/>
      <c r="CU179" s="197"/>
      <c r="CV179" s="197"/>
      <c r="CW179" s="197"/>
      <c r="CX179" s="197"/>
      <c r="CY179" s="197"/>
      <c r="CZ179" s="197"/>
      <c r="DA179" s="197"/>
      <c r="DB179" s="197"/>
      <c r="DC179" s="197"/>
      <c r="DD179" s="197"/>
      <c r="DE179" s="197"/>
      <c r="DF179" s="197"/>
      <c r="DG179" s="197"/>
      <c r="DH179" s="197"/>
      <c r="DI179" s="197"/>
      <c r="DJ179" s="197"/>
      <c r="DK179" s="197"/>
      <c r="DL179" s="197"/>
      <c r="DM179" s="197"/>
      <c r="DN179" s="197"/>
      <c r="DO179" s="197"/>
      <c r="DP179" s="197"/>
      <c r="DQ179" s="197"/>
      <c r="DR179" s="197"/>
      <c r="DS179" s="13"/>
      <c r="DT179" s="13"/>
      <c r="DU179" s="13"/>
      <c r="DV179" s="17"/>
      <c r="DW179" s="373">
        <f>+DZ179*8%</f>
        <v>765970.14925359993</v>
      </c>
      <c r="DX179" s="13">
        <f>+EA179*8%</f>
        <v>16123104.477519998</v>
      </c>
      <c r="DY179" s="39" t="s">
        <v>1158</v>
      </c>
      <c r="DZ179" s="613">
        <f>SUM(DZ10:DZ178)</f>
        <v>9574626.8656699993</v>
      </c>
      <c r="EA179" s="613">
        <f>SUM(EA10:EA178)</f>
        <v>201538805.96899998</v>
      </c>
    </row>
    <row r="180" spans="1:132" s="74" customFormat="1" hidden="1" x14ac:dyDescent="0.35">
      <c r="A180" s="88" t="s">
        <v>383</v>
      </c>
      <c r="B180" s="88"/>
      <c r="C180" s="88"/>
      <c r="D180" s="88"/>
      <c r="E180" s="88"/>
      <c r="F180" s="88"/>
      <c r="G180" s="87"/>
      <c r="H180" s="87"/>
      <c r="I180" s="281"/>
      <c r="J180" s="281"/>
      <c r="K180" s="281"/>
      <c r="L180" s="281"/>
      <c r="M180" s="281"/>
      <c r="N180" s="281"/>
      <c r="O180" s="282"/>
      <c r="P180" s="282"/>
      <c r="Q180" s="283"/>
      <c r="R180" s="283"/>
      <c r="S180" s="283"/>
      <c r="T180" s="283"/>
      <c r="U180" s="283"/>
      <c r="V180" s="283"/>
      <c r="W180" s="283"/>
      <c r="X180" s="283"/>
      <c r="Y180" s="283"/>
      <c r="Z180" s="283"/>
      <c r="AA180" s="283"/>
      <c r="AB180" s="283"/>
      <c r="AC180" s="283"/>
      <c r="AD180" s="283"/>
      <c r="AE180" s="283"/>
      <c r="AF180" s="283"/>
      <c r="AG180" s="283"/>
      <c r="AH180" s="283"/>
      <c r="AI180" s="283"/>
      <c r="AJ180" s="283"/>
      <c r="AK180" s="283"/>
      <c r="AL180" s="283"/>
      <c r="AM180" s="283"/>
      <c r="AN180" s="283"/>
      <c r="AO180" s="283"/>
      <c r="AP180" s="283"/>
      <c r="AQ180" s="283"/>
      <c r="AR180" s="283"/>
      <c r="AS180" s="283"/>
      <c r="AT180" s="283"/>
      <c r="AU180" s="283"/>
      <c r="AV180" s="283"/>
      <c r="AW180" s="283"/>
      <c r="AX180" s="283"/>
      <c r="AY180" s="283"/>
      <c r="AZ180" s="283"/>
      <c r="BA180" s="283"/>
      <c r="BB180" s="283"/>
      <c r="BC180" s="283"/>
      <c r="BD180" s="283"/>
      <c r="BE180" s="283"/>
      <c r="BF180" s="283"/>
      <c r="BG180" s="283"/>
      <c r="BH180" s="283"/>
      <c r="BI180" s="283"/>
      <c r="BJ180" s="283"/>
      <c r="BK180" s="283"/>
      <c r="BL180" s="283"/>
      <c r="BM180" s="283"/>
      <c r="BN180" s="283"/>
      <c r="BO180" s="283"/>
      <c r="BP180" s="283"/>
      <c r="BQ180" s="283"/>
      <c r="BR180" s="283"/>
      <c r="BS180" s="283"/>
      <c r="BT180" s="283"/>
      <c r="BU180" s="283"/>
      <c r="BV180" s="283"/>
      <c r="BW180" s="283"/>
      <c r="BX180" s="283"/>
      <c r="BY180" s="283"/>
      <c r="BZ180" s="283"/>
      <c r="CA180" s="283"/>
      <c r="CB180" s="283"/>
      <c r="CC180" s="283"/>
      <c r="CD180" s="283"/>
      <c r="CE180" s="283"/>
      <c r="CF180" s="283"/>
      <c r="CG180" s="283"/>
      <c r="CH180" s="283"/>
      <c r="CI180" s="283"/>
      <c r="CJ180" s="283"/>
      <c r="CK180" s="283"/>
      <c r="CL180" s="283"/>
      <c r="CM180" s="283"/>
      <c r="CN180" s="283"/>
      <c r="CO180" s="283"/>
      <c r="CP180" s="283"/>
      <c r="CQ180" s="283"/>
      <c r="CR180" s="283"/>
      <c r="CS180" s="283"/>
      <c r="CT180" s="283"/>
      <c r="CU180" s="283"/>
      <c r="CV180" s="283"/>
      <c r="CW180" s="283"/>
      <c r="CX180" s="283"/>
      <c r="CY180" s="283"/>
      <c r="CZ180" s="283"/>
      <c r="DA180" s="283"/>
      <c r="DB180" s="283"/>
      <c r="DC180" s="283"/>
      <c r="DD180" s="283"/>
      <c r="DE180" s="283"/>
      <c r="DF180" s="283"/>
      <c r="DG180" s="283"/>
      <c r="DH180" s="283"/>
      <c r="DI180" s="283"/>
      <c r="DJ180" s="283"/>
      <c r="DK180" s="283"/>
      <c r="DL180" s="283"/>
      <c r="DM180" s="283"/>
      <c r="DN180" s="283"/>
      <c r="DO180" s="283"/>
      <c r="DP180" s="283"/>
      <c r="DQ180" s="283"/>
      <c r="DR180" s="283"/>
      <c r="DS180" s="283"/>
      <c r="DT180" s="283"/>
      <c r="DU180" s="283"/>
      <c r="DV180" s="89"/>
      <c r="DW180" s="328">
        <f>(+DW20+DW22+DW33+DW41+DW47+DW62+DW70+DW77+DW97+DW117+DW132+DW143+DW149+DW151+DW178+DW179)+(DW13*60%)</f>
        <v>339456689.58510399</v>
      </c>
      <c r="DX180" s="328">
        <f>(+DX20+DX22+DX33+DX41+DX47+DX62+DX70+DX77+DX97+DX117+DX132+DX143+DX149+DX151+DX178+DX179)+(DX13*60%)</f>
        <v>2818920000.47752</v>
      </c>
      <c r="DY180" s="168">
        <v>2818920000</v>
      </c>
      <c r="DZ180" s="665"/>
      <c r="EB180" s="615"/>
    </row>
    <row r="181" spans="1:132" hidden="1" x14ac:dyDescent="0.3">
      <c r="A181" s="155" t="s">
        <v>218</v>
      </c>
      <c r="B181" s="155"/>
      <c r="C181" s="155"/>
      <c r="D181" s="155"/>
      <c r="E181" s="155"/>
      <c r="F181" s="85"/>
      <c r="G181" s="86"/>
      <c r="H181" s="86"/>
      <c r="I181" s="202"/>
      <c r="J181" s="202"/>
      <c r="K181" s="202"/>
      <c r="L181" s="202"/>
      <c r="M181" s="202"/>
      <c r="N181" s="202"/>
      <c r="O181" s="203"/>
      <c r="P181" s="284"/>
      <c r="Q181" s="205"/>
      <c r="R181" s="205"/>
      <c r="S181" s="205"/>
      <c r="T181" s="205"/>
      <c r="U181" s="205"/>
      <c r="V181" s="205"/>
      <c r="W181" s="205"/>
      <c r="X181" s="205"/>
      <c r="Y181" s="205"/>
      <c r="Z181" s="205"/>
      <c r="AA181" s="205"/>
      <c r="AB181" s="205"/>
      <c r="AC181" s="205"/>
      <c r="AD181" s="205"/>
      <c r="AE181" s="205"/>
      <c r="AF181" s="205"/>
      <c r="AG181" s="205"/>
      <c r="AH181" s="205"/>
      <c r="AI181" s="205"/>
      <c r="AJ181" s="205"/>
      <c r="AK181" s="205"/>
      <c r="AL181" s="205"/>
      <c r="AM181" s="205"/>
      <c r="AN181" s="205"/>
      <c r="AO181" s="205"/>
      <c r="AP181" s="205"/>
      <c r="AQ181" s="205"/>
      <c r="AR181" s="205"/>
      <c r="AS181" s="205"/>
      <c r="AT181" s="205"/>
      <c r="AU181" s="205"/>
      <c r="AV181" s="205"/>
      <c r="AW181" s="205"/>
      <c r="AX181" s="205"/>
      <c r="AY181" s="205"/>
      <c r="AZ181" s="205"/>
      <c r="BA181" s="205"/>
      <c r="BB181" s="205"/>
      <c r="BC181" s="205"/>
      <c r="BD181" s="205"/>
      <c r="BE181" s="205"/>
      <c r="BF181" s="205"/>
      <c r="BG181" s="205"/>
      <c r="BH181" s="205"/>
      <c r="BI181" s="205"/>
      <c r="BJ181" s="205"/>
      <c r="BK181" s="206"/>
      <c r="BL181" s="205"/>
      <c r="BM181" s="206"/>
      <c r="BN181" s="205"/>
      <c r="BO181" s="205"/>
      <c r="BP181" s="205"/>
      <c r="BQ181" s="205"/>
      <c r="BR181" s="205"/>
      <c r="BS181" s="205"/>
      <c r="BT181" s="205"/>
      <c r="BU181" s="205"/>
      <c r="BV181" s="205"/>
      <c r="BW181" s="205"/>
      <c r="BX181" s="205"/>
      <c r="BY181" s="205"/>
      <c r="BZ181" s="205"/>
      <c r="CA181" s="205"/>
      <c r="CB181" s="205"/>
      <c r="CC181" s="205"/>
      <c r="CD181" s="205"/>
      <c r="CE181" s="205"/>
      <c r="CF181" s="205"/>
      <c r="CG181" s="205"/>
      <c r="CH181" s="205"/>
      <c r="CI181" s="205"/>
      <c r="CJ181" s="205"/>
      <c r="CK181" s="205"/>
      <c r="CL181" s="205"/>
      <c r="CM181" s="205"/>
      <c r="CN181" s="205"/>
      <c r="CO181" s="205"/>
      <c r="CP181" s="205"/>
      <c r="CQ181" s="205"/>
      <c r="CR181" s="205"/>
      <c r="CS181" s="205"/>
      <c r="CT181" s="205"/>
      <c r="CU181" s="205"/>
      <c r="CV181" s="205"/>
      <c r="CW181" s="205"/>
      <c r="CX181" s="205"/>
      <c r="CY181" s="205"/>
      <c r="CZ181" s="205"/>
      <c r="DA181" s="205"/>
      <c r="DB181" s="205"/>
      <c r="DC181" s="205"/>
      <c r="DD181" s="205"/>
      <c r="DE181" s="205"/>
      <c r="DF181" s="205"/>
      <c r="DG181" s="205"/>
      <c r="DH181" s="205"/>
      <c r="DI181" s="205"/>
      <c r="DJ181" s="205"/>
      <c r="DK181" s="205"/>
      <c r="DL181" s="205"/>
      <c r="DM181" s="205"/>
      <c r="DN181" s="205"/>
      <c r="DO181" s="205"/>
      <c r="DP181" s="205"/>
      <c r="DQ181" s="205"/>
      <c r="DR181" s="205"/>
      <c r="DS181" s="206"/>
      <c r="DT181" s="206"/>
      <c r="DU181" s="206"/>
      <c r="DV181" s="50"/>
      <c r="DW181" s="324"/>
      <c r="DX181" s="325"/>
      <c r="DY181" s="174"/>
    </row>
    <row r="182" spans="1:132" ht="52" hidden="1" x14ac:dyDescent="0.3">
      <c r="A182" s="70">
        <v>1</v>
      </c>
      <c r="B182" s="40" t="s">
        <v>55</v>
      </c>
      <c r="C182" s="381" t="s">
        <v>70</v>
      </c>
      <c r="D182" s="40" t="s">
        <v>56</v>
      </c>
      <c r="E182" s="42" t="s">
        <v>1175</v>
      </c>
      <c r="F182" s="40" t="s">
        <v>12</v>
      </c>
      <c r="G182" s="43">
        <v>1</v>
      </c>
      <c r="H182" s="43">
        <v>10</v>
      </c>
      <c r="I182" s="386">
        <v>7688001</v>
      </c>
      <c r="J182" s="386">
        <f t="shared" ref="J182:J185" si="26">I182*G182*H182</f>
        <v>76880010</v>
      </c>
      <c r="K182" s="386"/>
      <c r="L182" s="386"/>
      <c r="M182" s="386"/>
      <c r="N182" s="386"/>
      <c r="O182" s="387"/>
      <c r="P182" s="388"/>
      <c r="Q182" s="389"/>
      <c r="R182" s="389"/>
      <c r="S182" s="389"/>
      <c r="T182" s="389"/>
      <c r="U182" s="389"/>
      <c r="V182" s="389"/>
      <c r="W182" s="389"/>
      <c r="X182" s="389"/>
      <c r="Y182" s="389"/>
      <c r="Z182" s="389"/>
      <c r="AA182" s="389"/>
      <c r="AB182" s="389"/>
      <c r="AC182" s="389"/>
      <c r="AD182" s="389"/>
      <c r="AE182" s="389"/>
      <c r="AF182" s="389"/>
      <c r="AG182" s="389"/>
      <c r="AH182" s="389"/>
      <c r="AI182" s="389"/>
      <c r="AJ182" s="389"/>
      <c r="AK182" s="389"/>
      <c r="AL182" s="389"/>
      <c r="AM182" s="389"/>
      <c r="AN182" s="389"/>
      <c r="AO182" s="389"/>
      <c r="AP182" s="389"/>
      <c r="AQ182" s="389"/>
      <c r="AR182" s="389"/>
      <c r="AS182" s="389"/>
      <c r="AT182" s="389"/>
      <c r="AU182" s="389"/>
      <c r="AV182" s="389"/>
      <c r="AW182" s="389"/>
      <c r="AX182" s="389"/>
      <c r="AY182" s="389"/>
      <c r="AZ182" s="389"/>
      <c r="BA182" s="389"/>
      <c r="BB182" s="389"/>
      <c r="BC182" s="389"/>
      <c r="BD182" s="389"/>
      <c r="BE182" s="389"/>
      <c r="BF182" s="389"/>
      <c r="BG182" s="389"/>
      <c r="BH182" s="389"/>
      <c r="BI182" s="389"/>
      <c r="BJ182" s="389"/>
      <c r="BK182" s="390"/>
      <c r="BL182" s="389"/>
      <c r="BM182" s="390"/>
      <c r="BN182" s="389"/>
      <c r="BO182" s="389"/>
      <c r="BP182" s="389"/>
      <c r="BQ182" s="389"/>
      <c r="BR182" s="389"/>
      <c r="BS182" s="389"/>
      <c r="BT182" s="389"/>
      <c r="BU182" s="389"/>
      <c r="BV182" s="389"/>
      <c r="BW182" s="389"/>
      <c r="BX182" s="389"/>
      <c r="BY182" s="389"/>
      <c r="BZ182" s="389"/>
      <c r="CA182" s="389"/>
      <c r="CB182" s="389"/>
      <c r="CC182" s="389"/>
      <c r="CD182" s="389"/>
      <c r="CE182" s="389"/>
      <c r="CF182" s="389"/>
      <c r="CG182" s="389"/>
      <c r="CH182" s="389"/>
      <c r="CI182" s="389"/>
      <c r="CJ182" s="389"/>
      <c r="CK182" s="389"/>
      <c r="CL182" s="389"/>
      <c r="CM182" s="389"/>
      <c r="CN182" s="389"/>
      <c r="CO182" s="389"/>
      <c r="CP182" s="389"/>
      <c r="CQ182" s="389"/>
      <c r="CR182" s="389"/>
      <c r="CS182" s="389"/>
      <c r="CT182" s="389"/>
      <c r="CU182" s="389"/>
      <c r="CV182" s="389"/>
      <c r="CW182" s="389"/>
      <c r="CX182" s="389"/>
      <c r="CY182" s="389"/>
      <c r="CZ182" s="389"/>
      <c r="DA182" s="389"/>
      <c r="DB182" s="389"/>
      <c r="DC182" s="389"/>
      <c r="DD182" s="389"/>
      <c r="DE182" s="389"/>
      <c r="DF182" s="389"/>
      <c r="DG182" s="389"/>
      <c r="DH182" s="389"/>
      <c r="DI182" s="389"/>
      <c r="DJ182" s="389"/>
      <c r="DK182" s="389"/>
      <c r="DL182" s="389"/>
      <c r="DM182" s="389"/>
      <c r="DN182" s="389"/>
      <c r="DO182" s="389"/>
      <c r="DP182" s="389"/>
      <c r="DQ182" s="389"/>
      <c r="DR182" s="389"/>
      <c r="DS182" s="390"/>
      <c r="DT182" s="390"/>
      <c r="DU182" s="390"/>
      <c r="DV182" s="380"/>
      <c r="DW182" s="374">
        <f t="shared" ref="DW182:DW185" si="27">I182</f>
        <v>7688001</v>
      </c>
      <c r="DX182" s="330">
        <f t="shared" ref="DX182:DX185" si="28">+ROUND(DW182*G182*H182,0)</f>
        <v>76880010</v>
      </c>
      <c r="DY182" s="362" t="s">
        <v>323</v>
      </c>
    </row>
    <row r="183" spans="1:132" ht="52" hidden="1" x14ac:dyDescent="0.3">
      <c r="A183" s="19">
        <v>2</v>
      </c>
      <c r="B183" s="9" t="s">
        <v>55</v>
      </c>
      <c r="C183" s="93" t="s">
        <v>70</v>
      </c>
      <c r="D183" s="9" t="s">
        <v>16</v>
      </c>
      <c r="E183" s="42" t="s">
        <v>1175</v>
      </c>
      <c r="F183" s="9" t="s">
        <v>12</v>
      </c>
      <c r="G183" s="11">
        <v>1</v>
      </c>
      <c r="H183" s="11">
        <v>10</v>
      </c>
      <c r="I183" s="303">
        <v>7688001</v>
      </c>
      <c r="J183" s="303">
        <f t="shared" si="26"/>
        <v>76880010</v>
      </c>
      <c r="K183" s="303"/>
      <c r="L183" s="303"/>
      <c r="M183" s="303"/>
      <c r="N183" s="303"/>
      <c r="O183" s="304"/>
      <c r="P183" s="391"/>
      <c r="Q183" s="97"/>
      <c r="R183" s="97"/>
      <c r="S183" s="97"/>
      <c r="T183" s="97"/>
      <c r="U183" s="97"/>
      <c r="V183" s="97"/>
      <c r="W183" s="97"/>
      <c r="X183" s="97"/>
      <c r="Y183" s="97"/>
      <c r="Z183" s="97"/>
      <c r="AA183" s="97"/>
      <c r="AB183" s="97"/>
      <c r="AC183" s="97"/>
      <c r="AD183" s="97"/>
      <c r="AE183" s="97"/>
      <c r="AF183" s="97"/>
      <c r="AG183" s="97"/>
      <c r="AH183" s="97"/>
      <c r="AI183" s="97"/>
      <c r="AJ183" s="97"/>
      <c r="AK183" s="97"/>
      <c r="AL183" s="97"/>
      <c r="AM183" s="97"/>
      <c r="AN183" s="97"/>
      <c r="AO183" s="97"/>
      <c r="AP183" s="97"/>
      <c r="AQ183" s="97"/>
      <c r="AR183" s="97"/>
      <c r="AS183" s="97"/>
      <c r="AT183" s="97"/>
      <c r="AU183" s="97"/>
      <c r="AV183" s="97"/>
      <c r="AW183" s="97"/>
      <c r="AX183" s="97"/>
      <c r="AY183" s="97"/>
      <c r="AZ183" s="97"/>
      <c r="BA183" s="97"/>
      <c r="BB183" s="97"/>
      <c r="BC183" s="97"/>
      <c r="BD183" s="97"/>
      <c r="BE183" s="97"/>
      <c r="BF183" s="97"/>
      <c r="BG183" s="97"/>
      <c r="BH183" s="97"/>
      <c r="BI183" s="97"/>
      <c r="BJ183" s="97"/>
      <c r="BK183" s="306"/>
      <c r="BL183" s="97"/>
      <c r="BM183" s="306"/>
      <c r="BN183" s="97"/>
      <c r="BO183" s="97"/>
      <c r="BP183" s="97"/>
      <c r="BQ183" s="97"/>
      <c r="BR183" s="97"/>
      <c r="BS183" s="97"/>
      <c r="BT183" s="97"/>
      <c r="BU183" s="97"/>
      <c r="BV183" s="97"/>
      <c r="BW183" s="97"/>
      <c r="BX183" s="97"/>
      <c r="BY183" s="97"/>
      <c r="BZ183" s="97"/>
      <c r="CA183" s="97"/>
      <c r="CB183" s="97"/>
      <c r="CC183" s="97"/>
      <c r="CD183" s="97"/>
      <c r="CE183" s="97"/>
      <c r="CF183" s="97"/>
      <c r="CG183" s="97"/>
      <c r="CH183" s="97"/>
      <c r="CI183" s="97"/>
      <c r="CJ183" s="97"/>
      <c r="CK183" s="97"/>
      <c r="CL183" s="97"/>
      <c r="CM183" s="97"/>
      <c r="CN183" s="97"/>
      <c r="CO183" s="97"/>
      <c r="CP183" s="97"/>
      <c r="CQ183" s="97"/>
      <c r="CR183" s="97"/>
      <c r="CS183" s="97"/>
      <c r="CT183" s="97"/>
      <c r="CU183" s="97"/>
      <c r="CV183" s="97"/>
      <c r="CW183" s="97"/>
      <c r="CX183" s="97"/>
      <c r="CY183" s="97"/>
      <c r="CZ183" s="97"/>
      <c r="DA183" s="97"/>
      <c r="DB183" s="97"/>
      <c r="DC183" s="97"/>
      <c r="DD183" s="97"/>
      <c r="DE183" s="97"/>
      <c r="DF183" s="97"/>
      <c r="DG183" s="97"/>
      <c r="DH183" s="97"/>
      <c r="DI183" s="97"/>
      <c r="DJ183" s="97"/>
      <c r="DK183" s="97"/>
      <c r="DL183" s="97"/>
      <c r="DM183" s="97"/>
      <c r="DN183" s="97"/>
      <c r="DO183" s="97"/>
      <c r="DP183" s="97"/>
      <c r="DQ183" s="97"/>
      <c r="DR183" s="97"/>
      <c r="DS183" s="306"/>
      <c r="DT183" s="306"/>
      <c r="DU183" s="306"/>
      <c r="DV183" s="12"/>
      <c r="DW183" s="371">
        <f t="shared" si="27"/>
        <v>7688001</v>
      </c>
      <c r="DX183" s="326">
        <f t="shared" si="28"/>
        <v>76880010</v>
      </c>
      <c r="DY183" s="161" t="s">
        <v>323</v>
      </c>
    </row>
    <row r="184" spans="1:132" ht="52" hidden="1" x14ac:dyDescent="0.3">
      <c r="A184" s="19">
        <v>3</v>
      </c>
      <c r="B184" s="9" t="s">
        <v>55</v>
      </c>
      <c r="C184" s="93" t="s">
        <v>70</v>
      </c>
      <c r="D184" s="9" t="s">
        <v>429</v>
      </c>
      <c r="E184" s="42" t="s">
        <v>1175</v>
      </c>
      <c r="F184" s="9" t="s">
        <v>14</v>
      </c>
      <c r="G184" s="11">
        <v>2</v>
      </c>
      <c r="H184" s="11">
        <v>10</v>
      </c>
      <c r="I184" s="303">
        <f>3100001+((12/24)*(3500000-3100001))</f>
        <v>3300000.5</v>
      </c>
      <c r="J184" s="303">
        <f t="shared" si="26"/>
        <v>66000010</v>
      </c>
      <c r="K184" s="303"/>
      <c r="L184" s="303"/>
      <c r="M184" s="303"/>
      <c r="N184" s="303"/>
      <c r="O184" s="304"/>
      <c r="P184" s="391"/>
      <c r="Q184" s="97"/>
      <c r="R184" s="97"/>
      <c r="S184" s="97"/>
      <c r="T184" s="97"/>
      <c r="U184" s="97"/>
      <c r="V184" s="97"/>
      <c r="W184" s="97"/>
      <c r="X184" s="97"/>
      <c r="Y184" s="97"/>
      <c r="Z184" s="97"/>
      <c r="AA184" s="97"/>
      <c r="AB184" s="97"/>
      <c r="AC184" s="97"/>
      <c r="AD184" s="97"/>
      <c r="AE184" s="97"/>
      <c r="AF184" s="97"/>
      <c r="AG184" s="97"/>
      <c r="AH184" s="97"/>
      <c r="AI184" s="97"/>
      <c r="AJ184" s="97"/>
      <c r="AK184" s="97"/>
      <c r="AL184" s="97"/>
      <c r="AM184" s="97"/>
      <c r="AN184" s="97"/>
      <c r="AO184" s="97"/>
      <c r="AP184" s="97"/>
      <c r="AQ184" s="97"/>
      <c r="AR184" s="97"/>
      <c r="AS184" s="97"/>
      <c r="AT184" s="97"/>
      <c r="AU184" s="97"/>
      <c r="AV184" s="97"/>
      <c r="AW184" s="97"/>
      <c r="AX184" s="97"/>
      <c r="AY184" s="97"/>
      <c r="AZ184" s="97"/>
      <c r="BA184" s="97"/>
      <c r="BB184" s="97"/>
      <c r="BC184" s="97"/>
      <c r="BD184" s="97"/>
      <c r="BE184" s="97"/>
      <c r="BF184" s="97"/>
      <c r="BG184" s="97"/>
      <c r="BH184" s="97"/>
      <c r="BI184" s="97"/>
      <c r="BJ184" s="97"/>
      <c r="BK184" s="306"/>
      <c r="BL184" s="97"/>
      <c r="BM184" s="306"/>
      <c r="BN184" s="97"/>
      <c r="BO184" s="97"/>
      <c r="BP184" s="97"/>
      <c r="BQ184" s="97"/>
      <c r="BR184" s="97"/>
      <c r="BS184" s="97"/>
      <c r="BT184" s="97"/>
      <c r="BU184" s="97"/>
      <c r="BV184" s="97"/>
      <c r="BW184" s="97"/>
      <c r="BX184" s="97"/>
      <c r="BY184" s="97"/>
      <c r="BZ184" s="97"/>
      <c r="CA184" s="97"/>
      <c r="CB184" s="97"/>
      <c r="CC184" s="97"/>
      <c r="CD184" s="97"/>
      <c r="CE184" s="97"/>
      <c r="CF184" s="97"/>
      <c r="CG184" s="97"/>
      <c r="CH184" s="97"/>
      <c r="CI184" s="97"/>
      <c r="CJ184" s="97"/>
      <c r="CK184" s="97"/>
      <c r="CL184" s="97"/>
      <c r="CM184" s="97"/>
      <c r="CN184" s="97"/>
      <c r="CO184" s="97"/>
      <c r="CP184" s="97"/>
      <c r="CQ184" s="97"/>
      <c r="CR184" s="97"/>
      <c r="CS184" s="97"/>
      <c r="CT184" s="97"/>
      <c r="CU184" s="97"/>
      <c r="CV184" s="97"/>
      <c r="CW184" s="97"/>
      <c r="CX184" s="97"/>
      <c r="CY184" s="97"/>
      <c r="CZ184" s="97"/>
      <c r="DA184" s="97"/>
      <c r="DB184" s="97"/>
      <c r="DC184" s="97"/>
      <c r="DD184" s="97"/>
      <c r="DE184" s="97"/>
      <c r="DF184" s="97"/>
      <c r="DG184" s="97"/>
      <c r="DH184" s="97"/>
      <c r="DI184" s="97"/>
      <c r="DJ184" s="97"/>
      <c r="DK184" s="97"/>
      <c r="DL184" s="97"/>
      <c r="DM184" s="97"/>
      <c r="DN184" s="97"/>
      <c r="DO184" s="97"/>
      <c r="DP184" s="97"/>
      <c r="DQ184" s="97"/>
      <c r="DR184" s="97"/>
      <c r="DS184" s="306"/>
      <c r="DT184" s="306"/>
      <c r="DU184" s="306"/>
      <c r="DV184" s="12"/>
      <c r="DW184" s="371">
        <f t="shared" si="27"/>
        <v>3300000.5</v>
      </c>
      <c r="DX184" s="13">
        <f t="shared" si="28"/>
        <v>66000010</v>
      </c>
      <c r="DY184" s="161" t="s">
        <v>323</v>
      </c>
    </row>
    <row r="185" spans="1:132" ht="52" hidden="1" x14ac:dyDescent="0.3">
      <c r="A185" s="19">
        <v>4</v>
      </c>
      <c r="B185" s="9" t="s">
        <v>55</v>
      </c>
      <c r="C185" s="93" t="s">
        <v>70</v>
      </c>
      <c r="D185" s="9" t="s">
        <v>428</v>
      </c>
      <c r="E185" s="10" t="s">
        <v>336</v>
      </c>
      <c r="F185" s="9" t="s">
        <v>14</v>
      </c>
      <c r="G185" s="11">
        <v>2</v>
      </c>
      <c r="H185" s="11">
        <v>10</v>
      </c>
      <c r="I185" s="392">
        <f>1540000+((12/23)*(2063000-1540000))</f>
        <v>1812869.5652173914</v>
      </c>
      <c r="J185" s="303">
        <f t="shared" si="26"/>
        <v>36257391.304347828</v>
      </c>
      <c r="K185" s="303"/>
      <c r="L185" s="303"/>
      <c r="M185" s="303"/>
      <c r="N185" s="303"/>
      <c r="O185" s="304"/>
      <c r="P185" s="391"/>
      <c r="Q185" s="97"/>
      <c r="R185" s="97"/>
      <c r="S185" s="97"/>
      <c r="T185" s="97"/>
      <c r="U185" s="97"/>
      <c r="V185" s="97"/>
      <c r="W185" s="97"/>
      <c r="X185" s="97"/>
      <c r="Y185" s="97"/>
      <c r="Z185" s="97"/>
      <c r="AA185" s="97"/>
      <c r="AB185" s="97"/>
      <c r="AC185" s="97"/>
      <c r="AD185" s="97"/>
      <c r="AE185" s="97"/>
      <c r="AF185" s="97"/>
      <c r="AG185" s="97"/>
      <c r="AH185" s="97"/>
      <c r="AI185" s="97"/>
      <c r="AJ185" s="97"/>
      <c r="AK185" s="97"/>
      <c r="AL185" s="97"/>
      <c r="AM185" s="97"/>
      <c r="AN185" s="97"/>
      <c r="AO185" s="97"/>
      <c r="AP185" s="97"/>
      <c r="AQ185" s="97"/>
      <c r="AR185" s="97"/>
      <c r="AS185" s="97"/>
      <c r="AT185" s="97"/>
      <c r="AU185" s="97"/>
      <c r="AV185" s="97"/>
      <c r="AW185" s="97"/>
      <c r="AX185" s="97"/>
      <c r="AY185" s="97"/>
      <c r="AZ185" s="97"/>
      <c r="BA185" s="97"/>
      <c r="BB185" s="97"/>
      <c r="BC185" s="97"/>
      <c r="BD185" s="97"/>
      <c r="BE185" s="97"/>
      <c r="BF185" s="97"/>
      <c r="BG185" s="97"/>
      <c r="BH185" s="97"/>
      <c r="BI185" s="97"/>
      <c r="BJ185" s="97"/>
      <c r="BK185" s="306"/>
      <c r="BL185" s="97"/>
      <c r="BM185" s="306"/>
      <c r="BN185" s="97"/>
      <c r="BO185" s="97"/>
      <c r="BP185" s="97"/>
      <c r="BQ185" s="97"/>
      <c r="BR185" s="97"/>
      <c r="BS185" s="97"/>
      <c r="BT185" s="97"/>
      <c r="BU185" s="97"/>
      <c r="BV185" s="97"/>
      <c r="BW185" s="97"/>
      <c r="BX185" s="97"/>
      <c r="BY185" s="97"/>
      <c r="BZ185" s="97"/>
      <c r="CA185" s="97"/>
      <c r="CB185" s="97"/>
      <c r="CC185" s="97"/>
      <c r="CD185" s="97"/>
      <c r="CE185" s="97"/>
      <c r="CF185" s="97"/>
      <c r="CG185" s="97"/>
      <c r="CH185" s="97"/>
      <c r="CI185" s="97"/>
      <c r="CJ185" s="97"/>
      <c r="CK185" s="97"/>
      <c r="CL185" s="97"/>
      <c r="CM185" s="97"/>
      <c r="CN185" s="97"/>
      <c r="CO185" s="97"/>
      <c r="CP185" s="97"/>
      <c r="CQ185" s="97"/>
      <c r="CR185" s="97"/>
      <c r="CS185" s="97"/>
      <c r="CT185" s="97"/>
      <c r="CU185" s="97"/>
      <c r="CV185" s="97"/>
      <c r="CW185" s="97"/>
      <c r="CX185" s="97"/>
      <c r="CY185" s="97"/>
      <c r="CZ185" s="97"/>
      <c r="DA185" s="97"/>
      <c r="DB185" s="97"/>
      <c r="DC185" s="97"/>
      <c r="DD185" s="97"/>
      <c r="DE185" s="97"/>
      <c r="DF185" s="97"/>
      <c r="DG185" s="97"/>
      <c r="DH185" s="97"/>
      <c r="DI185" s="97"/>
      <c r="DJ185" s="97"/>
      <c r="DK185" s="97"/>
      <c r="DL185" s="97"/>
      <c r="DM185" s="97"/>
      <c r="DN185" s="97"/>
      <c r="DO185" s="97"/>
      <c r="DP185" s="97"/>
      <c r="DQ185" s="97"/>
      <c r="DR185" s="97"/>
      <c r="DS185" s="306"/>
      <c r="DT185" s="306"/>
      <c r="DU185" s="306"/>
      <c r="DV185" s="12"/>
      <c r="DW185" s="371">
        <f t="shared" si="27"/>
        <v>1812869.5652173914</v>
      </c>
      <c r="DX185" s="13">
        <f t="shared" si="28"/>
        <v>36257391</v>
      </c>
      <c r="DY185" s="161" t="s">
        <v>323</v>
      </c>
    </row>
    <row r="186" spans="1:132" s="63" customFormat="1" ht="17.5" hidden="1" customHeight="1" x14ac:dyDescent="0.3">
      <c r="A186" s="153" t="s">
        <v>350</v>
      </c>
      <c r="B186" s="153"/>
      <c r="C186" s="153"/>
      <c r="D186" s="153"/>
      <c r="E186" s="153"/>
      <c r="F186" s="151"/>
      <c r="G186" s="151"/>
      <c r="H186" s="151"/>
      <c r="I186" s="285"/>
      <c r="J186" s="285"/>
      <c r="K186" s="285"/>
      <c r="L186" s="285"/>
      <c r="M186" s="285"/>
      <c r="N186" s="285"/>
      <c r="O186" s="286"/>
      <c r="P186" s="286"/>
      <c r="Q186" s="286"/>
      <c r="R186" s="286"/>
      <c r="S186" s="286"/>
      <c r="T186" s="286"/>
      <c r="U186" s="286"/>
      <c r="V186" s="286"/>
      <c r="W186" s="286"/>
      <c r="X186" s="286"/>
      <c r="Y186" s="286"/>
      <c r="Z186" s="286"/>
      <c r="AA186" s="286"/>
      <c r="AB186" s="286"/>
      <c r="AC186" s="286"/>
      <c r="AD186" s="286"/>
      <c r="AE186" s="286"/>
      <c r="AF186" s="286"/>
      <c r="AG186" s="286"/>
      <c r="AH186" s="286"/>
      <c r="AI186" s="286"/>
      <c r="AJ186" s="286"/>
      <c r="AK186" s="286"/>
      <c r="AL186" s="286"/>
      <c r="AM186" s="286"/>
      <c r="AN186" s="286"/>
      <c r="AO186" s="286"/>
      <c r="AP186" s="286"/>
      <c r="AQ186" s="286"/>
      <c r="AR186" s="286"/>
      <c r="AS186" s="286"/>
      <c r="AT186" s="286"/>
      <c r="AU186" s="286"/>
      <c r="AV186" s="286"/>
      <c r="AW186" s="286"/>
      <c r="AX186" s="286"/>
      <c r="AY186" s="286"/>
      <c r="AZ186" s="286"/>
      <c r="BA186" s="286"/>
      <c r="BB186" s="286"/>
      <c r="BC186" s="286"/>
      <c r="BD186" s="286"/>
      <c r="BE186" s="286"/>
      <c r="BF186" s="286"/>
      <c r="BG186" s="286"/>
      <c r="BH186" s="286"/>
      <c r="BI186" s="286"/>
      <c r="BJ186" s="286"/>
      <c r="BK186" s="286"/>
      <c r="BL186" s="287"/>
      <c r="BM186" s="286"/>
      <c r="BN186" s="287"/>
      <c r="BO186" s="287"/>
      <c r="BP186" s="287"/>
      <c r="BQ186" s="287"/>
      <c r="BR186" s="287"/>
      <c r="BS186" s="287"/>
      <c r="BT186" s="287"/>
      <c r="BU186" s="287"/>
      <c r="BV186" s="287"/>
      <c r="BW186" s="287"/>
      <c r="BX186" s="287"/>
      <c r="BY186" s="287"/>
      <c r="BZ186" s="287"/>
      <c r="CA186" s="287"/>
      <c r="CB186" s="287"/>
      <c r="CC186" s="287"/>
      <c r="CD186" s="287"/>
      <c r="CE186" s="287"/>
      <c r="CF186" s="287"/>
      <c r="CG186" s="287"/>
      <c r="CH186" s="287"/>
      <c r="CI186" s="287"/>
      <c r="CJ186" s="287"/>
      <c r="CK186" s="287"/>
      <c r="CL186" s="287"/>
      <c r="CM186" s="287"/>
      <c r="CN186" s="287"/>
      <c r="CO186" s="287"/>
      <c r="CP186" s="287"/>
      <c r="CQ186" s="287"/>
      <c r="CR186" s="287"/>
      <c r="CS186" s="287"/>
      <c r="CT186" s="287"/>
      <c r="CU186" s="287"/>
      <c r="CV186" s="287"/>
      <c r="CW186" s="287"/>
      <c r="CX186" s="287"/>
      <c r="CY186" s="287"/>
      <c r="CZ186" s="287"/>
      <c r="DA186" s="287"/>
      <c r="DB186" s="287"/>
      <c r="DC186" s="287"/>
      <c r="DD186" s="287"/>
      <c r="DE186" s="287"/>
      <c r="DF186" s="287"/>
      <c r="DG186" s="287"/>
      <c r="DH186" s="287"/>
      <c r="DI186" s="287"/>
      <c r="DJ186" s="287"/>
      <c r="DK186" s="287"/>
      <c r="DL186" s="287"/>
      <c r="DM186" s="287"/>
      <c r="DN186" s="287"/>
      <c r="DO186" s="287"/>
      <c r="DP186" s="287"/>
      <c r="DQ186" s="287"/>
      <c r="DR186" s="287"/>
      <c r="DS186" s="286"/>
      <c r="DT186" s="286"/>
      <c r="DU186" s="286"/>
      <c r="DV186" s="152"/>
      <c r="DW186" s="154">
        <f>SUM(DW182:DW185)</f>
        <v>20488872.065217391</v>
      </c>
      <c r="DX186" s="154">
        <f>SUM(DX182:DX185)</f>
        <v>256017421</v>
      </c>
      <c r="DY186" s="169"/>
      <c r="DZ186" s="609"/>
      <c r="EA186" s="609"/>
      <c r="EB186" s="609"/>
    </row>
    <row r="187" spans="1:132" ht="144.65" hidden="1" customHeight="1" x14ac:dyDescent="0.3">
      <c r="A187" s="415">
        <v>5</v>
      </c>
      <c r="B187" s="416" t="s">
        <v>55</v>
      </c>
      <c r="C187" s="416" t="s">
        <v>349</v>
      </c>
      <c r="D187" s="416" t="s">
        <v>348</v>
      </c>
      <c r="E187" s="418" t="s">
        <v>442</v>
      </c>
      <c r="F187" s="416" t="s">
        <v>28</v>
      </c>
      <c r="G187" s="420">
        <v>1</v>
      </c>
      <c r="H187" s="420"/>
      <c r="I187" s="421"/>
      <c r="J187" s="421"/>
      <c r="K187" s="421"/>
      <c r="L187" s="421"/>
      <c r="M187" s="421"/>
      <c r="N187" s="421"/>
      <c r="O187" s="422"/>
      <c r="P187" s="422"/>
      <c r="Q187" s="424"/>
      <c r="R187" s="424"/>
      <c r="S187" s="424"/>
      <c r="T187" s="424"/>
      <c r="U187" s="424"/>
      <c r="V187" s="424"/>
      <c r="W187" s="424"/>
      <c r="X187" s="424"/>
      <c r="Y187" s="424"/>
      <c r="Z187" s="424"/>
      <c r="AA187" s="424"/>
      <c r="AB187" s="424"/>
      <c r="AC187" s="424"/>
      <c r="AD187" s="424"/>
      <c r="AE187" s="424"/>
      <c r="AF187" s="424"/>
      <c r="AG187" s="424"/>
      <c r="AH187" s="424"/>
      <c r="AI187" s="424"/>
      <c r="AJ187" s="424"/>
      <c r="AK187" s="424"/>
      <c r="AL187" s="424"/>
      <c r="AM187" s="424"/>
      <c r="AN187" s="424"/>
      <c r="AO187" s="424"/>
      <c r="AP187" s="424"/>
      <c r="AQ187" s="424"/>
      <c r="AR187" s="424"/>
      <c r="AS187" s="424"/>
      <c r="AT187" s="424"/>
      <c r="AU187" s="424"/>
      <c r="AV187" s="424"/>
      <c r="AW187" s="424"/>
      <c r="AX187" s="424"/>
      <c r="AY187" s="424"/>
      <c r="AZ187" s="424"/>
      <c r="BA187" s="424"/>
      <c r="BB187" s="424"/>
      <c r="BC187" s="424"/>
      <c r="BD187" s="424"/>
      <c r="BE187" s="424"/>
      <c r="BF187" s="424"/>
      <c r="BG187" s="424"/>
      <c r="BH187" s="424"/>
      <c r="BI187" s="424"/>
      <c r="BJ187" s="424"/>
      <c r="BK187" s="425"/>
      <c r="BL187" s="424"/>
      <c r="BM187" s="425"/>
      <c r="BN187" s="424"/>
      <c r="BO187" s="424"/>
      <c r="BP187" s="424"/>
      <c r="BQ187" s="424"/>
      <c r="BR187" s="424"/>
      <c r="BS187" s="424"/>
      <c r="BT187" s="424"/>
      <c r="BU187" s="424"/>
      <c r="BV187" s="424"/>
      <c r="BW187" s="424"/>
      <c r="BX187" s="424"/>
      <c r="BY187" s="424"/>
      <c r="BZ187" s="424"/>
      <c r="CA187" s="424"/>
      <c r="CB187" s="424"/>
      <c r="CC187" s="424"/>
      <c r="CD187" s="424"/>
      <c r="CE187" s="424"/>
      <c r="CF187" s="424"/>
      <c r="CG187" s="424"/>
      <c r="CH187" s="424"/>
      <c r="CI187" s="424"/>
      <c r="CJ187" s="424"/>
      <c r="CK187" s="424"/>
      <c r="CL187" s="424"/>
      <c r="CM187" s="424"/>
      <c r="CN187" s="424"/>
      <c r="CO187" s="424"/>
      <c r="CP187" s="424"/>
      <c r="CQ187" s="424"/>
      <c r="CR187" s="424"/>
      <c r="CS187" s="424"/>
      <c r="CT187" s="424"/>
      <c r="CU187" s="424"/>
      <c r="CV187" s="424"/>
      <c r="CW187" s="424"/>
      <c r="CX187" s="424"/>
      <c r="CY187" s="424"/>
      <c r="CZ187" s="424"/>
      <c r="DA187" s="424"/>
      <c r="DB187" s="424"/>
      <c r="DC187" s="424"/>
      <c r="DD187" s="424"/>
      <c r="DE187" s="424"/>
      <c r="DF187" s="424"/>
      <c r="DG187" s="424"/>
      <c r="DH187" s="424"/>
      <c r="DI187" s="424"/>
      <c r="DJ187" s="424"/>
      <c r="DK187" s="424"/>
      <c r="DL187" s="424"/>
      <c r="DM187" s="424"/>
      <c r="DN187" s="424"/>
      <c r="DO187" s="424"/>
      <c r="DP187" s="424"/>
      <c r="DQ187" s="424"/>
      <c r="DR187" s="424"/>
      <c r="DS187" s="425"/>
      <c r="DT187" s="425"/>
      <c r="DU187" s="425"/>
      <c r="DV187" s="569"/>
      <c r="DW187" s="570">
        <v>17907722.800000001</v>
      </c>
      <c r="DX187" s="426">
        <f>+DW187</f>
        <v>17907722.800000001</v>
      </c>
      <c r="DY187" s="571" t="s">
        <v>527</v>
      </c>
      <c r="DZ187" s="614"/>
      <c r="EA187" s="616"/>
    </row>
    <row r="188" spans="1:132" s="63" customFormat="1" ht="22" hidden="1" customHeight="1" x14ac:dyDescent="0.3">
      <c r="A188" s="66" t="s">
        <v>351</v>
      </c>
      <c r="B188" s="66"/>
      <c r="C188" s="66"/>
      <c r="D188" s="66"/>
      <c r="E188" s="66"/>
      <c r="F188" s="67"/>
      <c r="G188" s="67"/>
      <c r="H188" s="67"/>
      <c r="I188" s="214"/>
      <c r="J188" s="214"/>
      <c r="K188" s="214"/>
      <c r="L188" s="214"/>
      <c r="M188" s="214"/>
      <c r="N188" s="214"/>
      <c r="O188" s="215"/>
      <c r="P188" s="215"/>
      <c r="Q188" s="215"/>
      <c r="R188" s="215"/>
      <c r="S188" s="215"/>
      <c r="T188" s="215"/>
      <c r="U188" s="215"/>
      <c r="V188" s="215"/>
      <c r="W188" s="215"/>
      <c r="X188" s="215"/>
      <c r="Y188" s="215"/>
      <c r="Z188" s="215"/>
      <c r="AA188" s="215"/>
      <c r="AB188" s="215"/>
      <c r="AC188" s="215"/>
      <c r="AD188" s="215"/>
      <c r="AE188" s="215"/>
      <c r="AF188" s="215"/>
      <c r="AG188" s="215"/>
      <c r="AH188" s="215"/>
      <c r="AI188" s="215"/>
      <c r="AJ188" s="215"/>
      <c r="AK188" s="215"/>
      <c r="AL188" s="215"/>
      <c r="AM188" s="215"/>
      <c r="AN188" s="215"/>
      <c r="AO188" s="215"/>
      <c r="AP188" s="215"/>
      <c r="AQ188" s="215"/>
      <c r="AR188" s="215"/>
      <c r="AS188" s="215"/>
      <c r="AT188" s="215"/>
      <c r="AU188" s="215"/>
      <c r="AV188" s="215"/>
      <c r="AW188" s="215"/>
      <c r="AX188" s="215"/>
      <c r="AY188" s="215"/>
      <c r="AZ188" s="215"/>
      <c r="BA188" s="215"/>
      <c r="BB188" s="215"/>
      <c r="BC188" s="215"/>
      <c r="BD188" s="215"/>
      <c r="BE188" s="215"/>
      <c r="BF188" s="215"/>
      <c r="BG188" s="215"/>
      <c r="BH188" s="215"/>
      <c r="BI188" s="215"/>
      <c r="BJ188" s="215"/>
      <c r="BK188" s="215"/>
      <c r="BL188" s="216"/>
      <c r="BM188" s="215"/>
      <c r="BN188" s="216"/>
      <c r="BO188" s="216"/>
      <c r="BP188" s="216"/>
      <c r="BQ188" s="216"/>
      <c r="BR188" s="216"/>
      <c r="BS188" s="216"/>
      <c r="BT188" s="216"/>
      <c r="BU188" s="216"/>
      <c r="BV188" s="216"/>
      <c r="BW188" s="216"/>
      <c r="BX188" s="216"/>
      <c r="BY188" s="216"/>
      <c r="BZ188" s="216"/>
      <c r="CA188" s="216"/>
      <c r="CB188" s="216"/>
      <c r="CC188" s="216"/>
      <c r="CD188" s="216"/>
      <c r="CE188" s="216"/>
      <c r="CF188" s="216"/>
      <c r="CG188" s="216"/>
      <c r="CH188" s="216"/>
      <c r="CI188" s="216"/>
      <c r="CJ188" s="216"/>
      <c r="CK188" s="216"/>
      <c r="CL188" s="216"/>
      <c r="CM188" s="216"/>
      <c r="CN188" s="216"/>
      <c r="CO188" s="216"/>
      <c r="CP188" s="216"/>
      <c r="CQ188" s="216"/>
      <c r="CR188" s="216"/>
      <c r="CS188" s="216"/>
      <c r="CT188" s="216"/>
      <c r="CU188" s="216"/>
      <c r="CV188" s="216"/>
      <c r="CW188" s="216"/>
      <c r="CX188" s="216"/>
      <c r="CY188" s="216"/>
      <c r="CZ188" s="216"/>
      <c r="DA188" s="216"/>
      <c r="DB188" s="216"/>
      <c r="DC188" s="216"/>
      <c r="DD188" s="216"/>
      <c r="DE188" s="216"/>
      <c r="DF188" s="216"/>
      <c r="DG188" s="216"/>
      <c r="DH188" s="216"/>
      <c r="DI188" s="216"/>
      <c r="DJ188" s="216"/>
      <c r="DK188" s="216"/>
      <c r="DL188" s="216"/>
      <c r="DM188" s="216"/>
      <c r="DN188" s="216"/>
      <c r="DO188" s="216"/>
      <c r="DP188" s="216"/>
      <c r="DQ188" s="216"/>
      <c r="DR188" s="216"/>
      <c r="DS188" s="215"/>
      <c r="DT188" s="215"/>
      <c r="DU188" s="215"/>
      <c r="DV188" s="68"/>
      <c r="DW188" s="69">
        <f>+DW187</f>
        <v>17907722.800000001</v>
      </c>
      <c r="DX188" s="69">
        <f>+DX187</f>
        <v>17907722.800000001</v>
      </c>
      <c r="DY188" s="165"/>
      <c r="DZ188" s="617"/>
      <c r="EA188" s="609"/>
      <c r="EB188" s="609"/>
    </row>
    <row r="189" spans="1:132" ht="156" hidden="1" x14ac:dyDescent="0.3">
      <c r="A189" s="70">
        <v>6</v>
      </c>
      <c r="B189" s="40" t="s">
        <v>55</v>
      </c>
      <c r="C189" s="40" t="s">
        <v>79</v>
      </c>
      <c r="D189" s="40" t="s">
        <v>72</v>
      </c>
      <c r="E189" s="42" t="s">
        <v>113</v>
      </c>
      <c r="F189" s="70" t="s">
        <v>17</v>
      </c>
      <c r="G189" s="43">
        <v>25</v>
      </c>
      <c r="H189" s="43">
        <v>1</v>
      </c>
      <c r="I189" s="207"/>
      <c r="J189" s="207"/>
      <c r="K189" s="207"/>
      <c r="L189" s="207"/>
      <c r="M189" s="207"/>
      <c r="N189" s="207"/>
      <c r="O189" s="208"/>
      <c r="P189" s="217"/>
      <c r="Q189" s="209"/>
      <c r="R189" s="209"/>
      <c r="S189" s="209"/>
      <c r="T189" s="209"/>
      <c r="U189" s="209"/>
      <c r="V189" s="209"/>
      <c r="W189" s="209"/>
      <c r="X189" s="209"/>
      <c r="Y189" s="209"/>
      <c r="Z189" s="209"/>
      <c r="AA189" s="209"/>
      <c r="AB189" s="209"/>
      <c r="AC189" s="209"/>
      <c r="AD189" s="209"/>
      <c r="AE189" s="209"/>
      <c r="AF189" s="209"/>
      <c r="AG189" s="209"/>
      <c r="AH189" s="209"/>
      <c r="AI189" s="209"/>
      <c r="AJ189" s="209"/>
      <c r="AK189" s="209"/>
      <c r="AL189" s="209"/>
      <c r="AM189" s="209"/>
      <c r="AN189" s="209"/>
      <c r="AO189" s="209"/>
      <c r="AP189" s="209"/>
      <c r="AQ189" s="209"/>
      <c r="AR189" s="209"/>
      <c r="AS189" s="209"/>
      <c r="AT189" s="209"/>
      <c r="AU189" s="209"/>
      <c r="AV189" s="209"/>
      <c r="AW189" s="209"/>
      <c r="AX189" s="209"/>
      <c r="AY189" s="209"/>
      <c r="AZ189" s="209"/>
      <c r="BA189" s="209"/>
      <c r="BB189" s="209"/>
      <c r="BC189" s="209"/>
      <c r="BD189" s="209"/>
      <c r="BE189" s="209"/>
      <c r="BF189" s="209"/>
      <c r="BG189" s="209"/>
      <c r="BH189" s="209"/>
      <c r="BI189" s="209"/>
      <c r="BJ189" s="209"/>
      <c r="BK189" s="210"/>
      <c r="BL189" s="209"/>
      <c r="BM189" s="210"/>
      <c r="BN189" s="209"/>
      <c r="BO189" s="209"/>
      <c r="BP189" s="209"/>
      <c r="BQ189" s="209"/>
      <c r="BR189" s="209"/>
      <c r="BS189" s="209"/>
      <c r="BT189" s="209"/>
      <c r="BU189" s="209"/>
      <c r="BV189" s="209"/>
      <c r="BW189" s="209"/>
      <c r="BX189" s="209"/>
      <c r="BY189" s="209"/>
      <c r="BZ189" s="209"/>
      <c r="CA189" s="209"/>
      <c r="CB189" s="209"/>
      <c r="CC189" s="209"/>
      <c r="CD189" s="209"/>
      <c r="CE189" s="209"/>
      <c r="CF189" s="209"/>
      <c r="CG189" s="209"/>
      <c r="CH189" s="209"/>
      <c r="CI189" s="209"/>
      <c r="CJ189" s="209"/>
      <c r="CK189" s="209"/>
      <c r="CL189" s="209"/>
      <c r="CM189" s="209"/>
      <c r="CN189" s="209"/>
      <c r="CO189" s="208"/>
      <c r="CP189" s="209"/>
      <c r="CQ189" s="218"/>
      <c r="CR189" s="209"/>
      <c r="CS189" s="33"/>
      <c r="CT189" s="46"/>
      <c r="CU189" s="218">
        <v>450000</v>
      </c>
      <c r="CV189" s="46">
        <f>CU189*G189</f>
        <v>11250000</v>
      </c>
      <c r="CW189" s="248"/>
      <c r="CX189" s="46"/>
      <c r="CY189" s="248">
        <v>400000</v>
      </c>
      <c r="CZ189" s="46">
        <f>CY189*G189*H189</f>
        <v>10000000</v>
      </c>
      <c r="DA189" s="46"/>
      <c r="DB189" s="46"/>
      <c r="DC189" s="248"/>
      <c r="DD189" s="46"/>
      <c r="DE189" s="46"/>
      <c r="DF189" s="46"/>
      <c r="DG189" s="46"/>
      <c r="DH189" s="46"/>
      <c r="DI189" s="46"/>
      <c r="DJ189" s="46"/>
      <c r="DK189" s="46"/>
      <c r="DL189" s="46"/>
      <c r="DM189" s="46"/>
      <c r="DN189" s="46"/>
      <c r="DO189" s="46"/>
      <c r="DP189" s="46"/>
      <c r="DQ189" s="46"/>
      <c r="DR189" s="46"/>
      <c r="DS189" s="65">
        <f>+MEDIAN(CU189,CY189)</f>
        <v>425000</v>
      </c>
      <c r="DT189" s="65">
        <f>+AVERAGE(CU189,CY189)</f>
        <v>425000</v>
      </c>
      <c r="DU189" s="65">
        <f>+STDEV(CU189,CY189)</f>
        <v>35355.33905932738</v>
      </c>
      <c r="DV189" s="64">
        <f t="shared" ref="DV189:DV194" si="29">DU189/DT189</f>
        <v>8.3189033080770303E-2</v>
      </c>
      <c r="DW189" s="375">
        <f t="shared" ref="DW189:DW194" si="30">+ROUNDUP(IF(DV189&lt;15%,DT189,DS189),0)</f>
        <v>425000</v>
      </c>
      <c r="DX189" s="330">
        <f t="shared" ref="DX189:DX201" si="31">+ROUND(DW189*G189*H189,0)</f>
        <v>10625000</v>
      </c>
      <c r="DY189" s="42" t="s">
        <v>448</v>
      </c>
    </row>
    <row r="190" spans="1:132" ht="91" hidden="1" x14ac:dyDescent="0.3">
      <c r="A190" s="19">
        <v>7</v>
      </c>
      <c r="B190" s="9" t="s">
        <v>55</v>
      </c>
      <c r="C190" s="9" t="s">
        <v>79</v>
      </c>
      <c r="D190" s="9" t="s">
        <v>487</v>
      </c>
      <c r="E190" s="10" t="s">
        <v>109</v>
      </c>
      <c r="F190" s="19" t="s">
        <v>19</v>
      </c>
      <c r="G190" s="11">
        <v>25</v>
      </c>
      <c r="H190" s="11">
        <v>1</v>
      </c>
      <c r="I190" s="220"/>
      <c r="J190" s="220"/>
      <c r="K190" s="220"/>
      <c r="L190" s="220"/>
      <c r="M190" s="220"/>
      <c r="N190" s="220"/>
      <c r="O190" s="221">
        <v>15100</v>
      </c>
      <c r="P190" s="222">
        <f>O190*G190</f>
        <v>377500</v>
      </c>
      <c r="Q190" s="52">
        <v>18963</v>
      </c>
      <c r="R190" s="223">
        <f>Q190*G190</f>
        <v>474075</v>
      </c>
      <c r="S190" s="52">
        <v>16832</v>
      </c>
      <c r="T190" s="223">
        <f>S190*G190</f>
        <v>420800</v>
      </c>
      <c r="U190" s="223"/>
      <c r="V190" s="223"/>
      <c r="W190" s="223"/>
      <c r="X190" s="223"/>
      <c r="Y190" s="223"/>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c r="BI190" s="32"/>
      <c r="BJ190" s="32"/>
      <c r="BK190" s="192"/>
      <c r="BL190" s="32"/>
      <c r="BM190" s="192"/>
      <c r="BN190" s="32"/>
      <c r="BO190" s="32"/>
      <c r="BP190" s="32"/>
      <c r="BQ190" s="32"/>
      <c r="BR190" s="32"/>
      <c r="BS190" s="32"/>
      <c r="BT190" s="32"/>
      <c r="BU190" s="32"/>
      <c r="BV190" s="32"/>
      <c r="BW190" s="32"/>
      <c r="BX190" s="32"/>
      <c r="BY190" s="32"/>
      <c r="BZ190" s="32"/>
      <c r="CA190" s="32"/>
      <c r="CB190" s="32"/>
      <c r="CC190" s="32"/>
      <c r="CD190" s="32"/>
      <c r="CE190" s="32"/>
      <c r="CF190" s="32"/>
      <c r="CG190" s="32"/>
      <c r="CH190" s="32"/>
      <c r="CI190" s="32"/>
      <c r="CJ190" s="32"/>
      <c r="CK190" s="32"/>
      <c r="CL190" s="32"/>
      <c r="CM190" s="32"/>
      <c r="CN190" s="32"/>
      <c r="CO190" s="32"/>
      <c r="CP190" s="32"/>
      <c r="CQ190" s="32"/>
      <c r="CR190" s="32"/>
      <c r="CS190" s="32"/>
      <c r="CT190" s="32"/>
      <c r="CU190" s="32"/>
      <c r="CV190" s="32"/>
      <c r="CW190" s="32"/>
      <c r="CX190" s="32"/>
      <c r="CY190" s="32"/>
      <c r="CZ190" s="32"/>
      <c r="DA190" s="32"/>
      <c r="DB190" s="32"/>
      <c r="DC190" s="32"/>
      <c r="DD190" s="32"/>
      <c r="DE190" s="32"/>
      <c r="DF190" s="32"/>
      <c r="DG190" s="32"/>
      <c r="DH190" s="32"/>
      <c r="DI190" s="32"/>
      <c r="DJ190" s="32"/>
      <c r="DK190" s="32"/>
      <c r="DL190" s="32"/>
      <c r="DM190" s="32"/>
      <c r="DN190" s="32"/>
      <c r="DO190" s="32"/>
      <c r="DP190" s="32"/>
      <c r="DQ190" s="32"/>
      <c r="DR190" s="32"/>
      <c r="DS190" s="13">
        <f>+MEDIAN(O190,Q190,S190)</f>
        <v>16832</v>
      </c>
      <c r="DT190" s="13">
        <f>+AVERAGE(O190,Q190,S190)</f>
        <v>16965</v>
      </c>
      <c r="DU190" s="13">
        <f>+STDEV(O190,Q190,S190)</f>
        <v>1934.9312649290671</v>
      </c>
      <c r="DV190" s="17">
        <f t="shared" si="29"/>
        <v>0.11405430385670894</v>
      </c>
      <c r="DW190" s="373">
        <f t="shared" si="30"/>
        <v>16965</v>
      </c>
      <c r="DX190" s="326">
        <f t="shared" si="31"/>
        <v>424125</v>
      </c>
      <c r="DY190" s="10" t="s">
        <v>308</v>
      </c>
    </row>
    <row r="191" spans="1:132" ht="52" hidden="1" x14ac:dyDescent="0.3">
      <c r="A191" s="70">
        <v>8</v>
      </c>
      <c r="B191" s="9" t="s">
        <v>55</v>
      </c>
      <c r="C191" s="9" t="s">
        <v>79</v>
      </c>
      <c r="D191" s="9" t="s">
        <v>500</v>
      </c>
      <c r="E191" s="10" t="s">
        <v>73</v>
      </c>
      <c r="F191" s="19" t="s">
        <v>19</v>
      </c>
      <c r="G191" s="11">
        <v>25</v>
      </c>
      <c r="H191" s="11">
        <v>1</v>
      </c>
      <c r="I191" s="191"/>
      <c r="J191" s="191"/>
      <c r="K191" s="191"/>
      <c r="L191" s="191"/>
      <c r="M191" s="191"/>
      <c r="N191" s="191"/>
      <c r="O191" s="211"/>
      <c r="P191" s="212"/>
      <c r="Q191" s="25">
        <v>14900</v>
      </c>
      <c r="R191" s="223">
        <v>2235000</v>
      </c>
      <c r="S191" s="25">
        <v>16523</v>
      </c>
      <c r="T191" s="223">
        <v>2478450</v>
      </c>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c r="BI191" s="32"/>
      <c r="BJ191" s="32"/>
      <c r="BK191" s="192"/>
      <c r="BL191" s="32"/>
      <c r="BM191" s="192"/>
      <c r="BN191" s="32"/>
      <c r="BO191" s="32"/>
      <c r="BP191" s="32"/>
      <c r="BQ191" s="32"/>
      <c r="BR191" s="32"/>
      <c r="BS191" s="32"/>
      <c r="BT191" s="32"/>
      <c r="BU191" s="32"/>
      <c r="BV191" s="32"/>
      <c r="BW191" s="32"/>
      <c r="BX191" s="32"/>
      <c r="BY191" s="32"/>
      <c r="BZ191" s="32"/>
      <c r="CA191" s="32"/>
      <c r="CB191" s="32"/>
      <c r="CC191" s="32"/>
      <c r="CD191" s="32"/>
      <c r="CE191" s="32"/>
      <c r="CF191" s="32"/>
      <c r="CG191" s="32"/>
      <c r="CH191" s="32"/>
      <c r="CI191" s="32"/>
      <c r="CJ191" s="32"/>
      <c r="CK191" s="32"/>
      <c r="CL191" s="32"/>
      <c r="CM191" s="32"/>
      <c r="CN191" s="32"/>
      <c r="CO191" s="32"/>
      <c r="CP191" s="32"/>
      <c r="CQ191" s="32"/>
      <c r="CR191" s="32"/>
      <c r="CS191" s="32"/>
      <c r="CT191" s="32"/>
      <c r="CU191" s="32"/>
      <c r="CV191" s="32"/>
      <c r="CW191" s="32"/>
      <c r="CX191" s="32"/>
      <c r="CY191" s="32"/>
      <c r="CZ191" s="32"/>
      <c r="DA191" s="32"/>
      <c r="DB191" s="32"/>
      <c r="DC191" s="32"/>
      <c r="DD191" s="32"/>
      <c r="DE191" s="32"/>
      <c r="DF191" s="32"/>
      <c r="DG191" s="32"/>
      <c r="DH191" s="32"/>
      <c r="DI191" s="32"/>
      <c r="DJ191" s="32"/>
      <c r="DK191" s="32"/>
      <c r="DL191" s="32"/>
      <c r="DM191" s="32"/>
      <c r="DN191" s="32"/>
      <c r="DO191" s="32"/>
      <c r="DP191" s="32"/>
      <c r="DQ191" s="32"/>
      <c r="DR191" s="32"/>
      <c r="DS191" s="13">
        <f>+MEDIAN(Q191,S191)</f>
        <v>15711.5</v>
      </c>
      <c r="DT191" s="13">
        <f>+AVERAGE(Q191,S191)</f>
        <v>15711.5</v>
      </c>
      <c r="DU191" s="13">
        <f>+STDEV(Q191,S191)</f>
        <v>1147.6343058657667</v>
      </c>
      <c r="DV191" s="17">
        <f t="shared" si="29"/>
        <v>7.3044222758219562E-2</v>
      </c>
      <c r="DW191" s="373">
        <f t="shared" si="30"/>
        <v>15712</v>
      </c>
      <c r="DX191" s="326">
        <f t="shared" si="31"/>
        <v>392800</v>
      </c>
      <c r="DY191" s="10" t="s">
        <v>308</v>
      </c>
    </row>
    <row r="192" spans="1:132" ht="52" hidden="1" x14ac:dyDescent="0.3">
      <c r="A192" s="19">
        <v>9</v>
      </c>
      <c r="B192" s="9" t="s">
        <v>55</v>
      </c>
      <c r="C192" s="9" t="s">
        <v>79</v>
      </c>
      <c r="D192" s="9" t="s">
        <v>74</v>
      </c>
      <c r="E192" s="10" t="s">
        <v>75</v>
      </c>
      <c r="F192" s="19" t="s">
        <v>19</v>
      </c>
      <c r="G192" s="11">
        <v>25</v>
      </c>
      <c r="H192" s="11">
        <v>1</v>
      </c>
      <c r="I192" s="191"/>
      <c r="J192" s="191"/>
      <c r="K192" s="191"/>
      <c r="L192" s="191"/>
      <c r="M192" s="191"/>
      <c r="N192" s="191"/>
      <c r="O192" s="211"/>
      <c r="P192" s="212"/>
      <c r="Q192" s="25"/>
      <c r="R192" s="223"/>
      <c r="S192" s="25"/>
      <c r="T192" s="223"/>
      <c r="U192" s="32"/>
      <c r="V192" s="32"/>
      <c r="W192" s="32"/>
      <c r="X192" s="32"/>
      <c r="Y192" s="32"/>
      <c r="Z192" s="32"/>
      <c r="AA192" s="32"/>
      <c r="AB192" s="32"/>
      <c r="AC192" s="32"/>
      <c r="AD192" s="32"/>
      <c r="AE192" s="32"/>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c r="BI192" s="32"/>
      <c r="BJ192" s="32"/>
      <c r="BK192" s="192"/>
      <c r="BL192" s="32"/>
      <c r="BM192" s="192"/>
      <c r="BN192" s="32"/>
      <c r="BO192" s="32"/>
      <c r="BP192" s="32"/>
      <c r="BQ192" s="32"/>
      <c r="BR192" s="32"/>
      <c r="BS192" s="32"/>
      <c r="BT192" s="32"/>
      <c r="BU192" s="32"/>
      <c r="BV192" s="32"/>
      <c r="BW192" s="32"/>
      <c r="BX192" s="32"/>
      <c r="BY192" s="32"/>
      <c r="BZ192" s="32"/>
      <c r="CA192" s="32"/>
      <c r="CB192" s="32"/>
      <c r="CC192" s="32"/>
      <c r="CD192" s="32"/>
      <c r="CE192" s="32"/>
      <c r="CF192" s="32"/>
      <c r="CG192" s="32"/>
      <c r="CH192" s="32"/>
      <c r="CI192" s="32"/>
      <c r="CJ192" s="32"/>
      <c r="CK192" s="32"/>
      <c r="CL192" s="32"/>
      <c r="CM192" s="32"/>
      <c r="CN192" s="32"/>
      <c r="CO192" s="224">
        <v>45000</v>
      </c>
      <c r="CP192" s="32">
        <f>CO192*G192</f>
        <v>1125000</v>
      </c>
      <c r="CQ192" s="225"/>
      <c r="CR192" s="32"/>
      <c r="CS192" s="28">
        <v>40000</v>
      </c>
      <c r="CT192" s="25">
        <f>CS192*G192</f>
        <v>1000000</v>
      </c>
      <c r="CU192" s="225"/>
      <c r="CV192" s="25"/>
      <c r="CW192" s="245"/>
      <c r="CX192" s="25"/>
      <c r="CY192" s="245"/>
      <c r="CZ192" s="25"/>
      <c r="DA192" s="25"/>
      <c r="DB192" s="25"/>
      <c r="DC192" s="245"/>
      <c r="DD192" s="25"/>
      <c r="DE192" s="25"/>
      <c r="DF192" s="25"/>
      <c r="DG192" s="25"/>
      <c r="DH192" s="25"/>
      <c r="DI192" s="25"/>
      <c r="DJ192" s="25"/>
      <c r="DK192" s="25"/>
      <c r="DL192" s="25"/>
      <c r="DM192" s="25"/>
      <c r="DN192" s="25"/>
      <c r="DO192" s="25"/>
      <c r="DP192" s="25"/>
      <c r="DQ192" s="25"/>
      <c r="DR192" s="25"/>
      <c r="DS192" s="13">
        <f>+MEDIAN(CO192,CS192)</f>
        <v>42500</v>
      </c>
      <c r="DT192" s="13">
        <f>+AVERAGE(CO192,CS192)</f>
        <v>42500</v>
      </c>
      <c r="DU192" s="13">
        <f>+STDEV(CO192,CS192)</f>
        <v>3535.5339059327375</v>
      </c>
      <c r="DV192" s="17">
        <f t="shared" si="29"/>
        <v>8.3189033080770289E-2</v>
      </c>
      <c r="DW192" s="373">
        <f t="shared" si="30"/>
        <v>42500</v>
      </c>
      <c r="DX192" s="13">
        <f t="shared" si="31"/>
        <v>1062500</v>
      </c>
      <c r="DY192" s="10" t="s">
        <v>328</v>
      </c>
    </row>
    <row r="193" spans="1:132" ht="65" hidden="1" x14ac:dyDescent="0.3">
      <c r="A193" s="70">
        <v>10</v>
      </c>
      <c r="B193" s="9" t="s">
        <v>55</v>
      </c>
      <c r="C193" s="648" t="s">
        <v>79</v>
      </c>
      <c r="D193" s="9" t="s">
        <v>115</v>
      </c>
      <c r="E193" s="10" t="s">
        <v>114</v>
      </c>
      <c r="F193" s="19" t="s">
        <v>19</v>
      </c>
      <c r="G193" s="11">
        <v>25</v>
      </c>
      <c r="H193" s="11">
        <v>1</v>
      </c>
      <c r="I193" s="649"/>
      <c r="J193" s="649"/>
      <c r="K193" s="649"/>
      <c r="L193" s="649"/>
      <c r="M193" s="649"/>
      <c r="N193" s="649"/>
      <c r="O193" s="650"/>
      <c r="P193" s="651"/>
      <c r="Q193" s="205"/>
      <c r="R193" s="205"/>
      <c r="S193" s="205"/>
      <c r="T193" s="205"/>
      <c r="U193" s="205"/>
      <c r="V193" s="205"/>
      <c r="W193" s="205"/>
      <c r="X193" s="205"/>
      <c r="Y193" s="205"/>
      <c r="Z193" s="205"/>
      <c r="AA193" s="205"/>
      <c r="AB193" s="205"/>
      <c r="AC193" s="205"/>
      <c r="AD193" s="205"/>
      <c r="AE193" s="205"/>
      <c r="AF193" s="205"/>
      <c r="AG193" s="205"/>
      <c r="AH193" s="205"/>
      <c r="AI193" s="205"/>
      <c r="AJ193" s="205"/>
      <c r="AK193" s="205"/>
      <c r="AL193" s="205"/>
      <c r="AM193" s="205"/>
      <c r="AN193" s="205"/>
      <c r="AO193" s="205"/>
      <c r="AP193" s="205"/>
      <c r="AQ193" s="205"/>
      <c r="AR193" s="205"/>
      <c r="AS193" s="205"/>
      <c r="AT193" s="205"/>
      <c r="AU193" s="205"/>
      <c r="AV193" s="205"/>
      <c r="AW193" s="205"/>
      <c r="AX193" s="205"/>
      <c r="AY193" s="205"/>
      <c r="AZ193" s="205"/>
      <c r="BA193" s="205"/>
      <c r="BB193" s="205"/>
      <c r="BC193" s="205"/>
      <c r="BD193" s="205"/>
      <c r="BE193" s="205"/>
      <c r="BF193" s="205"/>
      <c r="BG193" s="205"/>
      <c r="BH193" s="205"/>
      <c r="BI193" s="205"/>
      <c r="BJ193" s="205"/>
      <c r="BK193" s="206"/>
      <c r="BL193" s="205"/>
      <c r="BM193" s="206"/>
      <c r="BN193" s="205"/>
      <c r="BO193" s="205"/>
      <c r="BP193" s="205"/>
      <c r="BQ193" s="205"/>
      <c r="BR193" s="205"/>
      <c r="BS193" s="205"/>
      <c r="BT193" s="205"/>
      <c r="BU193" s="205"/>
      <c r="BV193" s="205"/>
      <c r="BW193" s="205"/>
      <c r="BX193" s="205"/>
      <c r="BY193" s="205"/>
      <c r="BZ193" s="205"/>
      <c r="CA193" s="205"/>
      <c r="CB193" s="205"/>
      <c r="CC193" s="205"/>
      <c r="CD193" s="205"/>
      <c r="CE193" s="205"/>
      <c r="CF193" s="205"/>
      <c r="CG193" s="205"/>
      <c r="CH193" s="205"/>
      <c r="CI193" s="205"/>
      <c r="CJ193" s="205"/>
      <c r="CK193" s="205"/>
      <c r="CL193" s="205"/>
      <c r="CM193" s="205"/>
      <c r="CN193" s="205"/>
      <c r="CO193" s="654">
        <v>45000</v>
      </c>
      <c r="CP193" s="205">
        <f>CO193*G193*106</f>
        <v>119250000</v>
      </c>
      <c r="CQ193" s="653"/>
      <c r="CR193" s="205"/>
      <c r="CS193" s="654">
        <v>45000</v>
      </c>
      <c r="CT193" s="205">
        <f>CS193*G193</f>
        <v>1125000</v>
      </c>
      <c r="CU193" s="653"/>
      <c r="CV193" s="205"/>
      <c r="CW193" s="658"/>
      <c r="CX193" s="205"/>
      <c r="CY193" s="658">
        <v>30000</v>
      </c>
      <c r="CZ193" s="205">
        <f>CY193*G193*H193</f>
        <v>750000</v>
      </c>
      <c r="DA193" s="205"/>
      <c r="DB193" s="205"/>
      <c r="DC193" s="658"/>
      <c r="DD193" s="205"/>
      <c r="DE193" s="205"/>
      <c r="DF193" s="205"/>
      <c r="DG193" s="205"/>
      <c r="DH193" s="205"/>
      <c r="DI193" s="205"/>
      <c r="DJ193" s="205"/>
      <c r="DK193" s="205"/>
      <c r="DL193" s="205"/>
      <c r="DM193" s="205"/>
      <c r="DN193" s="205"/>
      <c r="DO193" s="205"/>
      <c r="DP193" s="205"/>
      <c r="DQ193" s="205"/>
      <c r="DR193" s="205"/>
      <c r="DS193" s="656">
        <f>+MEDIAN(CO193,CS193,CY193)</f>
        <v>45000</v>
      </c>
      <c r="DT193" s="656">
        <f>+AVERAGE(CO193,CS193,CY193)</f>
        <v>40000</v>
      </c>
      <c r="DU193" s="656">
        <f>+STDEV(CO193,CS193,CY193)</f>
        <v>8660.2540378443864</v>
      </c>
      <c r="DV193" s="657">
        <f t="shared" si="29"/>
        <v>0.21650635094610965</v>
      </c>
      <c r="DW193" s="662">
        <f t="shared" si="30"/>
        <v>45000</v>
      </c>
      <c r="DX193" s="326">
        <f t="shared" si="31"/>
        <v>1125000</v>
      </c>
      <c r="DY193" s="10" t="s">
        <v>322</v>
      </c>
    </row>
    <row r="194" spans="1:132" ht="52" hidden="1" x14ac:dyDescent="0.3">
      <c r="A194" s="19">
        <v>11</v>
      </c>
      <c r="B194" s="9" t="s">
        <v>55</v>
      </c>
      <c r="C194" s="9" t="s">
        <v>79</v>
      </c>
      <c r="D194" s="9" t="s">
        <v>498</v>
      </c>
      <c r="E194" s="10" t="s">
        <v>472</v>
      </c>
      <c r="F194" s="19" t="s">
        <v>19</v>
      </c>
      <c r="G194" s="11">
        <v>25</v>
      </c>
      <c r="H194" s="11">
        <v>1</v>
      </c>
      <c r="I194" s="191"/>
      <c r="J194" s="191"/>
      <c r="K194" s="191"/>
      <c r="L194" s="191"/>
      <c r="M194" s="191"/>
      <c r="N194" s="191"/>
      <c r="O194" s="211"/>
      <c r="P194" s="21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c r="BI194" s="32"/>
      <c r="BJ194" s="32"/>
      <c r="BK194" s="192"/>
      <c r="BL194" s="32"/>
      <c r="BM194" s="192"/>
      <c r="BN194" s="32"/>
      <c r="BO194" s="32"/>
      <c r="BP194" s="32"/>
      <c r="BQ194" s="32"/>
      <c r="BR194" s="32"/>
      <c r="BS194" s="32"/>
      <c r="BT194" s="32"/>
      <c r="BU194" s="32"/>
      <c r="BV194" s="32"/>
      <c r="BW194" s="32"/>
      <c r="BX194" s="32"/>
      <c r="BY194" s="32"/>
      <c r="BZ194" s="32"/>
      <c r="CA194" s="32"/>
      <c r="CB194" s="32"/>
      <c r="CC194" s="32"/>
      <c r="CD194" s="32"/>
      <c r="CE194" s="32"/>
      <c r="CF194" s="32"/>
      <c r="CG194" s="32"/>
      <c r="CH194" s="32"/>
      <c r="CI194" s="32"/>
      <c r="CJ194" s="32"/>
      <c r="CK194" s="32"/>
      <c r="CL194" s="32"/>
      <c r="CM194" s="32"/>
      <c r="CN194" s="32"/>
      <c r="CO194" s="224">
        <v>85000</v>
      </c>
      <c r="CP194" s="32">
        <f>CO194*G194*106</f>
        <v>225250000</v>
      </c>
      <c r="CQ194" s="225"/>
      <c r="CR194" s="32"/>
      <c r="CS194" s="28">
        <v>65000</v>
      </c>
      <c r="CT194" s="25">
        <f>CS194*G194</f>
        <v>1625000</v>
      </c>
      <c r="CU194" s="225"/>
      <c r="CV194" s="25"/>
      <c r="CW194" s="245"/>
      <c r="CX194" s="25"/>
      <c r="CY194" s="245">
        <v>100000</v>
      </c>
      <c r="CZ194" s="25">
        <f>CY194*G194*H194</f>
        <v>2500000</v>
      </c>
      <c r="DA194" s="25"/>
      <c r="DB194" s="25"/>
      <c r="DC194" s="245"/>
      <c r="DD194" s="25"/>
      <c r="DE194" s="25"/>
      <c r="DF194" s="25"/>
      <c r="DG194" s="25"/>
      <c r="DH194" s="25"/>
      <c r="DI194" s="25"/>
      <c r="DJ194" s="25"/>
      <c r="DK194" s="25"/>
      <c r="DL194" s="25"/>
      <c r="DM194" s="25"/>
      <c r="DN194" s="25"/>
      <c r="DO194" s="25"/>
      <c r="DP194" s="25"/>
      <c r="DQ194" s="25"/>
      <c r="DR194" s="25"/>
      <c r="DS194" s="13">
        <f>+MEDIAN(CO194,CS194,CY194)</f>
        <v>85000</v>
      </c>
      <c r="DT194" s="13">
        <f>+AVERAGE(CO194,CS194,CY194)</f>
        <v>83333.333333333328</v>
      </c>
      <c r="DU194" s="13">
        <f>+STDEV(CO194,CS194,CY194)</f>
        <v>17559.42292142125</v>
      </c>
      <c r="DV194" s="17">
        <f t="shared" si="29"/>
        <v>0.210713075057055</v>
      </c>
      <c r="DW194" s="373">
        <f t="shared" si="30"/>
        <v>85000</v>
      </c>
      <c r="DX194" s="326">
        <f t="shared" si="31"/>
        <v>2125000</v>
      </c>
      <c r="DY194" s="10" t="s">
        <v>322</v>
      </c>
    </row>
    <row r="195" spans="1:132" ht="193" hidden="1" customHeight="1" x14ac:dyDescent="0.3">
      <c r="A195" s="431">
        <v>12</v>
      </c>
      <c r="B195" s="416" t="s">
        <v>55</v>
      </c>
      <c r="C195" s="134" t="s">
        <v>79</v>
      </c>
      <c r="D195" s="417" t="s">
        <v>385</v>
      </c>
      <c r="E195" s="418" t="s">
        <v>531</v>
      </c>
      <c r="F195" s="419" t="s">
        <v>28</v>
      </c>
      <c r="G195" s="420">
        <v>1</v>
      </c>
      <c r="H195" s="420">
        <v>1</v>
      </c>
      <c r="I195" s="421"/>
      <c r="J195" s="421"/>
      <c r="K195" s="421"/>
      <c r="L195" s="421"/>
      <c r="M195" s="421"/>
      <c r="N195" s="421"/>
      <c r="O195" s="422"/>
      <c r="P195" s="423"/>
      <c r="Q195" s="424"/>
      <c r="R195" s="424"/>
      <c r="S195" s="424"/>
      <c r="T195" s="424"/>
      <c r="U195" s="424"/>
      <c r="V195" s="424"/>
      <c r="W195" s="424"/>
      <c r="X195" s="424"/>
      <c r="Y195" s="424"/>
      <c r="Z195" s="424"/>
      <c r="AA195" s="424"/>
      <c r="AB195" s="424"/>
      <c r="AC195" s="424"/>
      <c r="AD195" s="424"/>
      <c r="AE195" s="424"/>
      <c r="AF195" s="424"/>
      <c r="AG195" s="424"/>
      <c r="AH195" s="424"/>
      <c r="AI195" s="424"/>
      <c r="AJ195" s="424"/>
      <c r="AK195" s="424"/>
      <c r="AL195" s="424"/>
      <c r="AM195" s="424"/>
      <c r="AN195" s="424"/>
      <c r="AO195" s="424"/>
      <c r="AP195" s="424"/>
      <c r="AQ195" s="424"/>
      <c r="AR195" s="424"/>
      <c r="AS195" s="424"/>
      <c r="AT195" s="424"/>
      <c r="AU195" s="424"/>
      <c r="AV195" s="424"/>
      <c r="AW195" s="424"/>
      <c r="AX195" s="424"/>
      <c r="AY195" s="424"/>
      <c r="AZ195" s="424"/>
      <c r="BA195" s="424"/>
      <c r="BB195" s="424"/>
      <c r="BC195" s="424"/>
      <c r="BD195" s="424"/>
      <c r="BE195" s="424"/>
      <c r="BF195" s="424"/>
      <c r="BG195" s="424"/>
      <c r="BH195" s="424"/>
      <c r="BI195" s="424"/>
      <c r="BJ195" s="424"/>
      <c r="BK195" s="425"/>
      <c r="BL195" s="424"/>
      <c r="BM195" s="425"/>
      <c r="BN195" s="424"/>
      <c r="BO195" s="424"/>
      <c r="BP195" s="424"/>
      <c r="BQ195" s="424"/>
      <c r="BR195" s="424"/>
      <c r="BS195" s="424"/>
      <c r="BT195" s="424"/>
      <c r="BU195" s="424"/>
      <c r="BV195" s="424"/>
      <c r="BW195" s="424"/>
      <c r="BX195" s="424"/>
      <c r="BY195" s="424"/>
      <c r="BZ195" s="424"/>
      <c r="CA195" s="424"/>
      <c r="CB195" s="424"/>
      <c r="CC195" s="424"/>
      <c r="CD195" s="424"/>
      <c r="CE195" s="424"/>
      <c r="CF195" s="424"/>
      <c r="CG195" s="424"/>
      <c r="CH195" s="424"/>
      <c r="CI195" s="424"/>
      <c r="CJ195" s="424"/>
      <c r="CK195" s="424"/>
      <c r="CL195" s="424"/>
      <c r="CM195" s="424"/>
      <c r="CN195" s="424"/>
      <c r="CO195" s="424"/>
      <c r="CP195" s="424"/>
      <c r="CQ195" s="424"/>
      <c r="CR195" s="424"/>
      <c r="CS195" s="424"/>
      <c r="CT195" s="424"/>
      <c r="CU195" s="432"/>
      <c r="CV195" s="424"/>
      <c r="CW195" s="424"/>
      <c r="CX195" s="424"/>
      <c r="CY195" s="424"/>
      <c r="CZ195" s="424"/>
      <c r="DA195" s="424"/>
      <c r="DB195" s="424"/>
      <c r="DC195" s="424"/>
      <c r="DD195" s="424"/>
      <c r="DE195" s="424"/>
      <c r="DF195" s="424"/>
      <c r="DG195" s="424"/>
      <c r="DH195" s="424"/>
      <c r="DI195" s="424"/>
      <c r="DJ195" s="424"/>
      <c r="DK195" s="424"/>
      <c r="DL195" s="424"/>
      <c r="DM195" s="424"/>
      <c r="DN195" s="424"/>
      <c r="DO195" s="424"/>
      <c r="DP195" s="424"/>
      <c r="DQ195" s="424"/>
      <c r="DR195" s="424"/>
      <c r="DS195" s="426"/>
      <c r="DT195" s="426"/>
      <c r="DU195" s="426"/>
      <c r="DV195" s="427"/>
      <c r="DW195" s="428">
        <f>5000000*1.34</f>
        <v>6700000</v>
      </c>
      <c r="DX195" s="426">
        <f t="shared" si="31"/>
        <v>6700000</v>
      </c>
      <c r="DY195" s="429" t="s">
        <v>446</v>
      </c>
    </row>
    <row r="196" spans="1:132" ht="182" hidden="1" x14ac:dyDescent="0.3">
      <c r="A196" s="133">
        <v>13</v>
      </c>
      <c r="B196" s="134" t="s">
        <v>55</v>
      </c>
      <c r="C196" s="134" t="s">
        <v>79</v>
      </c>
      <c r="D196" s="134" t="s">
        <v>76</v>
      </c>
      <c r="E196" s="132" t="s">
        <v>430</v>
      </c>
      <c r="F196" s="133" t="s">
        <v>19</v>
      </c>
      <c r="G196" s="136">
        <v>25</v>
      </c>
      <c r="H196" s="136">
        <v>1</v>
      </c>
      <c r="I196" s="229"/>
      <c r="J196" s="229"/>
      <c r="K196" s="229"/>
      <c r="L196" s="229"/>
      <c r="M196" s="229"/>
      <c r="N196" s="229"/>
      <c r="O196" s="230"/>
      <c r="P196" s="231"/>
      <c r="Q196" s="150"/>
      <c r="R196" s="150"/>
      <c r="S196" s="150"/>
      <c r="T196" s="150"/>
      <c r="U196" s="150"/>
      <c r="V196" s="150"/>
      <c r="W196" s="150"/>
      <c r="X196" s="150"/>
      <c r="Y196" s="150"/>
      <c r="Z196" s="150"/>
      <c r="AA196" s="150"/>
      <c r="AB196" s="150"/>
      <c r="AC196" s="150"/>
      <c r="AD196" s="150"/>
      <c r="AE196" s="150"/>
      <c r="AF196" s="150"/>
      <c r="AG196" s="150"/>
      <c r="AH196" s="150"/>
      <c r="AI196" s="150"/>
      <c r="AJ196" s="150"/>
      <c r="AK196" s="150"/>
      <c r="AL196" s="150"/>
      <c r="AM196" s="150"/>
      <c r="AN196" s="150"/>
      <c r="AO196" s="150"/>
      <c r="AP196" s="150"/>
      <c r="AQ196" s="150"/>
      <c r="AR196" s="150"/>
      <c r="AS196" s="150"/>
      <c r="AT196" s="150"/>
      <c r="AU196" s="150"/>
      <c r="AV196" s="150"/>
      <c r="AW196" s="150"/>
      <c r="AX196" s="150"/>
      <c r="AY196" s="150"/>
      <c r="AZ196" s="150"/>
      <c r="BA196" s="150"/>
      <c r="BB196" s="150"/>
      <c r="BC196" s="150"/>
      <c r="BD196" s="150"/>
      <c r="BE196" s="150"/>
      <c r="BF196" s="150"/>
      <c r="BG196" s="150"/>
      <c r="BH196" s="150"/>
      <c r="BI196" s="150"/>
      <c r="BJ196" s="150"/>
      <c r="BK196" s="232"/>
      <c r="BL196" s="150"/>
      <c r="BM196" s="232"/>
      <c r="BN196" s="150"/>
      <c r="BO196" s="150"/>
      <c r="BP196" s="150"/>
      <c r="BQ196" s="150"/>
      <c r="BR196" s="150"/>
      <c r="BS196" s="150"/>
      <c r="BT196" s="150"/>
      <c r="BU196" s="150"/>
      <c r="BV196" s="150"/>
      <c r="BW196" s="150"/>
      <c r="BX196" s="150"/>
      <c r="BY196" s="150"/>
      <c r="BZ196" s="150"/>
      <c r="CA196" s="150"/>
      <c r="CB196" s="150"/>
      <c r="CC196" s="150"/>
      <c r="CD196" s="150"/>
      <c r="CE196" s="150"/>
      <c r="CF196" s="150"/>
      <c r="CG196" s="150"/>
      <c r="CH196" s="150"/>
      <c r="CI196" s="150"/>
      <c r="CJ196" s="150"/>
      <c r="CK196" s="150"/>
      <c r="CL196" s="150"/>
      <c r="CM196" s="150"/>
      <c r="CN196" s="150"/>
      <c r="CO196" s="150"/>
      <c r="CP196" s="150"/>
      <c r="CQ196" s="150"/>
      <c r="CR196" s="150"/>
      <c r="CS196" s="150"/>
      <c r="CT196" s="150"/>
      <c r="CU196" s="150"/>
      <c r="CV196" s="150"/>
      <c r="CW196" s="150"/>
      <c r="CX196" s="150"/>
      <c r="CY196" s="150"/>
      <c r="CZ196" s="150"/>
      <c r="DA196" s="150"/>
      <c r="DB196" s="150"/>
      <c r="DC196" s="150"/>
      <c r="DD196" s="150"/>
      <c r="DE196" s="150"/>
      <c r="DF196" s="150"/>
      <c r="DG196" s="150"/>
      <c r="DH196" s="150"/>
      <c r="DI196" s="150"/>
      <c r="DJ196" s="150"/>
      <c r="DK196" s="150"/>
      <c r="DL196" s="150"/>
      <c r="DM196" s="150"/>
      <c r="DN196" s="150"/>
      <c r="DO196" s="150"/>
      <c r="DP196" s="150"/>
      <c r="DQ196" s="150"/>
      <c r="DR196" s="150"/>
      <c r="DS196" s="232"/>
      <c r="DT196" s="232"/>
      <c r="DU196" s="232"/>
      <c r="DV196" s="137"/>
      <c r="DW196" s="273">
        <f>+DZ196+EB196</f>
        <v>378000</v>
      </c>
      <c r="DX196" s="273">
        <f>+ROUND(DW196*G196*H196,0)</f>
        <v>9450000</v>
      </c>
      <c r="DY196" s="139" t="s">
        <v>1148</v>
      </c>
      <c r="DZ196" s="604">
        <v>300000</v>
      </c>
      <c r="EA196" s="604">
        <f>+DZ196*G196*H196</f>
        <v>7500000</v>
      </c>
      <c r="EB196" s="604">
        <f>+DZ196*26%</f>
        <v>78000</v>
      </c>
    </row>
    <row r="197" spans="1:132" ht="77.5" hidden="1" x14ac:dyDescent="0.3">
      <c r="A197" s="70">
        <v>14</v>
      </c>
      <c r="B197" s="9" t="s">
        <v>55</v>
      </c>
      <c r="C197" s="9" t="s">
        <v>79</v>
      </c>
      <c r="D197" s="9" t="s">
        <v>451</v>
      </c>
      <c r="E197" s="71" t="s">
        <v>450</v>
      </c>
      <c r="F197" s="26" t="s">
        <v>475</v>
      </c>
      <c r="G197" s="11">
        <v>1</v>
      </c>
      <c r="H197" s="11">
        <v>1</v>
      </c>
      <c r="I197" s="191"/>
      <c r="J197" s="191"/>
      <c r="K197" s="191"/>
      <c r="L197" s="191"/>
      <c r="M197" s="191"/>
      <c r="N197" s="191"/>
      <c r="O197" s="211"/>
      <c r="P197" s="212"/>
      <c r="Q197" s="32"/>
      <c r="R197" s="32"/>
      <c r="S197" s="32"/>
      <c r="T197" s="32"/>
      <c r="U197" s="32"/>
      <c r="V197" s="32"/>
      <c r="W197" s="32"/>
      <c r="X197" s="32"/>
      <c r="Y197" s="32"/>
      <c r="Z197" s="32"/>
      <c r="AA197" s="32"/>
      <c r="AB197" s="32"/>
      <c r="AC197" s="32"/>
      <c r="AD197" s="32"/>
      <c r="AE197" s="32"/>
      <c r="AF197" s="32"/>
      <c r="AG197" s="32"/>
      <c r="AH197" s="32"/>
      <c r="AI197" s="32"/>
      <c r="AJ197" s="32"/>
      <c r="AK197" s="32">
        <v>650000</v>
      </c>
      <c r="AL197" s="32">
        <f>AK197*G197*H197</f>
        <v>650000</v>
      </c>
      <c r="AM197" s="32">
        <f>600000+(600000*5.2%)</f>
        <v>631200</v>
      </c>
      <c r="AN197" s="32">
        <f>AM197*G197*H197</f>
        <v>631200</v>
      </c>
      <c r="AO197" s="32"/>
      <c r="AP197" s="32"/>
      <c r="AQ197" s="32"/>
      <c r="AR197" s="32"/>
      <c r="AS197" s="32">
        <v>890000</v>
      </c>
      <c r="AT197" s="32">
        <f>AS197*G197*H197</f>
        <v>890000</v>
      </c>
      <c r="AU197" s="32"/>
      <c r="AV197" s="32"/>
      <c r="AW197" s="32"/>
      <c r="AX197" s="32"/>
      <c r="AY197" s="32"/>
      <c r="AZ197" s="32"/>
      <c r="BA197" s="32"/>
      <c r="BB197" s="32"/>
      <c r="BC197" s="32"/>
      <c r="BD197" s="32"/>
      <c r="BE197" s="32"/>
      <c r="BF197" s="32"/>
      <c r="BG197" s="32"/>
      <c r="BH197" s="32"/>
      <c r="BI197" s="32"/>
      <c r="BJ197" s="32"/>
      <c r="BK197" s="192"/>
      <c r="BL197" s="32"/>
      <c r="BM197" s="192"/>
      <c r="BN197" s="32"/>
      <c r="BO197" s="32"/>
      <c r="BP197" s="32"/>
      <c r="BQ197" s="32"/>
      <c r="BR197" s="32"/>
      <c r="BS197" s="32"/>
      <c r="BT197" s="32"/>
      <c r="BU197" s="32"/>
      <c r="BV197" s="32"/>
      <c r="BW197" s="32"/>
      <c r="BX197" s="32"/>
      <c r="BY197" s="32"/>
      <c r="BZ197" s="32"/>
      <c r="CA197" s="32"/>
      <c r="CB197" s="32"/>
      <c r="CC197" s="32"/>
      <c r="CD197" s="32"/>
      <c r="CE197" s="32"/>
      <c r="CF197" s="32"/>
      <c r="CG197" s="32"/>
      <c r="CH197" s="32"/>
      <c r="CI197" s="32"/>
      <c r="CJ197" s="32"/>
      <c r="CK197" s="32"/>
      <c r="CL197" s="32"/>
      <c r="CM197" s="32"/>
      <c r="CN197" s="32"/>
      <c r="CO197" s="32"/>
      <c r="CP197" s="32"/>
      <c r="CQ197" s="32"/>
      <c r="CR197" s="32"/>
      <c r="CS197" s="32"/>
      <c r="CT197" s="32"/>
      <c r="CU197" s="32"/>
      <c r="CV197" s="32"/>
      <c r="CW197" s="32"/>
      <c r="CX197" s="32"/>
      <c r="CY197" s="32"/>
      <c r="CZ197" s="32"/>
      <c r="DA197" s="32"/>
      <c r="DB197" s="32"/>
      <c r="DC197" s="32"/>
      <c r="DD197" s="32"/>
      <c r="DE197" s="32"/>
      <c r="DF197" s="32"/>
      <c r="DG197" s="32"/>
      <c r="DH197" s="32"/>
      <c r="DI197" s="32"/>
      <c r="DJ197" s="32"/>
      <c r="DK197" s="32"/>
      <c r="DL197" s="32"/>
      <c r="DM197" s="32"/>
      <c r="DN197" s="32"/>
      <c r="DO197" s="32"/>
      <c r="DP197" s="32"/>
      <c r="DQ197" s="32"/>
      <c r="DR197" s="32"/>
      <c r="DS197" s="13">
        <f>+MEDIAN(AK197,AM197,AS197)</f>
        <v>650000</v>
      </c>
      <c r="DT197" s="13">
        <f>+AVERAGE(AK197,AM197,AS197)</f>
        <v>723733.33333333337</v>
      </c>
      <c r="DU197" s="13">
        <f>+STDEV(AK197,AM197:AS197)</f>
        <v>126577.30180934232</v>
      </c>
      <c r="DV197" s="17">
        <f t="shared" ref="DV197:DV201" si="32">DU197/DT197</f>
        <v>0.17489494538873754</v>
      </c>
      <c r="DW197" s="373">
        <f>+ROUNDUP(IF(DV197&lt;15%,DT197,DS197),0)</f>
        <v>650000</v>
      </c>
      <c r="DX197" s="326">
        <f t="shared" si="31"/>
        <v>650000</v>
      </c>
      <c r="DY197" s="10" t="s">
        <v>308</v>
      </c>
    </row>
    <row r="198" spans="1:132" ht="52" hidden="1" x14ac:dyDescent="0.3">
      <c r="A198" s="19">
        <v>15</v>
      </c>
      <c r="B198" s="9" t="s">
        <v>55</v>
      </c>
      <c r="C198" s="9" t="s">
        <v>79</v>
      </c>
      <c r="D198" s="9" t="s">
        <v>81</v>
      </c>
      <c r="E198" s="30" t="s">
        <v>1175</v>
      </c>
      <c r="F198" s="34" t="s">
        <v>312</v>
      </c>
      <c r="G198" s="11">
        <v>1</v>
      </c>
      <c r="H198" s="11">
        <v>1</v>
      </c>
      <c r="I198" s="191"/>
      <c r="J198" s="191"/>
      <c r="K198" s="191"/>
      <c r="L198" s="191"/>
      <c r="M198" s="191"/>
      <c r="N198" s="191"/>
      <c r="O198" s="211"/>
      <c r="P198" s="212"/>
      <c r="Q198" s="32"/>
      <c r="R198" s="32"/>
      <c r="S198" s="32"/>
      <c r="T198" s="32"/>
      <c r="U198" s="32"/>
      <c r="V198" s="32"/>
      <c r="W198" s="32"/>
      <c r="X198" s="32"/>
      <c r="Y198" s="32"/>
      <c r="Z198" s="32"/>
      <c r="AA198" s="32"/>
      <c r="AB198" s="32"/>
      <c r="AC198" s="32">
        <f>180000+(180000*5.2%)</f>
        <v>189360</v>
      </c>
      <c r="AD198" s="32">
        <f>AC198*G198*H198</f>
        <v>189360</v>
      </c>
      <c r="AE198" s="32"/>
      <c r="AF198" s="32"/>
      <c r="AG198" s="32"/>
      <c r="AI198" s="32">
        <f>300000+(300000*5.2%)</f>
        <v>315600</v>
      </c>
      <c r="AJ198" s="32">
        <f>AI198*G198*H198</f>
        <v>315600</v>
      </c>
      <c r="AK198" s="32"/>
      <c r="AL198" s="32"/>
      <c r="AM198" s="32"/>
      <c r="AN198" s="32"/>
      <c r="AO198" s="32"/>
      <c r="AP198" s="32"/>
      <c r="AQ198" s="32"/>
      <c r="AR198" s="32"/>
      <c r="AS198" s="32"/>
      <c r="AT198" s="32"/>
      <c r="AU198" s="32"/>
      <c r="AV198" s="32"/>
      <c r="AW198" s="32"/>
      <c r="AX198" s="32"/>
      <c r="AY198" s="32"/>
      <c r="AZ198" s="32"/>
      <c r="BA198" s="32">
        <f>194400+(194000*5.2%)</f>
        <v>204488</v>
      </c>
      <c r="BB198" s="32">
        <f>BA198*G198*H198</f>
        <v>204488</v>
      </c>
      <c r="BC198" s="32"/>
      <c r="BD198" s="32"/>
      <c r="BE198" s="32"/>
      <c r="BF198" s="32"/>
      <c r="BG198" s="32"/>
      <c r="BH198" s="32"/>
      <c r="BI198" s="32"/>
      <c r="BJ198" s="32"/>
      <c r="BK198" s="192"/>
      <c r="BL198" s="32"/>
      <c r="BM198" s="192"/>
      <c r="BN198" s="32"/>
      <c r="BO198" s="32"/>
      <c r="BP198" s="32"/>
      <c r="BQ198" s="32"/>
      <c r="BR198" s="32"/>
      <c r="BS198" s="32"/>
      <c r="BT198" s="32"/>
      <c r="BU198" s="32"/>
      <c r="BV198" s="32"/>
      <c r="BW198" s="32"/>
      <c r="BX198" s="32"/>
      <c r="BY198" s="32"/>
      <c r="BZ198" s="32"/>
      <c r="CA198" s="32"/>
      <c r="CB198" s="32"/>
      <c r="CC198" s="32"/>
      <c r="CD198" s="32"/>
      <c r="CE198" s="32"/>
      <c r="CF198" s="32"/>
      <c r="CG198" s="32"/>
      <c r="CH198" s="32"/>
      <c r="CI198" s="32"/>
      <c r="CJ198" s="32"/>
      <c r="CK198" s="32"/>
      <c r="CL198" s="32"/>
      <c r="CM198" s="32"/>
      <c r="CN198" s="32"/>
      <c r="CO198" s="32"/>
      <c r="CP198" s="32"/>
      <c r="CQ198" s="32"/>
      <c r="CR198" s="32"/>
      <c r="CS198" s="32"/>
      <c r="CT198" s="32"/>
      <c r="CU198" s="32"/>
      <c r="CV198" s="32"/>
      <c r="CW198" s="32"/>
      <c r="CX198" s="32"/>
      <c r="CY198" s="32"/>
      <c r="CZ198" s="32"/>
      <c r="DA198" s="32"/>
      <c r="DB198" s="32"/>
      <c r="DC198" s="32"/>
      <c r="DD198" s="32"/>
      <c r="DE198" s="32"/>
      <c r="DF198" s="32"/>
      <c r="DG198" s="32"/>
      <c r="DH198" s="32"/>
      <c r="DI198" s="32"/>
      <c r="DJ198" s="32"/>
      <c r="DK198" s="32"/>
      <c r="DL198" s="32"/>
      <c r="DM198" s="32"/>
      <c r="DN198" s="32"/>
      <c r="DO198" s="32"/>
      <c r="DP198" s="32"/>
      <c r="DQ198" s="32"/>
      <c r="DR198" s="32"/>
      <c r="DS198" s="13">
        <f>+MEDIAN(AC198,AI198,BA198)</f>
        <v>204488</v>
      </c>
      <c r="DT198" s="13">
        <f>+AVERAGE(AC198,AI198,BA198)</f>
        <v>236482.66666666666</v>
      </c>
      <c r="DU198" s="13">
        <f>+STDEV(AC198,AI198,BA198)</f>
        <v>68933.869914094685</v>
      </c>
      <c r="DV198" s="17">
        <f t="shared" si="32"/>
        <v>0.2914965011421331</v>
      </c>
      <c r="DW198" s="373">
        <f>+ROUNDUP(IF(DV198&lt;15%,DT198,DS198),0)</f>
        <v>204488</v>
      </c>
      <c r="DX198" s="326">
        <f t="shared" si="31"/>
        <v>204488</v>
      </c>
      <c r="DY198" s="10" t="s">
        <v>309</v>
      </c>
    </row>
    <row r="199" spans="1:132" ht="104" hidden="1" x14ac:dyDescent="0.3">
      <c r="A199" s="70">
        <v>16</v>
      </c>
      <c r="B199" s="9" t="s">
        <v>55</v>
      </c>
      <c r="C199" s="9" t="s">
        <v>79</v>
      </c>
      <c r="D199" s="9" t="s">
        <v>82</v>
      </c>
      <c r="E199" s="30" t="s">
        <v>354</v>
      </c>
      <c r="F199" s="34" t="s">
        <v>509</v>
      </c>
      <c r="G199" s="11">
        <v>1</v>
      </c>
      <c r="H199" s="11">
        <v>2</v>
      </c>
      <c r="I199" s="191"/>
      <c r="J199" s="191"/>
      <c r="K199" s="191"/>
      <c r="L199" s="191"/>
      <c r="M199" s="191"/>
      <c r="N199" s="191"/>
      <c r="O199" s="211"/>
      <c r="P199" s="212"/>
      <c r="Q199" s="32"/>
      <c r="R199" s="32"/>
      <c r="S199" s="32"/>
      <c r="T199" s="32"/>
      <c r="U199" s="32"/>
      <c r="V199" s="32"/>
      <c r="W199" s="32"/>
      <c r="X199" s="32"/>
      <c r="Y199" s="32"/>
      <c r="Z199" s="32"/>
      <c r="AA199" s="32"/>
      <c r="AB199" s="32"/>
      <c r="AC199" s="32"/>
      <c r="AD199" s="32"/>
      <c r="AE199" s="32"/>
      <c r="AF199" s="32"/>
      <c r="AG199" s="32"/>
      <c r="AH199" s="32"/>
      <c r="AI199" s="32"/>
      <c r="AJ199" s="32"/>
      <c r="AK199" s="32"/>
      <c r="AL199" s="32"/>
      <c r="AM199" s="32"/>
      <c r="AN199" s="32"/>
      <c r="AO199" s="32"/>
      <c r="AP199" s="32"/>
      <c r="AQ199" s="32"/>
      <c r="AR199" s="32"/>
      <c r="AS199" s="32"/>
      <c r="AT199" s="32"/>
      <c r="AU199" s="32"/>
      <c r="AV199" s="32"/>
      <c r="AW199" s="32"/>
      <c r="AX199" s="32"/>
      <c r="AY199" s="32"/>
      <c r="AZ199" s="32"/>
      <c r="BA199" s="32"/>
      <c r="BB199" s="32"/>
      <c r="BC199" s="32"/>
      <c r="BD199" s="32"/>
      <c r="BE199" s="32"/>
      <c r="BF199" s="32"/>
      <c r="BG199" s="32"/>
      <c r="BH199" s="32"/>
      <c r="BI199" s="32"/>
      <c r="BJ199" s="32"/>
      <c r="BK199" s="192"/>
      <c r="BL199" s="32"/>
      <c r="BM199" s="192"/>
      <c r="BN199" s="32"/>
      <c r="BO199" s="32"/>
      <c r="BP199" s="32"/>
      <c r="BQ199" s="32"/>
      <c r="BR199" s="32"/>
      <c r="BS199" s="32"/>
      <c r="BT199" s="32"/>
      <c r="BU199" s="32"/>
      <c r="BV199" s="32"/>
      <c r="BW199" s="32"/>
      <c r="BX199" s="32"/>
      <c r="BY199" s="32"/>
      <c r="BZ199" s="32"/>
      <c r="CA199" s="32"/>
      <c r="CB199" s="32"/>
      <c r="CC199" s="32"/>
      <c r="CD199" s="32"/>
      <c r="CE199" s="32"/>
      <c r="CF199" s="32"/>
      <c r="CG199" s="32"/>
      <c r="CH199" s="32"/>
      <c r="CI199" s="32"/>
      <c r="CJ199" s="32"/>
      <c r="CK199" s="32"/>
      <c r="CL199" s="32"/>
      <c r="CM199" s="32"/>
      <c r="CN199" s="32"/>
      <c r="CO199" s="359">
        <v>1400000</v>
      </c>
      <c r="CP199" s="209">
        <f>CO199*G199*H199</f>
        <v>2800000</v>
      </c>
      <c r="CQ199" s="32"/>
      <c r="CR199" s="32"/>
      <c r="CS199" s="33">
        <v>1500000</v>
      </c>
      <c r="CT199" s="25">
        <f>CS199*G199*H199</f>
        <v>3000000</v>
      </c>
      <c r="CU199" s="32"/>
      <c r="CV199" s="32"/>
      <c r="CW199" s="32"/>
      <c r="CX199" s="32"/>
      <c r="CY199" s="32"/>
      <c r="CZ199" s="32"/>
      <c r="DA199" s="32"/>
      <c r="DB199" s="32"/>
      <c r="DC199" s="32"/>
      <c r="DD199" s="32"/>
      <c r="DE199" s="32"/>
      <c r="DF199" s="32"/>
      <c r="DG199" s="32"/>
      <c r="DH199" s="32"/>
      <c r="DI199" s="32"/>
      <c r="DJ199" s="32"/>
      <c r="DK199" s="32"/>
      <c r="DL199" s="32"/>
      <c r="DM199" s="32"/>
      <c r="DN199" s="32"/>
      <c r="DO199" s="32"/>
      <c r="DP199" s="32"/>
      <c r="DQ199" s="32"/>
      <c r="DR199" s="32"/>
      <c r="DS199" s="13">
        <f>+MEDIAN(CO199,CS199)</f>
        <v>1450000</v>
      </c>
      <c r="DT199" s="13">
        <f>+AVERAGE(CO199,CS199)</f>
        <v>1450000</v>
      </c>
      <c r="DU199" s="13">
        <f>+STDEV(CO199,CS199)</f>
        <v>70710.67811865476</v>
      </c>
      <c r="DV199" s="17">
        <f t="shared" si="32"/>
        <v>4.8765984909417075E-2</v>
      </c>
      <c r="DW199" s="373">
        <f t="shared" ref="DW199" si="33">+ROUNDUP(IF(DV199&lt;15%,DT199,DS199),0)</f>
        <v>1450000</v>
      </c>
      <c r="DX199" s="13">
        <f t="shared" si="31"/>
        <v>2900000</v>
      </c>
      <c r="DY199" s="10" t="s">
        <v>457</v>
      </c>
    </row>
    <row r="200" spans="1:132" ht="52" hidden="1" x14ac:dyDescent="0.3">
      <c r="A200" s="19">
        <v>17</v>
      </c>
      <c r="B200" s="9" t="s">
        <v>55</v>
      </c>
      <c r="C200" s="9" t="s">
        <v>79</v>
      </c>
      <c r="D200" s="9" t="s">
        <v>311</v>
      </c>
      <c r="E200" s="29" t="s">
        <v>116</v>
      </c>
      <c r="F200" s="27" t="s">
        <v>473</v>
      </c>
      <c r="G200" s="11">
        <v>1</v>
      </c>
      <c r="H200" s="11">
        <v>1</v>
      </c>
      <c r="I200" s="191"/>
      <c r="J200" s="191"/>
      <c r="K200" s="191"/>
      <c r="L200" s="191"/>
      <c r="M200" s="191"/>
      <c r="N200" s="191"/>
      <c r="O200" s="211"/>
      <c r="P200" s="212"/>
      <c r="Q200" s="32"/>
      <c r="R200" s="32"/>
      <c r="S200" s="32"/>
      <c r="T200" s="32"/>
      <c r="U200" s="32"/>
      <c r="V200" s="32"/>
      <c r="W200" s="32"/>
      <c r="X200" s="32"/>
      <c r="Y200" s="32"/>
      <c r="Z200" s="32"/>
      <c r="AA200" s="32">
        <v>2000000</v>
      </c>
      <c r="AB200" s="32">
        <f>AA200*H200</f>
        <v>2000000</v>
      </c>
      <c r="AC200" s="32">
        <v>526000</v>
      </c>
      <c r="AD200" s="32">
        <v>1052000</v>
      </c>
      <c r="AE200" s="32"/>
      <c r="AF200" s="32"/>
      <c r="AG200" s="32">
        <v>1900000</v>
      </c>
      <c r="AH200" s="32">
        <f>AG200*G200*H200</f>
        <v>1900000</v>
      </c>
      <c r="AI200" s="32"/>
      <c r="AJ200" s="32"/>
      <c r="AK200" s="32"/>
      <c r="AL200" s="32"/>
      <c r="AM200" s="32"/>
      <c r="AN200" s="32"/>
      <c r="AO200" s="32"/>
      <c r="AP200" s="32"/>
      <c r="AQ200" s="32"/>
      <c r="AR200" s="32"/>
      <c r="AS200" s="32"/>
      <c r="AT200" s="32"/>
      <c r="AU200" s="32"/>
      <c r="AV200" s="32"/>
      <c r="AW200" s="32"/>
      <c r="AX200" s="32"/>
      <c r="AY200" s="32"/>
      <c r="AZ200" s="32"/>
      <c r="BA200" s="32"/>
      <c r="BB200" s="32"/>
      <c r="BC200" s="32"/>
      <c r="BD200" s="32"/>
      <c r="BE200" s="32"/>
      <c r="BF200" s="32"/>
      <c r="BG200" s="32"/>
      <c r="BH200" s="32"/>
      <c r="BI200" s="32"/>
      <c r="BJ200" s="32"/>
      <c r="BK200" s="192"/>
      <c r="BL200" s="32"/>
      <c r="BM200" s="192"/>
      <c r="BN200" s="32"/>
      <c r="BO200" s="32"/>
      <c r="BP200" s="32"/>
      <c r="BQ200" s="32"/>
      <c r="BR200" s="32"/>
      <c r="BS200" s="32"/>
      <c r="BT200" s="32"/>
      <c r="BU200" s="32"/>
      <c r="BV200" s="32"/>
      <c r="BW200" s="32"/>
      <c r="BX200" s="32"/>
      <c r="BY200" s="32"/>
      <c r="BZ200" s="32"/>
      <c r="CA200" s="32"/>
      <c r="CB200" s="32"/>
      <c r="CC200" s="32"/>
      <c r="CD200" s="32"/>
      <c r="CE200" s="32"/>
      <c r="CF200" s="32"/>
      <c r="CG200" s="32"/>
      <c r="CH200" s="32"/>
      <c r="CI200" s="32"/>
      <c r="CJ200" s="32"/>
      <c r="CK200" s="32"/>
      <c r="CL200" s="32"/>
      <c r="CM200" s="32"/>
      <c r="CN200" s="32"/>
      <c r="CO200" s="32"/>
      <c r="CP200" s="32"/>
      <c r="CQ200" s="32"/>
      <c r="CR200" s="32"/>
      <c r="CS200" s="32"/>
      <c r="CT200" s="32"/>
      <c r="CU200" s="32"/>
      <c r="CV200" s="32"/>
      <c r="CW200" s="32"/>
      <c r="CX200" s="32"/>
      <c r="CY200" s="32"/>
      <c r="CZ200" s="32"/>
      <c r="DA200" s="32"/>
      <c r="DB200" s="32"/>
      <c r="DC200" s="32"/>
      <c r="DD200" s="32"/>
      <c r="DE200" s="32"/>
      <c r="DF200" s="32"/>
      <c r="DG200" s="32"/>
      <c r="DH200" s="32"/>
      <c r="DI200" s="32"/>
      <c r="DJ200" s="32"/>
      <c r="DK200" s="32"/>
      <c r="DL200" s="32"/>
      <c r="DM200" s="32"/>
      <c r="DN200" s="32"/>
      <c r="DO200" s="32"/>
      <c r="DP200" s="32"/>
      <c r="DQ200" s="32"/>
      <c r="DR200" s="32"/>
      <c r="DS200" s="13">
        <f>+MEDIAN(AA200,AG200)</f>
        <v>1950000</v>
      </c>
      <c r="DT200" s="13">
        <f>+AVERAGE(AA200,AG200)</f>
        <v>1950000</v>
      </c>
      <c r="DU200" s="13">
        <f>+STDEV(AA200,AG200)</f>
        <v>70710.67811865476</v>
      </c>
      <c r="DV200" s="17">
        <f t="shared" si="32"/>
        <v>3.6261886214694748E-2</v>
      </c>
      <c r="DW200" s="373">
        <f>+ROUNDUP(IF(DV200&lt;15%,DT200,DS200),0)</f>
        <v>1950000</v>
      </c>
      <c r="DX200" s="326">
        <f t="shared" si="31"/>
        <v>1950000</v>
      </c>
      <c r="DY200" s="10" t="s">
        <v>457</v>
      </c>
    </row>
    <row r="201" spans="1:132" ht="234" hidden="1" x14ac:dyDescent="0.3">
      <c r="A201" s="19">
        <v>18</v>
      </c>
      <c r="B201" s="14" t="s">
        <v>55</v>
      </c>
      <c r="C201" s="14" t="s">
        <v>79</v>
      </c>
      <c r="D201" s="14" t="s">
        <v>83</v>
      </c>
      <c r="E201" s="39" t="s">
        <v>84</v>
      </c>
      <c r="F201" s="14" t="s">
        <v>19</v>
      </c>
      <c r="G201" s="15">
        <v>50</v>
      </c>
      <c r="H201" s="15">
        <v>1</v>
      </c>
      <c r="I201" s="194"/>
      <c r="J201" s="194"/>
      <c r="K201" s="194"/>
      <c r="L201" s="194"/>
      <c r="M201" s="194"/>
      <c r="N201" s="194"/>
      <c r="O201" s="213"/>
      <c r="P201" s="242"/>
      <c r="Q201" s="197"/>
      <c r="R201" s="197"/>
      <c r="S201" s="197"/>
      <c r="T201" s="197"/>
      <c r="U201" s="197"/>
      <c r="V201" s="197"/>
      <c r="W201" s="197"/>
      <c r="X201" s="197"/>
      <c r="Y201" s="197"/>
      <c r="Z201" s="197"/>
      <c r="AA201" s="197"/>
      <c r="AB201" s="197"/>
      <c r="AC201" s="197"/>
      <c r="AD201" s="197"/>
      <c r="AE201" s="197"/>
      <c r="AF201" s="197"/>
      <c r="AG201" s="197"/>
      <c r="AH201" s="197"/>
      <c r="AI201" s="197"/>
      <c r="AJ201" s="197"/>
      <c r="AK201" s="197">
        <v>27000</v>
      </c>
      <c r="AL201" s="197">
        <f>AK201*G201</f>
        <v>1350000</v>
      </c>
      <c r="AM201" s="197">
        <f>18000+(18000*5.2%)</f>
        <v>18936</v>
      </c>
      <c r="AN201" s="197">
        <f>AM201*G201</f>
        <v>946800</v>
      </c>
      <c r="AO201" s="197">
        <f>13400+(13400*5.2%)</f>
        <v>14096.8</v>
      </c>
      <c r="AP201" s="197">
        <f>AO201*G201</f>
        <v>704840</v>
      </c>
      <c r="AQ201" s="197">
        <f>16900+(16900*5.2%)</f>
        <v>17778.8</v>
      </c>
      <c r="AR201" s="197">
        <f>AQ201*G201</f>
        <v>888940</v>
      </c>
      <c r="AS201" s="197"/>
      <c r="AT201" s="197"/>
      <c r="AU201" s="197"/>
      <c r="AV201" s="197"/>
      <c r="AW201" s="197"/>
      <c r="AX201" s="197"/>
      <c r="AY201" s="197"/>
      <c r="AZ201" s="197"/>
      <c r="BA201" s="197"/>
      <c r="BB201" s="197"/>
      <c r="BC201" s="197"/>
      <c r="BD201" s="197"/>
      <c r="BE201" s="197"/>
      <c r="BF201" s="197"/>
      <c r="BG201" s="197"/>
      <c r="BH201" s="197"/>
      <c r="BI201" s="197"/>
      <c r="BJ201" s="197"/>
      <c r="BK201" s="195"/>
      <c r="BL201" s="197"/>
      <c r="BM201" s="195"/>
      <c r="BN201" s="197"/>
      <c r="BO201" s="197"/>
      <c r="BP201" s="197"/>
      <c r="BQ201" s="197"/>
      <c r="BR201" s="197"/>
      <c r="BS201" s="197"/>
      <c r="BT201" s="197"/>
      <c r="BU201" s="197"/>
      <c r="BV201" s="197"/>
      <c r="BW201" s="197"/>
      <c r="BX201" s="197"/>
      <c r="BY201" s="197"/>
      <c r="BZ201" s="197"/>
      <c r="CA201" s="197"/>
      <c r="CB201" s="197"/>
      <c r="CC201" s="197"/>
      <c r="CD201" s="197"/>
      <c r="CE201" s="197"/>
      <c r="CF201" s="197"/>
      <c r="CG201" s="197"/>
      <c r="CH201" s="197"/>
      <c r="CI201" s="197"/>
      <c r="CJ201" s="197"/>
      <c r="CK201" s="197"/>
      <c r="CL201" s="197"/>
      <c r="CM201" s="197"/>
      <c r="CN201" s="197"/>
      <c r="CO201" s="197"/>
      <c r="CP201" s="197"/>
      <c r="CQ201" s="197"/>
      <c r="CR201" s="197"/>
      <c r="CS201" s="197"/>
      <c r="CT201" s="197"/>
      <c r="CU201" s="197"/>
      <c r="CV201" s="197"/>
      <c r="CW201" s="197"/>
      <c r="CX201" s="197"/>
      <c r="CY201" s="197"/>
      <c r="CZ201" s="197"/>
      <c r="DA201" s="197"/>
      <c r="DB201" s="197"/>
      <c r="DC201" s="197"/>
      <c r="DD201" s="197"/>
      <c r="DE201" s="197"/>
      <c r="DF201" s="197"/>
      <c r="DG201" s="197"/>
      <c r="DH201" s="197"/>
      <c r="DI201" s="197"/>
      <c r="DJ201" s="197"/>
      <c r="DK201" s="197"/>
      <c r="DL201" s="197"/>
      <c r="DM201" s="197"/>
      <c r="DN201" s="197"/>
      <c r="DO201" s="197"/>
      <c r="DP201" s="197"/>
      <c r="DQ201" s="197"/>
      <c r="DR201" s="197"/>
      <c r="DS201" s="73">
        <f>+MEDIAN(AK201,AM201,AO201,AQ201)</f>
        <v>18357.400000000001</v>
      </c>
      <c r="DT201" s="73">
        <f>+AVERAGE(AK201,AM201,AO201,AQ201)</f>
        <v>19452.900000000001</v>
      </c>
      <c r="DU201" s="73">
        <f>+STDEV(AK201,AM201,AO201,AQ201)</f>
        <v>5438.0242135049912</v>
      </c>
      <c r="DV201" s="72">
        <f t="shared" si="32"/>
        <v>0.27954825313989129</v>
      </c>
      <c r="DW201" s="376">
        <f>+ROUNDUP(IF(DV201&lt;15%,DT201,DS201),0)</f>
        <v>18358</v>
      </c>
      <c r="DX201" s="331">
        <f t="shared" si="31"/>
        <v>917900</v>
      </c>
      <c r="DY201" s="39" t="s">
        <v>309</v>
      </c>
    </row>
    <row r="202" spans="1:132" s="63" customFormat="1" ht="18.649999999999999" hidden="1" customHeight="1" x14ac:dyDescent="0.3">
      <c r="A202" s="66" t="s">
        <v>400</v>
      </c>
      <c r="B202" s="66"/>
      <c r="C202" s="66"/>
      <c r="D202" s="66"/>
      <c r="E202" s="66"/>
      <c r="F202" s="67"/>
      <c r="G202" s="67"/>
      <c r="H202" s="67"/>
      <c r="I202" s="214"/>
      <c r="J202" s="214"/>
      <c r="K202" s="214"/>
      <c r="L202" s="214"/>
      <c r="M202" s="214"/>
      <c r="N202" s="214"/>
      <c r="O202" s="215"/>
      <c r="P202" s="215"/>
      <c r="Q202" s="215"/>
      <c r="R202" s="215"/>
      <c r="S202" s="215"/>
      <c r="T202" s="215"/>
      <c r="U202" s="215"/>
      <c r="V202" s="215"/>
      <c r="W202" s="215"/>
      <c r="X202" s="215"/>
      <c r="Y202" s="215"/>
      <c r="Z202" s="215"/>
      <c r="AA202" s="215"/>
      <c r="AB202" s="215"/>
      <c r="AC202" s="215"/>
      <c r="AD202" s="215"/>
      <c r="AE202" s="215"/>
      <c r="AF202" s="215"/>
      <c r="AG202" s="215"/>
      <c r="AH202" s="215"/>
      <c r="AI202" s="215"/>
      <c r="AJ202" s="215"/>
      <c r="AK202" s="215"/>
      <c r="AL202" s="215"/>
      <c r="AM202" s="215"/>
      <c r="AN202" s="215"/>
      <c r="AO202" s="215"/>
      <c r="AP202" s="215"/>
      <c r="AQ202" s="215"/>
      <c r="AR202" s="215"/>
      <c r="AS202" s="215"/>
      <c r="AT202" s="215"/>
      <c r="AU202" s="215"/>
      <c r="AV202" s="215"/>
      <c r="AW202" s="215"/>
      <c r="AX202" s="215"/>
      <c r="AY202" s="215"/>
      <c r="AZ202" s="215"/>
      <c r="BA202" s="215"/>
      <c r="BB202" s="215"/>
      <c r="BC202" s="215"/>
      <c r="BD202" s="215"/>
      <c r="BE202" s="215"/>
      <c r="BF202" s="215"/>
      <c r="BG202" s="215"/>
      <c r="BH202" s="215"/>
      <c r="BI202" s="215"/>
      <c r="BJ202" s="215"/>
      <c r="BK202" s="215"/>
      <c r="BL202" s="216"/>
      <c r="BM202" s="215"/>
      <c r="BN202" s="216"/>
      <c r="BO202" s="216"/>
      <c r="BP202" s="216"/>
      <c r="BQ202" s="216"/>
      <c r="BR202" s="216"/>
      <c r="BS202" s="216"/>
      <c r="BT202" s="216"/>
      <c r="BU202" s="216"/>
      <c r="BV202" s="216"/>
      <c r="BW202" s="216"/>
      <c r="BX202" s="216"/>
      <c r="BY202" s="216"/>
      <c r="BZ202" s="216"/>
      <c r="CA202" s="216"/>
      <c r="CB202" s="216"/>
      <c r="CC202" s="216"/>
      <c r="CD202" s="216"/>
      <c r="CE202" s="216"/>
      <c r="CF202" s="216"/>
      <c r="CG202" s="216"/>
      <c r="CH202" s="216"/>
      <c r="CI202" s="216"/>
      <c r="CJ202" s="216"/>
      <c r="CK202" s="216"/>
      <c r="CL202" s="216"/>
      <c r="CM202" s="216"/>
      <c r="CN202" s="216"/>
      <c r="CO202" s="216"/>
      <c r="CP202" s="216"/>
      <c r="CQ202" s="216"/>
      <c r="CR202" s="216"/>
      <c r="CS202" s="216"/>
      <c r="CT202" s="216"/>
      <c r="CU202" s="216"/>
      <c r="CV202" s="216"/>
      <c r="CW202" s="216"/>
      <c r="CX202" s="216"/>
      <c r="CY202" s="216"/>
      <c r="CZ202" s="216"/>
      <c r="DA202" s="216"/>
      <c r="DB202" s="216"/>
      <c r="DC202" s="216"/>
      <c r="DD202" s="216"/>
      <c r="DE202" s="216"/>
      <c r="DF202" s="216"/>
      <c r="DG202" s="216"/>
      <c r="DH202" s="216"/>
      <c r="DI202" s="216"/>
      <c r="DJ202" s="216"/>
      <c r="DK202" s="216"/>
      <c r="DL202" s="216"/>
      <c r="DM202" s="216"/>
      <c r="DN202" s="216"/>
      <c r="DO202" s="216"/>
      <c r="DP202" s="216"/>
      <c r="DQ202" s="216"/>
      <c r="DR202" s="216"/>
      <c r="DS202" s="215"/>
      <c r="DT202" s="215"/>
      <c r="DU202" s="215"/>
      <c r="DV202" s="68"/>
      <c r="DW202" s="69">
        <f>SUM(DW189:DW201)</f>
        <v>11981023</v>
      </c>
      <c r="DX202" s="69">
        <f>SUM(DX189:DX201)</f>
        <v>38526813</v>
      </c>
      <c r="DY202" s="165"/>
      <c r="DZ202" s="609"/>
      <c r="EA202" s="608"/>
      <c r="EB202" s="609"/>
    </row>
    <row r="203" spans="1:132" ht="52" hidden="1" x14ac:dyDescent="0.3">
      <c r="A203" s="363">
        <v>19</v>
      </c>
      <c r="B203" s="40" t="s">
        <v>55</v>
      </c>
      <c r="C203" s="381" t="s">
        <v>117</v>
      </c>
      <c r="D203" s="40" t="s">
        <v>357</v>
      </c>
      <c r="E203" s="42" t="s">
        <v>1175</v>
      </c>
      <c r="F203" s="40" t="s">
        <v>14</v>
      </c>
      <c r="G203" s="43">
        <v>1</v>
      </c>
      <c r="H203" s="43">
        <v>3</v>
      </c>
      <c r="I203" s="386">
        <v>7688000</v>
      </c>
      <c r="J203" s="386">
        <f>I203*G203*H203</f>
        <v>23064000</v>
      </c>
      <c r="K203" s="386"/>
      <c r="L203" s="386"/>
      <c r="M203" s="386"/>
      <c r="N203" s="386"/>
      <c r="O203" s="387"/>
      <c r="P203" s="393"/>
      <c r="Q203" s="389"/>
      <c r="R203" s="389"/>
      <c r="S203" s="389"/>
      <c r="T203" s="389"/>
      <c r="U203" s="389"/>
      <c r="V203" s="389"/>
      <c r="W203" s="389"/>
      <c r="X203" s="389"/>
      <c r="Y203" s="389"/>
      <c r="Z203" s="389"/>
      <c r="AA203" s="389"/>
      <c r="AB203" s="389"/>
      <c r="AC203" s="389"/>
      <c r="AD203" s="389"/>
      <c r="AE203" s="389"/>
      <c r="AF203" s="389"/>
      <c r="AG203" s="389"/>
      <c r="AH203" s="389"/>
      <c r="AI203" s="389"/>
      <c r="AJ203" s="389"/>
      <c r="AK203" s="389"/>
      <c r="AL203" s="389"/>
      <c r="AM203" s="389"/>
      <c r="AN203" s="389"/>
      <c r="AO203" s="389"/>
      <c r="AP203" s="389"/>
      <c r="AQ203" s="389"/>
      <c r="AR203" s="389"/>
      <c r="AS203" s="389"/>
      <c r="AT203" s="389"/>
      <c r="AU203" s="389"/>
      <c r="AV203" s="389"/>
      <c r="AW203" s="389"/>
      <c r="AX203" s="389"/>
      <c r="AY203" s="389"/>
      <c r="AZ203" s="389"/>
      <c r="BA203" s="389"/>
      <c r="BB203" s="389"/>
      <c r="BC203" s="389"/>
      <c r="BD203" s="389"/>
      <c r="BE203" s="389"/>
      <c r="BF203" s="389"/>
      <c r="BG203" s="389"/>
      <c r="BH203" s="389"/>
      <c r="BI203" s="389"/>
      <c r="BJ203" s="389"/>
      <c r="BK203" s="390"/>
      <c r="BL203" s="389"/>
      <c r="BM203" s="390"/>
      <c r="BN203" s="389"/>
      <c r="BO203" s="389"/>
      <c r="BP203" s="389"/>
      <c r="BQ203" s="389"/>
      <c r="BR203" s="389"/>
      <c r="BS203" s="389"/>
      <c r="BT203" s="389"/>
      <c r="BU203" s="389"/>
      <c r="BV203" s="389"/>
      <c r="BW203" s="389"/>
      <c r="BX203" s="389"/>
      <c r="BY203" s="389"/>
      <c r="BZ203" s="389"/>
      <c r="CA203" s="389"/>
      <c r="CB203" s="389"/>
      <c r="CC203" s="389"/>
      <c r="CD203" s="389"/>
      <c r="CE203" s="389"/>
      <c r="CF203" s="389"/>
      <c r="CG203" s="389"/>
      <c r="CH203" s="389"/>
      <c r="CI203" s="389"/>
      <c r="CJ203" s="389"/>
      <c r="CK203" s="389"/>
      <c r="CL203" s="389"/>
      <c r="CM203" s="389"/>
      <c r="CN203" s="389"/>
      <c r="CO203" s="389"/>
      <c r="CP203" s="389"/>
      <c r="CQ203" s="389"/>
      <c r="CR203" s="389"/>
      <c r="CS203" s="389"/>
      <c r="CT203" s="389"/>
      <c r="CU203" s="389"/>
      <c r="CV203" s="389"/>
      <c r="CW203" s="389"/>
      <c r="CX203" s="389"/>
      <c r="CY203" s="389"/>
      <c r="CZ203" s="389"/>
      <c r="DA203" s="389"/>
      <c r="DB203" s="389"/>
      <c r="DC203" s="389"/>
      <c r="DD203" s="389"/>
      <c r="DE203" s="389"/>
      <c r="DF203" s="389"/>
      <c r="DG203" s="389"/>
      <c r="DH203" s="389"/>
      <c r="DI203" s="389"/>
      <c r="DJ203" s="389"/>
      <c r="DK203" s="389"/>
      <c r="DL203" s="389"/>
      <c r="DM203" s="389"/>
      <c r="DN203" s="389"/>
      <c r="DO203" s="389"/>
      <c r="DP203" s="389"/>
      <c r="DQ203" s="389"/>
      <c r="DR203" s="389"/>
      <c r="DS203" s="390"/>
      <c r="DT203" s="390"/>
      <c r="DU203" s="390"/>
      <c r="DV203" s="380"/>
      <c r="DW203" s="374">
        <f>I203</f>
        <v>7688000</v>
      </c>
      <c r="DX203" s="364">
        <f>+ROUND(DW203*G203*H203,0)</f>
        <v>23064000</v>
      </c>
      <c r="DY203" s="365" t="s">
        <v>323</v>
      </c>
    </row>
    <row r="204" spans="1:132" ht="52" hidden="1" x14ac:dyDescent="0.3">
      <c r="A204" s="6">
        <v>20</v>
      </c>
      <c r="B204" s="9" t="s">
        <v>55</v>
      </c>
      <c r="C204" s="93" t="s">
        <v>117</v>
      </c>
      <c r="D204" s="9" t="s">
        <v>357</v>
      </c>
      <c r="E204" s="42" t="s">
        <v>1175</v>
      </c>
      <c r="F204" s="9" t="s">
        <v>14</v>
      </c>
      <c r="G204" s="11">
        <v>1</v>
      </c>
      <c r="H204" s="11">
        <v>3</v>
      </c>
      <c r="I204" s="303">
        <v>7688000</v>
      </c>
      <c r="J204" s="303">
        <f>I204*G204*H204</f>
        <v>23064000</v>
      </c>
      <c r="K204" s="303"/>
      <c r="L204" s="303"/>
      <c r="M204" s="303"/>
      <c r="N204" s="303"/>
      <c r="O204" s="304"/>
      <c r="P204" s="305"/>
      <c r="Q204" s="97"/>
      <c r="R204" s="97"/>
      <c r="S204" s="97"/>
      <c r="T204" s="97"/>
      <c r="U204" s="97"/>
      <c r="V204" s="97"/>
      <c r="W204" s="97"/>
      <c r="X204" s="97"/>
      <c r="Y204" s="97"/>
      <c r="Z204" s="97"/>
      <c r="AA204" s="97"/>
      <c r="AB204" s="97"/>
      <c r="AC204" s="97"/>
      <c r="AD204" s="97"/>
      <c r="AE204" s="97"/>
      <c r="AF204" s="97"/>
      <c r="AG204" s="97"/>
      <c r="AH204" s="97"/>
      <c r="AI204" s="97"/>
      <c r="AJ204" s="97"/>
      <c r="AK204" s="97"/>
      <c r="AL204" s="97"/>
      <c r="AM204" s="97"/>
      <c r="AN204" s="97"/>
      <c r="AO204" s="97"/>
      <c r="AP204" s="97"/>
      <c r="AQ204" s="97"/>
      <c r="AR204" s="97"/>
      <c r="AS204" s="97"/>
      <c r="AT204" s="97"/>
      <c r="AU204" s="97"/>
      <c r="AV204" s="97"/>
      <c r="AW204" s="97"/>
      <c r="AX204" s="97"/>
      <c r="AY204" s="97"/>
      <c r="AZ204" s="97"/>
      <c r="BA204" s="97"/>
      <c r="BB204" s="97"/>
      <c r="BC204" s="97"/>
      <c r="BD204" s="97"/>
      <c r="BE204" s="97"/>
      <c r="BF204" s="97"/>
      <c r="BG204" s="97"/>
      <c r="BH204" s="97"/>
      <c r="BI204" s="97"/>
      <c r="BJ204" s="97"/>
      <c r="BK204" s="306"/>
      <c r="BL204" s="97"/>
      <c r="BM204" s="306"/>
      <c r="BN204" s="97"/>
      <c r="BO204" s="97"/>
      <c r="BP204" s="97"/>
      <c r="BQ204" s="97"/>
      <c r="BR204" s="97"/>
      <c r="BS204" s="97"/>
      <c r="BT204" s="97"/>
      <c r="BU204" s="97"/>
      <c r="BV204" s="97"/>
      <c r="BW204" s="97"/>
      <c r="BX204" s="97"/>
      <c r="BY204" s="97"/>
      <c r="BZ204" s="97"/>
      <c r="CA204" s="97"/>
      <c r="CB204" s="97"/>
      <c r="CC204" s="97"/>
      <c r="CD204" s="97"/>
      <c r="CE204" s="97"/>
      <c r="CF204" s="97"/>
      <c r="CG204" s="97"/>
      <c r="CH204" s="97"/>
      <c r="CI204" s="97"/>
      <c r="CJ204" s="97"/>
      <c r="CK204" s="97"/>
      <c r="CL204" s="97"/>
      <c r="CM204" s="97"/>
      <c r="CN204" s="97"/>
      <c r="CO204" s="97"/>
      <c r="CP204" s="97"/>
      <c r="CQ204" s="97"/>
      <c r="CR204" s="97"/>
      <c r="CS204" s="97"/>
      <c r="CT204" s="97"/>
      <c r="CU204" s="97"/>
      <c r="CV204" s="97"/>
      <c r="CW204" s="97"/>
      <c r="CX204" s="97"/>
      <c r="CY204" s="97"/>
      <c r="CZ204" s="97"/>
      <c r="DA204" s="97"/>
      <c r="DB204" s="97"/>
      <c r="DC204" s="97"/>
      <c r="DD204" s="97"/>
      <c r="DE204" s="97"/>
      <c r="DF204" s="97"/>
      <c r="DG204" s="97"/>
      <c r="DH204" s="97"/>
      <c r="DI204" s="97"/>
      <c r="DJ204" s="97"/>
      <c r="DK204" s="97"/>
      <c r="DL204" s="97"/>
      <c r="DM204" s="97"/>
      <c r="DN204" s="97"/>
      <c r="DO204" s="97"/>
      <c r="DP204" s="97"/>
      <c r="DQ204" s="97"/>
      <c r="DR204" s="97"/>
      <c r="DS204" s="306"/>
      <c r="DT204" s="306"/>
      <c r="DU204" s="306"/>
      <c r="DV204" s="12"/>
      <c r="DW204" s="371">
        <f>I204</f>
        <v>7688000</v>
      </c>
      <c r="DX204" s="366">
        <f>+ROUND(DW204*G204*H204,0)</f>
        <v>23064000</v>
      </c>
      <c r="DY204" s="367" t="s">
        <v>323</v>
      </c>
    </row>
    <row r="205" spans="1:132" ht="78" hidden="1" x14ac:dyDescent="0.3">
      <c r="A205" s="363">
        <v>21</v>
      </c>
      <c r="B205" s="9" t="s">
        <v>55</v>
      </c>
      <c r="C205" s="9" t="s">
        <v>117</v>
      </c>
      <c r="D205" s="9" t="s">
        <v>118</v>
      </c>
      <c r="E205" s="10" t="s">
        <v>119</v>
      </c>
      <c r="F205" s="9" t="s">
        <v>120</v>
      </c>
      <c r="G205" s="11">
        <v>15</v>
      </c>
      <c r="H205" s="11">
        <v>8</v>
      </c>
      <c r="I205" s="191"/>
      <c r="J205" s="191"/>
      <c r="K205" s="191"/>
      <c r="L205" s="191"/>
      <c r="M205" s="191"/>
      <c r="N205" s="191"/>
      <c r="O205" s="211"/>
      <c r="P205" s="21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c r="BI205" s="32"/>
      <c r="BJ205" s="32"/>
      <c r="BK205" s="192"/>
      <c r="BL205" s="32"/>
      <c r="BM205" s="192"/>
      <c r="BN205" s="32"/>
      <c r="BO205" s="32"/>
      <c r="BP205" s="32"/>
      <c r="BQ205" s="32"/>
      <c r="BR205" s="32"/>
      <c r="BS205" s="32"/>
      <c r="BT205" s="32"/>
      <c r="BU205" s="32"/>
      <c r="BV205" s="32"/>
      <c r="BW205" s="32"/>
      <c r="BX205" s="32"/>
      <c r="BY205" s="32"/>
      <c r="BZ205" s="32"/>
      <c r="CA205" s="32"/>
      <c r="CB205" s="32"/>
      <c r="CC205" s="32"/>
      <c r="CD205" s="32"/>
      <c r="CE205" s="32"/>
      <c r="CF205" s="32"/>
      <c r="CG205" s="32"/>
      <c r="CH205" s="32"/>
      <c r="CI205" s="32"/>
      <c r="CJ205" s="32"/>
      <c r="CK205" s="32"/>
      <c r="CL205" s="32"/>
      <c r="CM205" s="32"/>
      <c r="CN205" s="32"/>
      <c r="CO205" s="32">
        <v>200000</v>
      </c>
      <c r="CP205" s="32">
        <f>CO205*G205*H205</f>
        <v>24000000</v>
      </c>
      <c r="CQ205" s="225">
        <v>190000</v>
      </c>
      <c r="CR205" s="32">
        <f>CQ205*G205*H205</f>
        <v>22800000</v>
      </c>
      <c r="CS205" s="224">
        <v>150000</v>
      </c>
      <c r="CT205" s="32">
        <f>CS205*G205*H205</f>
        <v>18000000</v>
      </c>
      <c r="CU205" s="225">
        <v>190000</v>
      </c>
      <c r="CV205" s="32">
        <f>CU205*G205*H205</f>
        <v>22800000</v>
      </c>
      <c r="CW205" s="245"/>
      <c r="CX205" s="32"/>
      <c r="CY205" s="245"/>
      <c r="CZ205" s="32"/>
      <c r="DA205" s="32"/>
      <c r="DB205" s="32"/>
      <c r="DC205" s="245"/>
      <c r="DD205" s="32"/>
      <c r="DE205" s="32"/>
      <c r="DF205" s="32"/>
      <c r="DG205" s="32"/>
      <c r="DH205" s="32"/>
      <c r="DI205" s="32"/>
      <c r="DJ205" s="32"/>
      <c r="DK205" s="32"/>
      <c r="DL205" s="32"/>
      <c r="DM205" s="32"/>
      <c r="DN205" s="32"/>
      <c r="DO205" s="32"/>
      <c r="DP205" s="32"/>
      <c r="DQ205" s="32"/>
      <c r="DR205" s="32"/>
      <c r="DS205" s="13">
        <f>+MEDIAN(CO205,CQ205,CS205,CU205)</f>
        <v>190000</v>
      </c>
      <c r="DT205" s="13">
        <f>+AVERAGE(CO205,CQ205,CS205,CU205)</f>
        <v>182500</v>
      </c>
      <c r="DU205" s="13">
        <f>+STDEV(CO205,CQ205,CS205,CU205)</f>
        <v>22173.557826083452</v>
      </c>
      <c r="DV205" s="17">
        <f>DU205/DT205</f>
        <v>0.12149894699223809</v>
      </c>
      <c r="DW205" s="373">
        <f>+ROUNDUP(IF(DV205&lt;15%,DT205,DS205),0)</f>
        <v>182500</v>
      </c>
      <c r="DX205" s="326">
        <f>+ROUND(DW205*G205*H205,0)</f>
        <v>21900000</v>
      </c>
      <c r="DY205" s="10" t="s">
        <v>448</v>
      </c>
    </row>
    <row r="206" spans="1:132" ht="208" hidden="1" x14ac:dyDescent="0.3">
      <c r="A206" s="572">
        <v>22</v>
      </c>
      <c r="B206" s="416" t="s">
        <v>55</v>
      </c>
      <c r="C206" s="416" t="s">
        <v>117</v>
      </c>
      <c r="D206" s="416" t="s">
        <v>369</v>
      </c>
      <c r="E206" s="418" t="s">
        <v>1099</v>
      </c>
      <c r="F206" s="416" t="s">
        <v>28</v>
      </c>
      <c r="G206" s="420">
        <v>1</v>
      </c>
      <c r="H206" s="420">
        <v>1</v>
      </c>
      <c r="I206" s="421"/>
      <c r="J206" s="421"/>
      <c r="K206" s="421"/>
      <c r="L206" s="421"/>
      <c r="M206" s="421"/>
      <c r="N206" s="421"/>
      <c r="O206" s="422"/>
      <c r="P206" s="423"/>
      <c r="Q206" s="424"/>
      <c r="R206" s="424"/>
      <c r="S206" s="424"/>
      <c r="T206" s="424"/>
      <c r="U206" s="424"/>
      <c r="V206" s="424"/>
      <c r="W206" s="424"/>
      <c r="X206" s="424"/>
      <c r="Y206" s="424"/>
      <c r="Z206" s="424"/>
      <c r="AA206" s="424"/>
      <c r="AB206" s="424"/>
      <c r="AC206" s="424"/>
      <c r="AD206" s="424"/>
      <c r="AE206" s="424"/>
      <c r="AF206" s="424"/>
      <c r="AG206" s="424"/>
      <c r="AH206" s="424"/>
      <c r="AI206" s="424"/>
      <c r="AJ206" s="424"/>
      <c r="AK206" s="424"/>
      <c r="AL206" s="424"/>
      <c r="AM206" s="424"/>
      <c r="AN206" s="424"/>
      <c r="AO206" s="424"/>
      <c r="AP206" s="424"/>
      <c r="AQ206" s="424"/>
      <c r="AR206" s="424"/>
      <c r="AS206" s="424"/>
      <c r="AT206" s="424"/>
      <c r="AU206" s="424"/>
      <c r="AV206" s="424"/>
      <c r="AW206" s="424"/>
      <c r="AX206" s="424"/>
      <c r="AY206" s="424"/>
      <c r="AZ206" s="424"/>
      <c r="BA206" s="424"/>
      <c r="BB206" s="424"/>
      <c r="BC206" s="424"/>
      <c r="BD206" s="424"/>
      <c r="BE206" s="424"/>
      <c r="BF206" s="424"/>
      <c r="BG206" s="424"/>
      <c r="BH206" s="424"/>
      <c r="BI206" s="424"/>
      <c r="BJ206" s="424"/>
      <c r="BK206" s="425"/>
      <c r="BL206" s="424"/>
      <c r="BM206" s="425"/>
      <c r="BN206" s="424"/>
      <c r="BO206" s="424"/>
      <c r="BP206" s="424"/>
      <c r="BQ206" s="424"/>
      <c r="BR206" s="424"/>
      <c r="BS206" s="424"/>
      <c r="BT206" s="424"/>
      <c r="BU206" s="424"/>
      <c r="BV206" s="424"/>
      <c r="BW206" s="424"/>
      <c r="BX206" s="424"/>
      <c r="BY206" s="424"/>
      <c r="BZ206" s="424"/>
      <c r="CA206" s="424"/>
      <c r="CB206" s="424"/>
      <c r="CC206" s="424"/>
      <c r="CD206" s="424"/>
      <c r="CE206" s="424"/>
      <c r="CF206" s="424"/>
      <c r="CG206" s="424"/>
      <c r="CH206" s="424"/>
      <c r="CI206" s="424"/>
      <c r="CJ206" s="424"/>
      <c r="CK206" s="424"/>
      <c r="CL206" s="424"/>
      <c r="CM206" s="424"/>
      <c r="CN206" s="424"/>
      <c r="CO206" s="424"/>
      <c r="CP206" s="424"/>
      <c r="CQ206" s="424"/>
      <c r="CR206" s="424"/>
      <c r="CS206" s="424"/>
      <c r="CT206" s="424"/>
      <c r="CU206" s="424"/>
      <c r="CV206" s="424"/>
      <c r="CW206" s="424"/>
      <c r="CX206" s="424"/>
      <c r="CY206" s="424"/>
      <c r="CZ206" s="424"/>
      <c r="DA206" s="424"/>
      <c r="DB206" s="424"/>
      <c r="DC206" s="424"/>
      <c r="DD206" s="424"/>
      <c r="DE206" s="424"/>
      <c r="DF206" s="424"/>
      <c r="DG206" s="424"/>
      <c r="DH206" s="424"/>
      <c r="DI206" s="424"/>
      <c r="DJ206" s="424"/>
      <c r="DK206" s="424"/>
      <c r="DL206" s="424"/>
      <c r="DM206" s="424"/>
      <c r="DN206" s="424"/>
      <c r="DO206" s="424"/>
      <c r="DP206" s="424"/>
      <c r="DQ206" s="424"/>
      <c r="DR206" s="424"/>
      <c r="DS206" s="425"/>
      <c r="DT206" s="425"/>
      <c r="DU206" s="425"/>
      <c r="DV206" s="569"/>
      <c r="DW206" s="428">
        <f>9000000*1.34</f>
        <v>12060000</v>
      </c>
      <c r="DX206" s="426">
        <f>+ROUND(DW206*G206*H206,0)</f>
        <v>12060000</v>
      </c>
      <c r="DY206" s="429" t="s">
        <v>1100</v>
      </c>
    </row>
    <row r="207" spans="1:132" s="23" customFormat="1" hidden="1" x14ac:dyDescent="0.3">
      <c r="A207" s="156" t="s">
        <v>401</v>
      </c>
      <c r="B207" s="157"/>
      <c r="C207" s="157"/>
      <c r="D207" s="157"/>
      <c r="E207" s="158"/>
      <c r="F207" s="22"/>
      <c r="G207" s="22"/>
      <c r="H207" s="22"/>
      <c r="I207" s="288"/>
      <c r="J207" s="288"/>
      <c r="K207" s="288"/>
      <c r="L207" s="288"/>
      <c r="M207" s="288"/>
      <c r="N207" s="288"/>
      <c r="O207" s="289"/>
      <c r="P207" s="289"/>
      <c r="Q207" s="289"/>
      <c r="R207" s="289"/>
      <c r="S207" s="289"/>
      <c r="T207" s="289"/>
      <c r="U207" s="289"/>
      <c r="V207" s="289"/>
      <c r="W207" s="289"/>
      <c r="X207" s="289"/>
      <c r="Y207" s="289"/>
      <c r="Z207" s="289"/>
      <c r="AA207" s="289"/>
      <c r="AB207" s="289"/>
      <c r="AC207" s="289"/>
      <c r="AD207" s="289"/>
      <c r="AE207" s="289"/>
      <c r="AF207" s="289"/>
      <c r="AG207" s="289"/>
      <c r="AH207" s="289"/>
      <c r="AI207" s="289"/>
      <c r="AJ207" s="289"/>
      <c r="AK207" s="289"/>
      <c r="AL207" s="289"/>
      <c r="AM207" s="289"/>
      <c r="AN207" s="289"/>
      <c r="AO207" s="289"/>
      <c r="AP207" s="289"/>
      <c r="AQ207" s="289"/>
      <c r="AR207" s="289"/>
      <c r="AS207" s="289"/>
      <c r="AT207" s="289"/>
      <c r="AU207" s="289"/>
      <c r="AV207" s="289"/>
      <c r="AW207" s="289"/>
      <c r="AX207" s="289"/>
      <c r="AY207" s="289"/>
      <c r="AZ207" s="289"/>
      <c r="BA207" s="289"/>
      <c r="BB207" s="289"/>
      <c r="BC207" s="289"/>
      <c r="BD207" s="289"/>
      <c r="BE207" s="289"/>
      <c r="BF207" s="289"/>
      <c r="BG207" s="289"/>
      <c r="BH207" s="289"/>
      <c r="BI207" s="289"/>
      <c r="BJ207" s="289"/>
      <c r="BK207" s="290"/>
      <c r="BL207" s="291"/>
      <c r="BM207" s="290"/>
      <c r="BN207" s="291"/>
      <c r="BO207" s="291"/>
      <c r="BP207" s="291"/>
      <c r="BQ207" s="291"/>
      <c r="BR207" s="291"/>
      <c r="BS207" s="291"/>
      <c r="BT207" s="291"/>
      <c r="BU207" s="291"/>
      <c r="BV207" s="291"/>
      <c r="BW207" s="291"/>
      <c r="BX207" s="291"/>
      <c r="BY207" s="291"/>
      <c r="BZ207" s="291"/>
      <c r="CA207" s="291"/>
      <c r="CB207" s="291"/>
      <c r="CC207" s="291"/>
      <c r="CD207" s="291"/>
      <c r="CE207" s="291"/>
      <c r="CF207" s="291"/>
      <c r="CG207" s="291"/>
      <c r="CH207" s="291"/>
      <c r="CI207" s="291"/>
      <c r="CJ207" s="291"/>
      <c r="CK207" s="291"/>
      <c r="CL207" s="291"/>
      <c r="CM207" s="291"/>
      <c r="CN207" s="291"/>
      <c r="CO207" s="291"/>
      <c r="CP207" s="291"/>
      <c r="CQ207" s="291"/>
      <c r="CR207" s="291"/>
      <c r="CS207" s="291"/>
      <c r="CT207" s="291"/>
      <c r="CU207" s="291"/>
      <c r="CV207" s="291"/>
      <c r="CW207" s="291"/>
      <c r="CX207" s="291"/>
      <c r="CY207" s="291"/>
      <c r="CZ207" s="291"/>
      <c r="DA207" s="291"/>
      <c r="DB207" s="291"/>
      <c r="DC207" s="291"/>
      <c r="DD207" s="291"/>
      <c r="DE207" s="291"/>
      <c r="DF207" s="291"/>
      <c r="DG207" s="291"/>
      <c r="DH207" s="291"/>
      <c r="DI207" s="291"/>
      <c r="DJ207" s="291"/>
      <c r="DK207" s="291"/>
      <c r="DL207" s="291"/>
      <c r="DM207" s="291"/>
      <c r="DN207" s="291"/>
      <c r="DO207" s="291"/>
      <c r="DP207" s="291"/>
      <c r="DQ207" s="291"/>
      <c r="DR207" s="291"/>
      <c r="DS207" s="290"/>
      <c r="DT207" s="290"/>
      <c r="DU207" s="290"/>
      <c r="DW207" s="24">
        <f>SUM(DW203:DW206)</f>
        <v>27618500</v>
      </c>
      <c r="DX207" s="24">
        <f>SUM(DX203:DX206)</f>
        <v>80088000</v>
      </c>
      <c r="DY207" s="170"/>
      <c r="DZ207" s="618"/>
      <c r="EA207" s="618"/>
      <c r="EB207" s="618"/>
    </row>
    <row r="208" spans="1:132" ht="52" hidden="1" x14ac:dyDescent="0.3">
      <c r="A208" s="19">
        <v>23</v>
      </c>
      <c r="B208" s="9" t="s">
        <v>55</v>
      </c>
      <c r="C208" s="93" t="s">
        <v>121</v>
      </c>
      <c r="D208" s="9" t="s">
        <v>357</v>
      </c>
      <c r="E208" s="42" t="s">
        <v>1175</v>
      </c>
      <c r="F208" s="9" t="s">
        <v>14</v>
      </c>
      <c r="G208" s="11">
        <v>2</v>
      </c>
      <c r="H208" s="11">
        <v>5</v>
      </c>
      <c r="I208" s="303">
        <v>7688000</v>
      </c>
      <c r="J208" s="303">
        <f>I208*G208*H208</f>
        <v>76880000</v>
      </c>
      <c r="K208" s="303"/>
      <c r="L208" s="303"/>
      <c r="M208" s="303"/>
      <c r="N208" s="303"/>
      <c r="O208" s="304"/>
      <c r="P208" s="305"/>
      <c r="Q208" s="97"/>
      <c r="R208" s="97"/>
      <c r="S208" s="97"/>
      <c r="T208" s="97"/>
      <c r="U208" s="97"/>
      <c r="V208" s="97"/>
      <c r="W208" s="97"/>
      <c r="X208" s="97"/>
      <c r="Y208" s="97"/>
      <c r="Z208" s="97"/>
      <c r="AA208" s="97"/>
      <c r="AB208" s="97"/>
      <c r="AC208" s="97"/>
      <c r="AD208" s="97"/>
      <c r="AE208" s="97"/>
      <c r="AF208" s="97"/>
      <c r="AG208" s="97"/>
      <c r="AH208" s="97"/>
      <c r="AI208" s="97"/>
      <c r="AJ208" s="97"/>
      <c r="AK208" s="97"/>
      <c r="AL208" s="97"/>
      <c r="AM208" s="97"/>
      <c r="AN208" s="97"/>
      <c r="AO208" s="97"/>
      <c r="AP208" s="97"/>
      <c r="AQ208" s="97"/>
      <c r="AR208" s="97"/>
      <c r="AS208" s="97"/>
      <c r="AT208" s="97"/>
      <c r="AU208" s="97"/>
      <c r="AV208" s="97"/>
      <c r="AW208" s="97"/>
      <c r="AX208" s="97"/>
      <c r="AY208" s="97"/>
      <c r="AZ208" s="97"/>
      <c r="BA208" s="97"/>
      <c r="BB208" s="97"/>
      <c r="BC208" s="97"/>
      <c r="BD208" s="97"/>
      <c r="BE208" s="97"/>
      <c r="BF208" s="97"/>
      <c r="BG208" s="97"/>
      <c r="BH208" s="97"/>
      <c r="BI208" s="97"/>
      <c r="BJ208" s="97"/>
      <c r="BK208" s="306"/>
      <c r="BL208" s="97"/>
      <c r="BM208" s="306"/>
      <c r="BN208" s="97"/>
      <c r="BO208" s="97"/>
      <c r="BP208" s="97"/>
      <c r="BQ208" s="97"/>
      <c r="BR208" s="97"/>
      <c r="BS208" s="97"/>
      <c r="BT208" s="97"/>
      <c r="BU208" s="97"/>
      <c r="BV208" s="97"/>
      <c r="BW208" s="97"/>
      <c r="BX208" s="97"/>
      <c r="BY208" s="97"/>
      <c r="BZ208" s="97"/>
      <c r="CA208" s="97"/>
      <c r="CB208" s="97"/>
      <c r="CC208" s="97"/>
      <c r="CD208" s="97"/>
      <c r="CE208" s="97"/>
      <c r="CF208" s="97"/>
      <c r="CG208" s="97"/>
      <c r="CH208" s="97"/>
      <c r="CI208" s="97"/>
      <c r="CJ208" s="97"/>
      <c r="CK208" s="97"/>
      <c r="CL208" s="97"/>
      <c r="CM208" s="97"/>
      <c r="CN208" s="97"/>
      <c r="CO208" s="97"/>
      <c r="CP208" s="97"/>
      <c r="CQ208" s="97"/>
      <c r="CR208" s="97"/>
      <c r="CS208" s="97"/>
      <c r="CT208" s="97"/>
      <c r="CU208" s="97"/>
      <c r="CV208" s="97"/>
      <c r="CW208" s="97"/>
      <c r="CX208" s="97"/>
      <c r="CY208" s="97"/>
      <c r="CZ208" s="97"/>
      <c r="DA208" s="97"/>
      <c r="DB208" s="97"/>
      <c r="DC208" s="97"/>
      <c r="DD208" s="97"/>
      <c r="DE208" s="97"/>
      <c r="DF208" s="97"/>
      <c r="DG208" s="97"/>
      <c r="DH208" s="97"/>
      <c r="DI208" s="97"/>
      <c r="DJ208" s="97"/>
      <c r="DK208" s="97"/>
      <c r="DL208" s="97"/>
      <c r="DM208" s="97"/>
      <c r="DN208" s="97"/>
      <c r="DO208" s="97"/>
      <c r="DP208" s="97"/>
      <c r="DQ208" s="97"/>
      <c r="DR208" s="97"/>
      <c r="DS208" s="306"/>
      <c r="DT208" s="306"/>
      <c r="DU208" s="306"/>
      <c r="DV208" s="12"/>
      <c r="DW208" s="371">
        <f>I208</f>
        <v>7688000</v>
      </c>
      <c r="DX208" s="326">
        <f t="shared" ref="DX208:DX228" si="34">+ROUND(DW208*G208*H208,0)</f>
        <v>76880000</v>
      </c>
      <c r="DY208" s="161" t="s">
        <v>323</v>
      </c>
    </row>
    <row r="209" spans="1:132" ht="52" hidden="1" x14ac:dyDescent="0.3">
      <c r="A209" s="19">
        <v>24</v>
      </c>
      <c r="B209" s="9" t="s">
        <v>55</v>
      </c>
      <c r="C209" s="93" t="s">
        <v>121</v>
      </c>
      <c r="D209" s="9" t="s">
        <v>357</v>
      </c>
      <c r="E209" s="42" t="s">
        <v>1175</v>
      </c>
      <c r="F209" s="9" t="s">
        <v>14</v>
      </c>
      <c r="G209" s="11">
        <v>2</v>
      </c>
      <c r="H209" s="11">
        <v>5</v>
      </c>
      <c r="I209" s="303">
        <v>7688000</v>
      </c>
      <c r="J209" s="303">
        <f>I209*G209*H209</f>
        <v>76880000</v>
      </c>
      <c r="K209" s="303"/>
      <c r="L209" s="303"/>
      <c r="M209" s="303"/>
      <c r="N209" s="303"/>
      <c r="O209" s="304"/>
      <c r="P209" s="305"/>
      <c r="Q209" s="97"/>
      <c r="R209" s="97"/>
      <c r="S209" s="97"/>
      <c r="T209" s="97"/>
      <c r="U209" s="97"/>
      <c r="V209" s="97"/>
      <c r="W209" s="97"/>
      <c r="X209" s="97"/>
      <c r="Y209" s="97"/>
      <c r="Z209" s="97"/>
      <c r="AA209" s="97"/>
      <c r="AB209" s="97"/>
      <c r="AC209" s="97"/>
      <c r="AD209" s="97"/>
      <c r="AE209" s="97"/>
      <c r="AF209" s="97"/>
      <c r="AG209" s="97"/>
      <c r="AH209" s="97"/>
      <c r="AI209" s="97"/>
      <c r="AJ209" s="97"/>
      <c r="AK209" s="97"/>
      <c r="AL209" s="97"/>
      <c r="AM209" s="97"/>
      <c r="AN209" s="97"/>
      <c r="AO209" s="97"/>
      <c r="AP209" s="97"/>
      <c r="AQ209" s="97"/>
      <c r="AR209" s="97"/>
      <c r="AS209" s="97"/>
      <c r="AT209" s="97"/>
      <c r="AU209" s="97"/>
      <c r="AV209" s="97"/>
      <c r="AW209" s="97"/>
      <c r="AX209" s="97"/>
      <c r="AY209" s="97"/>
      <c r="AZ209" s="97"/>
      <c r="BA209" s="97"/>
      <c r="BB209" s="97"/>
      <c r="BC209" s="97"/>
      <c r="BD209" s="97"/>
      <c r="BE209" s="97"/>
      <c r="BF209" s="97"/>
      <c r="BG209" s="97"/>
      <c r="BH209" s="97"/>
      <c r="BI209" s="97"/>
      <c r="BJ209" s="97"/>
      <c r="BK209" s="306"/>
      <c r="BL209" s="97"/>
      <c r="BM209" s="306"/>
      <c r="BN209" s="97"/>
      <c r="BO209" s="97"/>
      <c r="BP209" s="97"/>
      <c r="BQ209" s="97"/>
      <c r="BR209" s="97"/>
      <c r="BS209" s="97"/>
      <c r="BT209" s="97"/>
      <c r="BU209" s="97"/>
      <c r="BV209" s="97"/>
      <c r="BW209" s="97"/>
      <c r="BX209" s="97"/>
      <c r="BY209" s="97"/>
      <c r="BZ209" s="97"/>
      <c r="CA209" s="97"/>
      <c r="CB209" s="97"/>
      <c r="CC209" s="97"/>
      <c r="CD209" s="97"/>
      <c r="CE209" s="97"/>
      <c r="CF209" s="97"/>
      <c r="CG209" s="97"/>
      <c r="CH209" s="97"/>
      <c r="CI209" s="97"/>
      <c r="CJ209" s="97"/>
      <c r="CK209" s="97"/>
      <c r="CL209" s="97"/>
      <c r="CM209" s="97"/>
      <c r="CN209" s="97"/>
      <c r="CO209" s="97"/>
      <c r="CP209" s="97"/>
      <c r="CQ209" s="97"/>
      <c r="CR209" s="97"/>
      <c r="CS209" s="97"/>
      <c r="CT209" s="97"/>
      <c r="CU209" s="97"/>
      <c r="CV209" s="97"/>
      <c r="CW209" s="97"/>
      <c r="CX209" s="97"/>
      <c r="CY209" s="97"/>
      <c r="CZ209" s="97"/>
      <c r="DA209" s="97"/>
      <c r="DB209" s="97"/>
      <c r="DC209" s="97"/>
      <c r="DD209" s="97"/>
      <c r="DE209" s="97"/>
      <c r="DF209" s="97"/>
      <c r="DG209" s="97"/>
      <c r="DH209" s="97"/>
      <c r="DI209" s="97"/>
      <c r="DJ209" s="97"/>
      <c r="DK209" s="97"/>
      <c r="DL209" s="97"/>
      <c r="DM209" s="97"/>
      <c r="DN209" s="97"/>
      <c r="DO209" s="97"/>
      <c r="DP209" s="97"/>
      <c r="DQ209" s="97"/>
      <c r="DR209" s="97"/>
      <c r="DS209" s="306"/>
      <c r="DT209" s="306"/>
      <c r="DU209" s="306"/>
      <c r="DV209" s="12"/>
      <c r="DW209" s="371">
        <f>I209</f>
        <v>7688000</v>
      </c>
      <c r="DX209" s="326">
        <f t="shared" si="34"/>
        <v>76880000</v>
      </c>
      <c r="DY209" s="161" t="s">
        <v>323</v>
      </c>
    </row>
    <row r="210" spans="1:132" ht="182" hidden="1" x14ac:dyDescent="0.3">
      <c r="A210" s="133">
        <v>25</v>
      </c>
      <c r="B210" s="134" t="s">
        <v>55</v>
      </c>
      <c r="C210" s="134" t="s">
        <v>121</v>
      </c>
      <c r="D210" s="134" t="s">
        <v>122</v>
      </c>
      <c r="E210" s="132" t="s">
        <v>1155</v>
      </c>
      <c r="F210" s="134" t="s">
        <v>19</v>
      </c>
      <c r="G210" s="136">
        <v>60</v>
      </c>
      <c r="H210" s="136">
        <v>1</v>
      </c>
      <c r="I210" s="229"/>
      <c r="J210" s="229"/>
      <c r="K210" s="229"/>
      <c r="L210" s="229"/>
      <c r="M210" s="229"/>
      <c r="N210" s="229"/>
      <c r="O210" s="230"/>
      <c r="P210" s="231"/>
      <c r="Q210" s="150"/>
      <c r="R210" s="150"/>
      <c r="S210" s="150"/>
      <c r="T210" s="150"/>
      <c r="U210" s="150"/>
      <c r="V210" s="150"/>
      <c r="W210" s="150"/>
      <c r="X210" s="150"/>
      <c r="Y210" s="150"/>
      <c r="Z210" s="150"/>
      <c r="AA210" s="150"/>
      <c r="AB210" s="150"/>
      <c r="AC210" s="150"/>
      <c r="AD210" s="150"/>
      <c r="AE210" s="150"/>
      <c r="AF210" s="150"/>
      <c r="AG210" s="150"/>
      <c r="AH210" s="150"/>
      <c r="AI210" s="150"/>
      <c r="AJ210" s="150"/>
      <c r="AK210" s="150"/>
      <c r="AL210" s="150"/>
      <c r="AM210" s="150"/>
      <c r="AN210" s="150"/>
      <c r="AO210" s="150"/>
      <c r="AP210" s="150"/>
      <c r="AQ210" s="150"/>
      <c r="AR210" s="150"/>
      <c r="AS210" s="150"/>
      <c r="AT210" s="150"/>
      <c r="AU210" s="150"/>
      <c r="AV210" s="150"/>
      <c r="AW210" s="150"/>
      <c r="AX210" s="150"/>
      <c r="AY210" s="150"/>
      <c r="AZ210" s="150"/>
      <c r="BA210" s="150"/>
      <c r="BB210" s="150"/>
      <c r="BC210" s="150"/>
      <c r="BD210" s="150"/>
      <c r="BE210" s="150"/>
      <c r="BF210" s="150"/>
      <c r="BG210" s="150"/>
      <c r="BH210" s="150"/>
      <c r="BI210" s="150"/>
      <c r="BJ210" s="150"/>
      <c r="BK210" s="232"/>
      <c r="BL210" s="150"/>
      <c r="BM210" s="232"/>
      <c r="BN210" s="150"/>
      <c r="BO210" s="150"/>
      <c r="BP210" s="150"/>
      <c r="BQ210" s="150"/>
      <c r="BR210" s="150"/>
      <c r="BS210" s="150"/>
      <c r="BT210" s="150"/>
      <c r="BU210" s="150"/>
      <c r="BV210" s="150"/>
      <c r="BW210" s="150"/>
      <c r="BX210" s="150"/>
      <c r="BY210" s="150"/>
      <c r="BZ210" s="150"/>
      <c r="CA210" s="150"/>
      <c r="CB210" s="150"/>
      <c r="CC210" s="150"/>
      <c r="CD210" s="150"/>
      <c r="CE210" s="150"/>
      <c r="CF210" s="150"/>
      <c r="CG210" s="150"/>
      <c r="CH210" s="150"/>
      <c r="CI210" s="150"/>
      <c r="CJ210" s="150"/>
      <c r="CK210" s="150"/>
      <c r="CL210" s="150"/>
      <c r="CM210" s="150"/>
      <c r="CN210" s="150"/>
      <c r="CO210" s="150"/>
      <c r="CP210" s="150"/>
      <c r="CQ210" s="150"/>
      <c r="CR210" s="150"/>
      <c r="CS210" s="150"/>
      <c r="CT210" s="150"/>
      <c r="CU210" s="150"/>
      <c r="CV210" s="150"/>
      <c r="CW210" s="150"/>
      <c r="CX210" s="150"/>
      <c r="CY210" s="150"/>
      <c r="CZ210" s="150"/>
      <c r="DA210" s="150"/>
      <c r="DB210" s="150"/>
      <c r="DC210" s="150"/>
      <c r="DD210" s="150"/>
      <c r="DE210" s="150"/>
      <c r="DF210" s="150"/>
      <c r="DG210" s="150"/>
      <c r="DH210" s="150"/>
      <c r="DI210" s="150"/>
      <c r="DJ210" s="150"/>
      <c r="DK210" s="150"/>
      <c r="DL210" s="150"/>
      <c r="DM210" s="150"/>
      <c r="DN210" s="150"/>
      <c r="DO210" s="150"/>
      <c r="DP210" s="150"/>
      <c r="DQ210" s="150"/>
      <c r="DR210" s="150"/>
      <c r="DS210" s="232"/>
      <c r="DT210" s="232"/>
      <c r="DU210" s="232"/>
      <c r="DV210" s="137"/>
      <c r="DW210" s="273">
        <f>+DZ210+EB210</f>
        <v>94029.850744199997</v>
      </c>
      <c r="DX210" s="146">
        <f>+ROUND(DW210*G210*H210,0)</f>
        <v>5641791</v>
      </c>
      <c r="DY210" s="139" t="s">
        <v>1156</v>
      </c>
      <c r="DZ210" s="613">
        <v>74626.865669999999</v>
      </c>
      <c r="EA210" s="604">
        <f>+DZ210*G210*H210</f>
        <v>4477611.9402000001</v>
      </c>
      <c r="EB210" s="604">
        <f>+DZ210*26%</f>
        <v>19402.985074200002</v>
      </c>
    </row>
    <row r="211" spans="1:132" ht="182" hidden="1" x14ac:dyDescent="0.3">
      <c r="A211" s="133">
        <v>26</v>
      </c>
      <c r="B211" s="134" t="s">
        <v>55</v>
      </c>
      <c r="C211" s="134" t="s">
        <v>121</v>
      </c>
      <c r="D211" s="134" t="s">
        <v>122</v>
      </c>
      <c r="E211" s="132" t="s">
        <v>331</v>
      </c>
      <c r="F211" s="134" t="s">
        <v>19</v>
      </c>
      <c r="G211" s="136">
        <v>60</v>
      </c>
      <c r="H211" s="136">
        <v>1</v>
      </c>
      <c r="I211" s="229"/>
      <c r="J211" s="229"/>
      <c r="K211" s="229"/>
      <c r="L211" s="229"/>
      <c r="M211" s="229"/>
      <c r="N211" s="229"/>
      <c r="O211" s="230"/>
      <c r="P211" s="231"/>
      <c r="Q211" s="150"/>
      <c r="R211" s="150"/>
      <c r="S211" s="150"/>
      <c r="T211" s="150"/>
      <c r="U211" s="150"/>
      <c r="V211" s="150"/>
      <c r="W211" s="150"/>
      <c r="X211" s="150"/>
      <c r="Y211" s="150"/>
      <c r="Z211" s="150"/>
      <c r="AA211" s="150"/>
      <c r="AB211" s="150"/>
      <c r="AC211" s="150"/>
      <c r="AD211" s="150"/>
      <c r="AE211" s="150"/>
      <c r="AF211" s="150"/>
      <c r="AG211" s="150"/>
      <c r="AH211" s="150"/>
      <c r="AI211" s="150"/>
      <c r="AJ211" s="150"/>
      <c r="AK211" s="150"/>
      <c r="AL211" s="150"/>
      <c r="AM211" s="150"/>
      <c r="AN211" s="150"/>
      <c r="AO211" s="150"/>
      <c r="AP211" s="150"/>
      <c r="AQ211" s="150"/>
      <c r="AR211" s="150"/>
      <c r="AS211" s="150"/>
      <c r="AT211" s="150"/>
      <c r="AU211" s="150"/>
      <c r="AV211" s="150"/>
      <c r="AW211" s="150"/>
      <c r="AX211" s="150"/>
      <c r="AY211" s="150"/>
      <c r="AZ211" s="150"/>
      <c r="BA211" s="150"/>
      <c r="BB211" s="150"/>
      <c r="BC211" s="150"/>
      <c r="BD211" s="150"/>
      <c r="BE211" s="150"/>
      <c r="BF211" s="150"/>
      <c r="BG211" s="150"/>
      <c r="BH211" s="150"/>
      <c r="BI211" s="150"/>
      <c r="BJ211" s="150"/>
      <c r="BK211" s="232"/>
      <c r="BL211" s="150"/>
      <c r="BM211" s="232"/>
      <c r="BN211" s="150"/>
      <c r="BO211" s="150"/>
      <c r="BP211" s="150"/>
      <c r="BQ211" s="150"/>
      <c r="BR211" s="150"/>
      <c r="BS211" s="150"/>
      <c r="BT211" s="150"/>
      <c r="BU211" s="150"/>
      <c r="BV211" s="150"/>
      <c r="BW211" s="150"/>
      <c r="BX211" s="150"/>
      <c r="BY211" s="150"/>
      <c r="BZ211" s="150"/>
      <c r="CA211" s="150"/>
      <c r="CB211" s="150"/>
      <c r="CC211" s="150"/>
      <c r="CD211" s="150"/>
      <c r="CE211" s="150"/>
      <c r="CF211" s="150"/>
      <c r="CG211" s="150"/>
      <c r="CH211" s="150"/>
      <c r="CI211" s="150"/>
      <c r="CJ211" s="150"/>
      <c r="CK211" s="150"/>
      <c r="CL211" s="150"/>
      <c r="CM211" s="150"/>
      <c r="CN211" s="150"/>
      <c r="CO211" s="150"/>
      <c r="CP211" s="150"/>
      <c r="CQ211" s="150"/>
      <c r="CR211" s="150"/>
      <c r="CS211" s="150"/>
      <c r="CT211" s="150"/>
      <c r="CU211" s="150"/>
      <c r="CV211" s="150"/>
      <c r="CW211" s="150"/>
      <c r="CX211" s="150"/>
      <c r="CY211" s="150"/>
      <c r="CZ211" s="150"/>
      <c r="DA211" s="150"/>
      <c r="DB211" s="150"/>
      <c r="DC211" s="150"/>
      <c r="DD211" s="150"/>
      <c r="DE211" s="150"/>
      <c r="DF211" s="150"/>
      <c r="DG211" s="150"/>
      <c r="DH211" s="150"/>
      <c r="DI211" s="150"/>
      <c r="DJ211" s="150"/>
      <c r="DK211" s="150"/>
      <c r="DL211" s="150"/>
      <c r="DM211" s="150"/>
      <c r="DN211" s="150"/>
      <c r="DO211" s="150"/>
      <c r="DP211" s="150"/>
      <c r="DQ211" s="150"/>
      <c r="DR211" s="150"/>
      <c r="DS211" s="232"/>
      <c r="DT211" s="232"/>
      <c r="DU211" s="232"/>
      <c r="DV211" s="137"/>
      <c r="DW211" s="273">
        <f>+DZ211+EB211</f>
        <v>226800</v>
      </c>
      <c r="DX211" s="146">
        <f t="shared" si="34"/>
        <v>13608000</v>
      </c>
      <c r="DY211" s="139" t="s">
        <v>1159</v>
      </c>
      <c r="DZ211" s="613">
        <v>180000</v>
      </c>
      <c r="EA211" s="604">
        <f>+DZ211*G211*H211</f>
        <v>10800000</v>
      </c>
      <c r="EB211" s="604">
        <f>+DZ211*26%</f>
        <v>46800</v>
      </c>
    </row>
    <row r="212" spans="1:132" ht="39" hidden="1" x14ac:dyDescent="0.3">
      <c r="A212" s="19">
        <v>27</v>
      </c>
      <c r="B212" s="9" t="s">
        <v>55</v>
      </c>
      <c r="C212" s="9" t="s">
        <v>121</v>
      </c>
      <c r="D212" s="9" t="s">
        <v>123</v>
      </c>
      <c r="E212" s="10" t="s">
        <v>124</v>
      </c>
      <c r="F212" s="9" t="s">
        <v>19</v>
      </c>
      <c r="G212" s="11">
        <v>4</v>
      </c>
      <c r="H212" s="11">
        <v>1</v>
      </c>
      <c r="I212" s="191"/>
      <c r="J212" s="191"/>
      <c r="K212" s="191"/>
      <c r="L212" s="191"/>
      <c r="M212" s="191"/>
      <c r="N212" s="191"/>
      <c r="O212" s="211"/>
      <c r="P212" s="212"/>
      <c r="Q212" s="25">
        <v>4500</v>
      </c>
      <c r="R212" s="25">
        <f>+Q212*G212*H212</f>
        <v>18000</v>
      </c>
      <c r="S212" s="25">
        <v>4104</v>
      </c>
      <c r="T212" s="25">
        <f>+S212*G212*H212</f>
        <v>16416</v>
      </c>
      <c r="U212" s="32"/>
      <c r="V212" s="32"/>
      <c r="W212" s="32"/>
      <c r="X212" s="32"/>
      <c r="Y212" s="32"/>
      <c r="Z212" s="32"/>
      <c r="AA212" s="32"/>
      <c r="AB212" s="32"/>
      <c r="AC212" s="32"/>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c r="BI212" s="32"/>
      <c r="BJ212" s="32"/>
      <c r="BK212" s="192"/>
      <c r="BL212" s="32"/>
      <c r="BM212" s="192"/>
      <c r="BN212" s="32"/>
      <c r="BO212" s="32"/>
      <c r="BP212" s="32"/>
      <c r="BQ212" s="32"/>
      <c r="BR212" s="32"/>
      <c r="BS212" s="32"/>
      <c r="BT212" s="32"/>
      <c r="BU212" s="32"/>
      <c r="BV212" s="32"/>
      <c r="BW212" s="32"/>
      <c r="BX212" s="32"/>
      <c r="BY212" s="32"/>
      <c r="BZ212" s="32"/>
      <c r="CA212" s="32"/>
      <c r="CB212" s="32"/>
      <c r="CC212" s="32"/>
      <c r="CD212" s="32"/>
      <c r="CE212" s="32"/>
      <c r="CF212" s="32"/>
      <c r="CG212" s="32"/>
      <c r="CH212" s="32"/>
      <c r="CI212" s="32"/>
      <c r="CJ212" s="32"/>
      <c r="CK212" s="32"/>
      <c r="CL212" s="32"/>
      <c r="CM212" s="32"/>
      <c r="CN212" s="32"/>
      <c r="CO212" s="211"/>
      <c r="CP212" s="32"/>
      <c r="CQ212" s="225"/>
      <c r="CR212" s="32"/>
      <c r="CS212" s="28"/>
      <c r="CT212" s="25"/>
      <c r="CU212" s="225"/>
      <c r="CV212" s="25"/>
      <c r="CW212" s="245"/>
      <c r="CX212" s="25"/>
      <c r="CY212" s="245"/>
      <c r="CZ212" s="25"/>
      <c r="DA212" s="25"/>
      <c r="DB212" s="25"/>
      <c r="DC212" s="245"/>
      <c r="DD212" s="25"/>
      <c r="DE212" s="25"/>
      <c r="DF212" s="25"/>
      <c r="DG212" s="25"/>
      <c r="DH212" s="25"/>
      <c r="DI212" s="25"/>
      <c r="DJ212" s="25"/>
      <c r="DK212" s="25"/>
      <c r="DL212" s="25"/>
      <c r="DM212" s="25"/>
      <c r="DN212" s="25"/>
      <c r="DO212" s="25"/>
      <c r="DP212" s="25"/>
      <c r="DQ212" s="25"/>
      <c r="DR212" s="25"/>
      <c r="DS212" s="13">
        <f>+MEDIAN(Q212,S212)</f>
        <v>4302</v>
      </c>
      <c r="DT212" s="13">
        <f>+AVERAGE(Q212,S212)</f>
        <v>4302</v>
      </c>
      <c r="DU212" s="13">
        <f>+STDEV(Q212,S212)</f>
        <v>280.01428534987281</v>
      </c>
      <c r="DV212" s="17">
        <f t="shared" ref="DV212:DV220" si="35">DU212/DT212</f>
        <v>6.508932713851065E-2</v>
      </c>
      <c r="DW212" s="373">
        <f>+ROUNDUP(IF(DV212&lt;15%,DT212,DS212),0)</f>
        <v>4302</v>
      </c>
      <c r="DX212" s="326">
        <f t="shared" si="34"/>
        <v>17208</v>
      </c>
      <c r="DY212" s="10" t="s">
        <v>448</v>
      </c>
    </row>
    <row r="213" spans="1:132" ht="39" hidden="1" x14ac:dyDescent="0.3">
      <c r="A213" s="19">
        <v>28</v>
      </c>
      <c r="B213" s="9" t="s">
        <v>55</v>
      </c>
      <c r="C213" s="9" t="s">
        <v>121</v>
      </c>
      <c r="D213" s="9" t="s">
        <v>125</v>
      </c>
      <c r="E213" s="10" t="s">
        <v>126</v>
      </c>
      <c r="F213" s="9" t="s">
        <v>19</v>
      </c>
      <c r="G213" s="11">
        <v>6</v>
      </c>
      <c r="H213" s="11">
        <v>1</v>
      </c>
      <c r="I213" s="340"/>
      <c r="J213" s="340"/>
      <c r="K213" s="340"/>
      <c r="L213" s="340"/>
      <c r="M213" s="340"/>
      <c r="N213" s="340"/>
      <c r="O213" s="341"/>
      <c r="P213" s="342"/>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c r="AN213" s="25"/>
      <c r="AO213" s="25"/>
      <c r="AP213" s="25"/>
      <c r="AQ213" s="25"/>
      <c r="AR213" s="25"/>
      <c r="AS213" s="25"/>
      <c r="AT213" s="25"/>
      <c r="AU213" s="25"/>
      <c r="AV213" s="25"/>
      <c r="AW213" s="25"/>
      <c r="AX213" s="25"/>
      <c r="AY213" s="25"/>
      <c r="AZ213" s="25"/>
      <c r="BA213" s="25"/>
      <c r="BB213" s="25"/>
      <c r="BC213" s="25"/>
      <c r="BD213" s="25"/>
      <c r="BE213" s="25"/>
      <c r="BF213" s="25"/>
      <c r="BG213" s="25"/>
      <c r="BH213" s="25"/>
      <c r="BI213" s="25"/>
      <c r="BJ213" s="25"/>
      <c r="BK213" s="343"/>
      <c r="BL213" s="25"/>
      <c r="BM213" s="343"/>
      <c r="BN213" s="25"/>
      <c r="BO213" s="25"/>
      <c r="BP213" s="25"/>
      <c r="BQ213" s="25"/>
      <c r="BR213" s="25"/>
      <c r="BS213" s="25"/>
      <c r="BT213" s="25"/>
      <c r="BU213" s="25"/>
      <c r="BV213" s="25"/>
      <c r="BW213" s="25"/>
      <c r="BX213" s="25"/>
      <c r="BY213" s="25"/>
      <c r="BZ213" s="25"/>
      <c r="CA213" s="25"/>
      <c r="CB213" s="25"/>
      <c r="CC213" s="25"/>
      <c r="CD213" s="25"/>
      <c r="CE213" s="25"/>
      <c r="CF213" s="25"/>
      <c r="CG213" s="25"/>
      <c r="CH213" s="25"/>
      <c r="CI213" s="25"/>
      <c r="CJ213" s="25"/>
      <c r="CK213" s="25"/>
      <c r="CL213" s="25"/>
      <c r="CM213" s="25"/>
      <c r="CN213" s="25"/>
      <c r="CO213" s="341">
        <v>20000</v>
      </c>
      <c r="CP213" s="25">
        <f>CO213*G213</f>
        <v>120000</v>
      </c>
      <c r="CQ213" s="344"/>
      <c r="CR213" s="25"/>
      <c r="CS213" s="28">
        <v>20000</v>
      </c>
      <c r="CT213" s="25">
        <f>CS213*G213*H213</f>
        <v>120000</v>
      </c>
      <c r="CU213" s="344"/>
      <c r="CV213" s="25"/>
      <c r="CW213" s="352"/>
      <c r="CX213" s="25"/>
      <c r="CY213" s="352">
        <v>22000</v>
      </c>
      <c r="CZ213" s="25">
        <f>CY213*G213*H213</f>
        <v>132000</v>
      </c>
      <c r="DA213" s="25"/>
      <c r="DB213" s="25"/>
      <c r="DC213" s="352"/>
      <c r="DD213" s="25"/>
      <c r="DE213" s="25"/>
      <c r="DF213" s="25"/>
      <c r="DG213" s="25"/>
      <c r="DH213" s="25"/>
      <c r="DI213" s="25"/>
      <c r="DJ213" s="25"/>
      <c r="DK213" s="25"/>
      <c r="DL213" s="25"/>
      <c r="DM213" s="25"/>
      <c r="DN213" s="25"/>
      <c r="DO213" s="25"/>
      <c r="DP213" s="25"/>
      <c r="DQ213" s="25"/>
      <c r="DR213" s="25"/>
      <c r="DS213" s="13">
        <f>+MEDIAN(CO213,CS213,CY213)</f>
        <v>20000</v>
      </c>
      <c r="DT213" s="13">
        <f>+AVERAGE(CO213,CS213,CY213)</f>
        <v>20666.666666666668</v>
      </c>
      <c r="DU213" s="13">
        <f>+STDEV(CO213,CS213,CY213)</f>
        <v>1154.7005383792514</v>
      </c>
      <c r="DV213" s="17">
        <f t="shared" si="35"/>
        <v>5.5872606695770224E-2</v>
      </c>
      <c r="DW213" s="373">
        <f>+ROUNDUP(IF(DV213&lt;15%,DT213,DS213),0)</f>
        <v>20667</v>
      </c>
      <c r="DX213" s="326">
        <f t="shared" si="34"/>
        <v>124002</v>
      </c>
      <c r="DY213" s="10" t="s">
        <v>328</v>
      </c>
    </row>
    <row r="214" spans="1:132" ht="39" hidden="1" x14ac:dyDescent="0.3">
      <c r="A214" s="19">
        <v>29</v>
      </c>
      <c r="B214" s="9" t="s">
        <v>55</v>
      </c>
      <c r="C214" s="648" t="s">
        <v>121</v>
      </c>
      <c r="D214" s="9" t="s">
        <v>127</v>
      </c>
      <c r="E214" s="10" t="s">
        <v>1348</v>
      </c>
      <c r="F214" s="9" t="s">
        <v>19</v>
      </c>
      <c r="G214" s="11">
        <v>4</v>
      </c>
      <c r="H214" s="11">
        <v>1</v>
      </c>
      <c r="I214" s="649"/>
      <c r="J214" s="649"/>
      <c r="K214" s="649"/>
      <c r="L214" s="649"/>
      <c r="M214" s="649"/>
      <c r="N214" s="649"/>
      <c r="O214" s="650"/>
      <c r="P214" s="651"/>
      <c r="Q214" s="205"/>
      <c r="R214" s="205"/>
      <c r="S214" s="205"/>
      <c r="T214" s="205"/>
      <c r="U214" s="205"/>
      <c r="V214" s="205"/>
      <c r="W214" s="205"/>
      <c r="X214" s="205"/>
      <c r="Y214" s="205"/>
      <c r="Z214" s="205"/>
      <c r="AA214" s="205"/>
      <c r="AB214" s="205"/>
      <c r="AC214" s="205"/>
      <c r="AD214" s="205"/>
      <c r="AE214" s="205"/>
      <c r="AF214" s="205"/>
      <c r="AG214" s="205"/>
      <c r="AH214" s="205"/>
      <c r="AI214" s="205"/>
      <c r="AJ214" s="205"/>
      <c r="AK214" s="205"/>
      <c r="AL214" s="205"/>
      <c r="AM214" s="205"/>
      <c r="AN214" s="205"/>
      <c r="AO214" s="205"/>
      <c r="AP214" s="205"/>
      <c r="AQ214" s="205"/>
      <c r="AR214" s="205"/>
      <c r="AS214" s="205"/>
      <c r="AT214" s="205"/>
      <c r="AU214" s="205"/>
      <c r="AV214" s="205"/>
      <c r="AW214" s="205"/>
      <c r="AX214" s="205"/>
      <c r="AY214" s="205"/>
      <c r="AZ214" s="205"/>
      <c r="BA214" s="205"/>
      <c r="BB214" s="205"/>
      <c r="BC214" s="205"/>
      <c r="BD214" s="205"/>
      <c r="BE214" s="205"/>
      <c r="BF214" s="205"/>
      <c r="BG214" s="205"/>
      <c r="BH214" s="205"/>
      <c r="BI214" s="205"/>
      <c r="BJ214" s="205"/>
      <c r="BK214" s="206"/>
      <c r="BL214" s="205"/>
      <c r="BM214" s="206"/>
      <c r="BN214" s="205"/>
      <c r="BO214" s="205"/>
      <c r="BP214" s="205"/>
      <c r="BQ214" s="205"/>
      <c r="BR214" s="205"/>
      <c r="BS214" s="205"/>
      <c r="BT214" s="205"/>
      <c r="BU214" s="205"/>
      <c r="BV214" s="205"/>
      <c r="BW214" s="205"/>
      <c r="BX214" s="205"/>
      <c r="BY214" s="205"/>
      <c r="BZ214" s="205"/>
      <c r="CA214" s="205"/>
      <c r="CB214" s="205"/>
      <c r="CC214" s="205"/>
      <c r="CD214" s="205"/>
      <c r="CE214" s="205"/>
      <c r="CF214" s="205"/>
      <c r="CG214" s="205"/>
      <c r="CH214" s="205"/>
      <c r="CI214" s="205"/>
      <c r="CJ214" s="205"/>
      <c r="CK214" s="205"/>
      <c r="CL214" s="205"/>
      <c r="CM214" s="205"/>
      <c r="CN214" s="205"/>
      <c r="CO214" s="650">
        <v>43000</v>
      </c>
      <c r="CP214" s="205">
        <f>CO214*G214</f>
        <v>172000</v>
      </c>
      <c r="CQ214" s="653">
        <v>40000</v>
      </c>
      <c r="CR214" s="205">
        <f>CQ214*G214</f>
        <v>160000</v>
      </c>
      <c r="CS214" s="654"/>
      <c r="CT214" s="205"/>
      <c r="CU214" s="653">
        <v>40000</v>
      </c>
      <c r="CV214" s="205">
        <f>CU214*G214</f>
        <v>160000</v>
      </c>
      <c r="CW214" s="658"/>
      <c r="CX214" s="205"/>
      <c r="CY214" s="658">
        <v>30000</v>
      </c>
      <c r="CZ214" s="205">
        <f>CY214*G214*H214</f>
        <v>120000</v>
      </c>
      <c r="DA214" s="205"/>
      <c r="DB214" s="205"/>
      <c r="DC214" s="658"/>
      <c r="DD214" s="205"/>
      <c r="DE214" s="205"/>
      <c r="DF214" s="205"/>
      <c r="DG214" s="205"/>
      <c r="DH214" s="205"/>
      <c r="DI214" s="205"/>
      <c r="DJ214" s="205"/>
      <c r="DK214" s="205"/>
      <c r="DL214" s="205"/>
      <c r="DM214" s="205"/>
      <c r="DN214" s="205"/>
      <c r="DO214" s="205"/>
      <c r="DP214" s="205"/>
      <c r="DQ214" s="205"/>
      <c r="DR214" s="205"/>
      <c r="DS214" s="656">
        <f>+MEDIAN(CO214,CQ214,CU214,CY214)</f>
        <v>40000</v>
      </c>
      <c r="DT214" s="656">
        <f>+AVERAGE(CO214,CQ214,CU214,CY214)</f>
        <v>38250</v>
      </c>
      <c r="DU214" s="656">
        <f>+STDEV(CO214,CQ214,CU214,CY214)</f>
        <v>5678.9083458002733</v>
      </c>
      <c r="DV214" s="657">
        <f t="shared" si="35"/>
        <v>0.14846819204706596</v>
      </c>
      <c r="DW214" s="662">
        <f>+ROUNDUP(IF(DV214&lt;15%,DT214,DS214),0)</f>
        <v>38250</v>
      </c>
      <c r="DX214" s="326">
        <f t="shared" si="34"/>
        <v>153000</v>
      </c>
      <c r="DY214" s="10" t="s">
        <v>328</v>
      </c>
    </row>
    <row r="215" spans="1:132" ht="104" hidden="1" x14ac:dyDescent="0.3">
      <c r="A215" s="19">
        <v>30</v>
      </c>
      <c r="B215" s="9" t="s">
        <v>55</v>
      </c>
      <c r="C215" s="9" t="s">
        <v>121</v>
      </c>
      <c r="D215" s="9" t="s">
        <v>466</v>
      </c>
      <c r="E215" s="10" t="s">
        <v>465</v>
      </c>
      <c r="F215" s="9" t="s">
        <v>19</v>
      </c>
      <c r="G215" s="11">
        <v>100</v>
      </c>
      <c r="H215" s="11">
        <v>1</v>
      </c>
      <c r="I215" s="340"/>
      <c r="J215" s="340"/>
      <c r="K215" s="340"/>
      <c r="L215" s="340"/>
      <c r="M215" s="340"/>
      <c r="N215" s="340"/>
      <c r="O215" s="341"/>
      <c r="P215" s="342"/>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c r="AN215" s="25"/>
      <c r="AO215" s="25"/>
      <c r="AP215" s="25"/>
      <c r="AQ215" s="25"/>
      <c r="AR215" s="25"/>
      <c r="AS215" s="25"/>
      <c r="AT215" s="25"/>
      <c r="AU215" s="25"/>
      <c r="AV215" s="25"/>
      <c r="AW215" s="25"/>
      <c r="AX215" s="25"/>
      <c r="AY215" s="25"/>
      <c r="AZ215" s="25"/>
      <c r="BA215" s="25"/>
      <c r="BB215" s="25"/>
      <c r="BC215" s="25"/>
      <c r="BD215" s="25"/>
      <c r="BE215" s="25"/>
      <c r="BF215" s="25"/>
      <c r="BG215" s="25"/>
      <c r="BH215" s="25"/>
      <c r="BI215" s="25"/>
      <c r="BJ215" s="25"/>
      <c r="BK215" s="343"/>
      <c r="BL215" s="25"/>
      <c r="BM215" s="343"/>
      <c r="BN215" s="25"/>
      <c r="BO215" s="25"/>
      <c r="BP215" s="25"/>
      <c r="BQ215" s="25"/>
      <c r="BR215" s="25"/>
      <c r="BS215" s="25"/>
      <c r="BT215" s="25"/>
      <c r="BU215" s="25"/>
      <c r="BV215" s="25"/>
      <c r="BW215" s="25"/>
      <c r="BX215" s="25"/>
      <c r="BY215" s="25"/>
      <c r="BZ215" s="25"/>
      <c r="CA215" s="25"/>
      <c r="CB215" s="25"/>
      <c r="CC215" s="25"/>
      <c r="CD215" s="25"/>
      <c r="CE215" s="25"/>
      <c r="CF215" s="25"/>
      <c r="CG215" s="25"/>
      <c r="CH215" s="25"/>
      <c r="CI215" s="25"/>
      <c r="CJ215" s="25"/>
      <c r="CK215" s="25"/>
      <c r="CL215" s="25"/>
      <c r="CM215" s="25"/>
      <c r="CN215" s="25"/>
      <c r="CO215" s="28"/>
      <c r="CP215" s="25"/>
      <c r="CQ215" s="344"/>
      <c r="CR215" s="25"/>
      <c r="CS215" s="28"/>
      <c r="CT215" s="25"/>
      <c r="CU215" s="344"/>
      <c r="CV215" s="25"/>
      <c r="CW215" s="352"/>
      <c r="CX215" s="25"/>
      <c r="CY215" s="352"/>
      <c r="CZ215" s="25"/>
      <c r="DA215" s="25"/>
      <c r="DB215" s="25"/>
      <c r="DC215" s="352"/>
      <c r="DD215" s="25"/>
      <c r="DE215" s="25"/>
      <c r="DF215" s="25"/>
      <c r="DG215" s="25"/>
      <c r="DH215" s="25"/>
      <c r="DI215" s="355">
        <v>6500</v>
      </c>
      <c r="DJ215" s="25">
        <f>DI215*G215*H215</f>
        <v>650000</v>
      </c>
      <c r="DK215" s="355">
        <v>6000</v>
      </c>
      <c r="DL215" s="25">
        <f>DK215*G215*H215</f>
        <v>600000</v>
      </c>
      <c r="DM215" s="355">
        <v>6000</v>
      </c>
      <c r="DN215" s="25">
        <f>DM215*G215*H215</f>
        <v>600000</v>
      </c>
      <c r="DO215" s="25"/>
      <c r="DP215" s="25"/>
      <c r="DQ215" s="25"/>
      <c r="DR215" s="25"/>
      <c r="DS215" s="13">
        <f>+MEDIAN(DI215,DK215,DM215)</f>
        <v>6000</v>
      </c>
      <c r="DT215" s="13">
        <f>+AVERAGE(DI215,DK215,DM215)</f>
        <v>6166.666666666667</v>
      </c>
      <c r="DU215" s="13">
        <f>+STDEV(DI215,DK215,DM215)</f>
        <v>288.67513459481285</v>
      </c>
      <c r="DV215" s="17">
        <f t="shared" si="35"/>
        <v>4.6812183988348029E-2</v>
      </c>
      <c r="DW215" s="373">
        <f>+ROUNDUP(IF(DV215&lt;15%,DT215,DS215),0)</f>
        <v>6167</v>
      </c>
      <c r="DX215" s="326">
        <f t="shared" si="34"/>
        <v>616700</v>
      </c>
      <c r="DY215" s="10" t="s">
        <v>448</v>
      </c>
    </row>
    <row r="216" spans="1:132" ht="39" hidden="1" x14ac:dyDescent="0.3">
      <c r="A216" s="19">
        <v>31</v>
      </c>
      <c r="B216" s="9" t="s">
        <v>55</v>
      </c>
      <c r="C216" s="9" t="s">
        <v>121</v>
      </c>
      <c r="D216" s="26" t="s">
        <v>269</v>
      </c>
      <c r="E216" s="10" t="s">
        <v>47</v>
      </c>
      <c r="F216" s="9" t="s">
        <v>24</v>
      </c>
      <c r="G216" s="11">
        <v>4</v>
      </c>
      <c r="H216" s="11">
        <v>1</v>
      </c>
      <c r="I216" s="191"/>
      <c r="J216" s="191"/>
      <c r="K216" s="191"/>
      <c r="L216" s="191"/>
      <c r="M216" s="191"/>
      <c r="N216" s="191"/>
      <c r="O216" s="211"/>
      <c r="P216" s="212"/>
      <c r="Q216" s="25">
        <v>12000</v>
      </c>
      <c r="R216" s="32">
        <f>Q216*G216</f>
        <v>48000</v>
      </c>
      <c r="S216" s="25">
        <v>10500</v>
      </c>
      <c r="T216" s="32">
        <f>S216*G216</f>
        <v>42000</v>
      </c>
      <c r="U216" s="32"/>
      <c r="V216" s="32"/>
      <c r="W216" s="32"/>
      <c r="X216" s="32"/>
      <c r="Y216" s="32"/>
      <c r="Z216" s="32"/>
      <c r="AA216" s="32"/>
      <c r="AB216" s="32"/>
      <c r="AC216" s="32"/>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c r="BI216" s="32"/>
      <c r="BJ216" s="32"/>
      <c r="BK216" s="192"/>
      <c r="BL216" s="32"/>
      <c r="BM216" s="192"/>
      <c r="BN216" s="32"/>
      <c r="BO216" s="32"/>
      <c r="BP216" s="32"/>
      <c r="BQ216" s="32"/>
      <c r="BR216" s="32"/>
      <c r="BS216" s="32"/>
      <c r="BT216" s="32"/>
      <c r="BU216" s="32"/>
      <c r="BV216" s="32"/>
      <c r="BW216" s="32"/>
      <c r="BX216" s="32"/>
      <c r="BY216" s="32"/>
      <c r="BZ216" s="32"/>
      <c r="CA216" s="32"/>
      <c r="CB216" s="32"/>
      <c r="CC216" s="32"/>
      <c r="CD216" s="32"/>
      <c r="CE216" s="32"/>
      <c r="CF216" s="32"/>
      <c r="CG216" s="32"/>
      <c r="CH216" s="32"/>
      <c r="CI216" s="32"/>
      <c r="CJ216" s="32"/>
      <c r="CK216" s="32"/>
      <c r="CL216" s="32"/>
      <c r="CM216" s="32"/>
      <c r="CN216" s="32"/>
      <c r="CO216" s="32"/>
      <c r="CP216" s="32"/>
      <c r="CQ216" s="32"/>
      <c r="CR216" s="32"/>
      <c r="CS216" s="32"/>
      <c r="CT216" s="32"/>
      <c r="CU216" s="32"/>
      <c r="CV216" s="32"/>
      <c r="CW216" s="32"/>
      <c r="CX216" s="32"/>
      <c r="CY216" s="32"/>
      <c r="CZ216" s="32"/>
      <c r="DA216" s="32"/>
      <c r="DB216" s="32"/>
      <c r="DC216" s="32"/>
      <c r="DD216" s="32"/>
      <c r="DE216" s="32"/>
      <c r="DF216" s="32"/>
      <c r="DG216" s="32"/>
      <c r="DH216" s="32"/>
      <c r="DI216" s="32"/>
      <c r="DJ216" s="32"/>
      <c r="DK216" s="32"/>
      <c r="DL216" s="32"/>
      <c r="DM216" s="32"/>
      <c r="DN216" s="32"/>
      <c r="DO216" s="32"/>
      <c r="DP216" s="32"/>
      <c r="DQ216" s="32"/>
      <c r="DR216" s="32"/>
      <c r="DS216" s="13">
        <f>+MEDIAN(Q216,S216)</f>
        <v>11250</v>
      </c>
      <c r="DT216" s="13">
        <f>+AVERAGE(Q216,S216)</f>
        <v>11250</v>
      </c>
      <c r="DU216" s="13">
        <f>+STDEV(Q216,S216)</f>
        <v>1060.6601717798212</v>
      </c>
      <c r="DV216" s="17">
        <f t="shared" si="35"/>
        <v>9.4280904158206336E-2</v>
      </c>
      <c r="DW216" s="373">
        <f>+ROUNDUP(IF(DV216&lt;15%,DT216,DS216),0)</f>
        <v>11250</v>
      </c>
      <c r="DX216" s="326">
        <f t="shared" si="34"/>
        <v>45000</v>
      </c>
      <c r="DY216" s="10" t="s">
        <v>308</v>
      </c>
    </row>
    <row r="217" spans="1:132" ht="52" hidden="1" x14ac:dyDescent="0.3">
      <c r="A217" s="19">
        <v>32</v>
      </c>
      <c r="B217" s="9" t="s">
        <v>55</v>
      </c>
      <c r="C217" s="9" t="s">
        <v>121</v>
      </c>
      <c r="D217" s="9" t="s">
        <v>128</v>
      </c>
      <c r="E217" s="10" t="s">
        <v>129</v>
      </c>
      <c r="F217" s="9" t="s">
        <v>19</v>
      </c>
      <c r="G217" s="11">
        <v>10</v>
      </c>
      <c r="H217" s="11">
        <v>1</v>
      </c>
      <c r="I217" s="191"/>
      <c r="J217" s="191"/>
      <c r="K217" s="191"/>
      <c r="L217" s="191"/>
      <c r="M217" s="191"/>
      <c r="N217" s="191"/>
      <c r="O217" s="25">
        <v>546</v>
      </c>
      <c r="P217" s="212">
        <f>O217*G217</f>
        <v>5460</v>
      </c>
      <c r="Q217" s="25">
        <v>450</v>
      </c>
      <c r="R217" s="32">
        <f>Q217*G217</f>
        <v>4500</v>
      </c>
      <c r="S217" s="25">
        <v>477</v>
      </c>
      <c r="T217" s="32">
        <f>S217*G217</f>
        <v>4770</v>
      </c>
      <c r="U217" s="32"/>
      <c r="V217" s="32"/>
      <c r="W217" s="32"/>
      <c r="X217" s="32"/>
      <c r="Y217" s="32"/>
      <c r="Z217" s="32"/>
      <c r="AA217" s="32"/>
      <c r="AB217" s="32"/>
      <c r="AC217" s="32"/>
      <c r="AD217" s="32"/>
      <c r="AE217" s="32"/>
      <c r="AF217" s="32"/>
      <c r="AG217" s="32"/>
      <c r="AH217" s="32"/>
      <c r="AI217" s="32"/>
      <c r="AJ217" s="32"/>
      <c r="AK217" s="32"/>
      <c r="AL217" s="32"/>
      <c r="AM217" s="32"/>
      <c r="AN217" s="32"/>
      <c r="AO217" s="32"/>
      <c r="AP217" s="32"/>
      <c r="AQ217" s="32"/>
      <c r="AR217" s="32"/>
      <c r="AS217" s="32"/>
      <c r="AT217" s="32"/>
      <c r="AU217" s="32"/>
      <c r="AV217" s="32"/>
      <c r="AW217" s="32"/>
      <c r="AX217" s="32"/>
      <c r="AY217" s="32"/>
      <c r="AZ217" s="32"/>
      <c r="BA217" s="32"/>
      <c r="BB217" s="32"/>
      <c r="BC217" s="32"/>
      <c r="BD217" s="32"/>
      <c r="BE217" s="32"/>
      <c r="BF217" s="32"/>
      <c r="BG217" s="32"/>
      <c r="BH217" s="32"/>
      <c r="BI217" s="32"/>
      <c r="BJ217" s="32"/>
      <c r="BK217" s="192"/>
      <c r="BL217" s="32"/>
      <c r="BM217" s="192"/>
      <c r="BN217" s="32"/>
      <c r="BO217" s="32"/>
      <c r="BP217" s="32"/>
      <c r="BQ217" s="32"/>
      <c r="BR217" s="32"/>
      <c r="BS217" s="32"/>
      <c r="BT217" s="32"/>
      <c r="BU217" s="32"/>
      <c r="BV217" s="32"/>
      <c r="BW217" s="32"/>
      <c r="BX217" s="32"/>
      <c r="BY217" s="32"/>
      <c r="BZ217" s="32"/>
      <c r="CA217" s="32"/>
      <c r="CB217" s="32"/>
      <c r="CC217" s="32"/>
      <c r="CD217" s="32"/>
      <c r="CE217" s="32"/>
      <c r="CF217" s="32"/>
      <c r="CG217" s="32"/>
      <c r="CH217" s="32"/>
      <c r="CI217" s="32"/>
      <c r="CJ217" s="32"/>
      <c r="CK217" s="32"/>
      <c r="CL217" s="32"/>
      <c r="CM217" s="32"/>
      <c r="CN217" s="32"/>
      <c r="CO217" s="32"/>
      <c r="CP217" s="32"/>
      <c r="CQ217" s="32"/>
      <c r="CR217" s="32"/>
      <c r="CS217" s="32"/>
      <c r="CT217" s="32"/>
      <c r="CU217" s="32"/>
      <c r="CV217" s="32"/>
      <c r="CW217" s="32"/>
      <c r="CX217" s="32"/>
      <c r="CY217" s="32"/>
      <c r="CZ217" s="32"/>
      <c r="DA217" s="32"/>
      <c r="DB217" s="32"/>
      <c r="DC217" s="32"/>
      <c r="DD217" s="32"/>
      <c r="DE217" s="32"/>
      <c r="DF217" s="32"/>
      <c r="DG217" s="32"/>
      <c r="DH217" s="32"/>
      <c r="DI217" s="32"/>
      <c r="DJ217" s="32"/>
      <c r="DK217" s="32"/>
      <c r="DL217" s="32"/>
      <c r="DM217" s="32"/>
      <c r="DN217" s="32"/>
      <c r="DO217" s="32"/>
      <c r="DP217" s="32"/>
      <c r="DQ217" s="32"/>
      <c r="DR217" s="32"/>
      <c r="DS217" s="265">
        <f>MEDIAN(O217,Q217,S217)</f>
        <v>477</v>
      </c>
      <c r="DT217" s="265">
        <f>AVERAGE(O217,Q217,S217)</f>
        <v>491</v>
      </c>
      <c r="DU217" s="265">
        <f>STDEV(O217,Q217,S217)</f>
        <v>49.507575177946251</v>
      </c>
      <c r="DV217" s="48">
        <f t="shared" si="35"/>
        <v>0.10083009201211049</v>
      </c>
      <c r="DW217" s="377">
        <f>ROUNDUP(IF(DV217&lt;15%,DT217,DS217),0)</f>
        <v>491</v>
      </c>
      <c r="DX217" s="326">
        <f t="shared" si="34"/>
        <v>4910</v>
      </c>
      <c r="DY217" s="10" t="s">
        <v>308</v>
      </c>
    </row>
    <row r="218" spans="1:132" ht="39" hidden="1" x14ac:dyDescent="0.3">
      <c r="A218" s="19">
        <v>33</v>
      </c>
      <c r="B218" s="9" t="s">
        <v>55</v>
      </c>
      <c r="C218" s="9" t="s">
        <v>121</v>
      </c>
      <c r="D218" s="9" t="s">
        <v>279</v>
      </c>
      <c r="E218" s="29" t="s">
        <v>52</v>
      </c>
      <c r="F218" s="9" t="s">
        <v>24</v>
      </c>
      <c r="G218" s="11">
        <v>4</v>
      </c>
      <c r="H218" s="11">
        <v>1</v>
      </c>
      <c r="I218" s="191"/>
      <c r="J218" s="191"/>
      <c r="K218" s="191"/>
      <c r="L218" s="191"/>
      <c r="M218" s="191"/>
      <c r="N218" s="191"/>
      <c r="O218" s="25">
        <v>11500</v>
      </c>
      <c r="P218" s="212">
        <f>O218*G218</f>
        <v>46000</v>
      </c>
      <c r="Q218" s="32"/>
      <c r="R218" s="32"/>
      <c r="S218" s="25">
        <v>12400</v>
      </c>
      <c r="T218" s="32">
        <f>S218*G218</f>
        <v>49600</v>
      </c>
      <c r="U218" s="32"/>
      <c r="V218" s="32"/>
      <c r="W218" s="32"/>
      <c r="X218" s="32"/>
      <c r="Y218" s="32"/>
      <c r="Z218" s="32"/>
      <c r="AA218" s="32"/>
      <c r="AB218" s="32"/>
      <c r="AC218" s="32"/>
      <c r="AD218" s="32"/>
      <c r="AE218" s="32"/>
      <c r="AF218" s="32"/>
      <c r="AG218" s="32"/>
      <c r="AH218" s="32"/>
      <c r="AI218" s="32"/>
      <c r="AJ218" s="32"/>
      <c r="AK218" s="32"/>
      <c r="AL218" s="32"/>
      <c r="AM218" s="32"/>
      <c r="AN218" s="32"/>
      <c r="AO218" s="32"/>
      <c r="AP218" s="32"/>
      <c r="AQ218" s="32"/>
      <c r="AR218" s="32"/>
      <c r="AS218" s="32"/>
      <c r="AT218" s="32"/>
      <c r="AU218" s="32"/>
      <c r="AV218" s="32"/>
      <c r="AW218" s="32"/>
      <c r="AX218" s="32"/>
      <c r="AY218" s="32"/>
      <c r="AZ218" s="32"/>
      <c r="BA218" s="32"/>
      <c r="BB218" s="32"/>
      <c r="BC218" s="32"/>
      <c r="BD218" s="32"/>
      <c r="BE218" s="32"/>
      <c r="BF218" s="32"/>
      <c r="BG218" s="32"/>
      <c r="BH218" s="32"/>
      <c r="BI218" s="32"/>
      <c r="BJ218" s="32"/>
      <c r="BK218" s="192"/>
      <c r="BL218" s="32"/>
      <c r="BM218" s="192"/>
      <c r="BN218" s="32"/>
      <c r="BO218" s="32"/>
      <c r="BP218" s="32"/>
      <c r="BQ218" s="32"/>
      <c r="BR218" s="32"/>
      <c r="BS218" s="32"/>
      <c r="BT218" s="32"/>
      <c r="BU218" s="32"/>
      <c r="BV218" s="32"/>
      <c r="BW218" s="32"/>
      <c r="BX218" s="32"/>
      <c r="BY218" s="32"/>
      <c r="BZ218" s="32"/>
      <c r="CA218" s="32"/>
      <c r="CB218" s="32"/>
      <c r="CC218" s="32"/>
      <c r="CD218" s="32"/>
      <c r="CE218" s="32"/>
      <c r="CF218" s="32"/>
      <c r="CG218" s="32"/>
      <c r="CH218" s="32"/>
      <c r="CI218" s="32"/>
      <c r="CJ218" s="32"/>
      <c r="CK218" s="32"/>
      <c r="CL218" s="32"/>
      <c r="CM218" s="32"/>
      <c r="CN218" s="32"/>
      <c r="CO218" s="32"/>
      <c r="CP218" s="32"/>
      <c r="CQ218" s="32"/>
      <c r="CR218" s="32"/>
      <c r="CS218" s="32"/>
      <c r="CT218" s="32"/>
      <c r="CU218" s="32"/>
      <c r="CV218" s="32"/>
      <c r="CW218" s="32"/>
      <c r="CX218" s="32"/>
      <c r="CY218" s="32"/>
      <c r="CZ218" s="32"/>
      <c r="DA218" s="32"/>
      <c r="DB218" s="32"/>
      <c r="DC218" s="32"/>
      <c r="DD218" s="32"/>
      <c r="DE218" s="32"/>
      <c r="DF218" s="32"/>
      <c r="DG218" s="32"/>
      <c r="DH218" s="32"/>
      <c r="DI218" s="32"/>
      <c r="DJ218" s="32"/>
      <c r="DK218" s="32"/>
      <c r="DL218" s="32"/>
      <c r="DM218" s="32"/>
      <c r="DN218" s="32"/>
      <c r="DO218" s="32"/>
      <c r="DP218" s="32"/>
      <c r="DQ218" s="32"/>
      <c r="DR218" s="32"/>
      <c r="DS218" s="13">
        <f>+MEDIAN(O218,S218)</f>
        <v>11950</v>
      </c>
      <c r="DT218" s="13">
        <f>+AVERAGE(O218,S218)</f>
        <v>11950</v>
      </c>
      <c r="DU218" s="13">
        <f>+STDEV(O218,S218)</f>
        <v>636.3961030678928</v>
      </c>
      <c r="DV218" s="17">
        <f t="shared" si="35"/>
        <v>5.3254904022417809E-2</v>
      </c>
      <c r="DW218" s="373">
        <f>+ROUNDUP(IF(DV218&lt;15%,DT218,DS218),0)</f>
        <v>11950</v>
      </c>
      <c r="DX218" s="326">
        <f t="shared" si="34"/>
        <v>47800</v>
      </c>
      <c r="DY218" s="10" t="s">
        <v>308</v>
      </c>
    </row>
    <row r="219" spans="1:132" ht="39" hidden="1" x14ac:dyDescent="0.3">
      <c r="A219" s="19">
        <v>34</v>
      </c>
      <c r="B219" s="9" t="s">
        <v>55</v>
      </c>
      <c r="C219" s="9" t="s">
        <v>121</v>
      </c>
      <c r="D219" s="26" t="s">
        <v>104</v>
      </c>
      <c r="E219" s="10" t="s">
        <v>48</v>
      </c>
      <c r="F219" s="9" t="s">
        <v>130</v>
      </c>
      <c r="G219" s="11">
        <v>4</v>
      </c>
      <c r="H219" s="11">
        <v>1</v>
      </c>
      <c r="I219" s="191"/>
      <c r="J219" s="191"/>
      <c r="K219" s="191"/>
      <c r="L219" s="191"/>
      <c r="M219" s="191"/>
      <c r="N219" s="191"/>
      <c r="O219" s="25">
        <v>1155</v>
      </c>
      <c r="P219" s="212">
        <f>O219*G219</f>
        <v>4620</v>
      </c>
      <c r="Q219" s="25">
        <v>1350</v>
      </c>
      <c r="R219" s="32">
        <f>Q219*G219</f>
        <v>5400</v>
      </c>
      <c r="S219" s="25">
        <v>820</v>
      </c>
      <c r="T219" s="32">
        <f>S219*G219</f>
        <v>3280</v>
      </c>
      <c r="U219" s="25">
        <v>1000</v>
      </c>
      <c r="V219" s="32">
        <f>U219*G219</f>
        <v>4000</v>
      </c>
      <c r="W219" s="32"/>
      <c r="X219" s="32"/>
      <c r="Y219" s="32"/>
      <c r="Z219" s="32"/>
      <c r="AA219" s="32"/>
      <c r="AB219" s="32"/>
      <c r="AC219" s="32"/>
      <c r="AD219" s="32"/>
      <c r="AE219" s="32"/>
      <c r="AF219" s="32"/>
      <c r="AG219" s="32"/>
      <c r="AH219" s="32"/>
      <c r="AI219" s="32"/>
      <c r="AJ219" s="32"/>
      <c r="AK219" s="32"/>
      <c r="AL219" s="32"/>
      <c r="AM219" s="32"/>
      <c r="AN219" s="32"/>
      <c r="AO219" s="32"/>
      <c r="AP219" s="32"/>
      <c r="AQ219" s="32"/>
      <c r="AR219" s="32"/>
      <c r="AS219" s="32"/>
      <c r="AT219" s="32"/>
      <c r="AU219" s="32"/>
      <c r="AV219" s="32"/>
      <c r="AW219" s="32"/>
      <c r="AX219" s="32"/>
      <c r="AY219" s="32"/>
      <c r="AZ219" s="32"/>
      <c r="BA219" s="32"/>
      <c r="BB219" s="32"/>
      <c r="BC219" s="32"/>
      <c r="BD219" s="32"/>
      <c r="BE219" s="32"/>
      <c r="BF219" s="32"/>
      <c r="BG219" s="32"/>
      <c r="BH219" s="32"/>
      <c r="BI219" s="32"/>
      <c r="BJ219" s="32"/>
      <c r="BK219" s="192"/>
      <c r="BL219" s="32"/>
      <c r="BM219" s="192"/>
      <c r="BN219" s="32"/>
      <c r="BO219" s="32"/>
      <c r="BP219" s="32"/>
      <c r="BQ219" s="32"/>
      <c r="BR219" s="32"/>
      <c r="BS219" s="32"/>
      <c r="BT219" s="32"/>
      <c r="BU219" s="32"/>
      <c r="BV219" s="32"/>
      <c r="BW219" s="32"/>
      <c r="BX219" s="32"/>
      <c r="BY219" s="32"/>
      <c r="BZ219" s="32"/>
      <c r="CA219" s="32"/>
      <c r="CB219" s="32"/>
      <c r="CC219" s="32"/>
      <c r="CD219" s="32"/>
      <c r="CE219" s="32"/>
      <c r="CF219" s="32"/>
      <c r="CG219" s="32"/>
      <c r="CH219" s="32"/>
      <c r="CI219" s="32"/>
      <c r="CJ219" s="32"/>
      <c r="CK219" s="32"/>
      <c r="CL219" s="32"/>
      <c r="CM219" s="32"/>
      <c r="CN219" s="32"/>
      <c r="CO219" s="32"/>
      <c r="CP219" s="32"/>
      <c r="CQ219" s="32"/>
      <c r="CR219" s="32"/>
      <c r="CS219" s="32"/>
      <c r="CT219" s="32"/>
      <c r="CU219" s="32"/>
      <c r="CV219" s="32"/>
      <c r="CW219" s="32"/>
      <c r="CX219" s="32"/>
      <c r="CY219" s="32"/>
      <c r="CZ219" s="32"/>
      <c r="DA219" s="32"/>
      <c r="DB219" s="32"/>
      <c r="DC219" s="32"/>
      <c r="DD219" s="32"/>
      <c r="DE219" s="32"/>
      <c r="DF219" s="32"/>
      <c r="DG219" s="32"/>
      <c r="DH219" s="32"/>
      <c r="DI219" s="32"/>
      <c r="DJ219" s="32"/>
      <c r="DK219" s="32"/>
      <c r="DL219" s="32"/>
      <c r="DM219" s="32"/>
      <c r="DN219" s="32"/>
      <c r="DO219" s="32"/>
      <c r="DP219" s="32"/>
      <c r="DQ219" s="32"/>
      <c r="DR219" s="32"/>
      <c r="DS219" s="13">
        <f>+MEDIAN(O219,Q219,S219,U219)</f>
        <v>1077.5</v>
      </c>
      <c r="DT219" s="13">
        <f>+AVERAGE(O219,Q219,S219,U219)</f>
        <v>1081.25</v>
      </c>
      <c r="DU219" s="13">
        <f>+STDEV(O219,Q219,S219,U219)</f>
        <v>225.47634761396446</v>
      </c>
      <c r="DV219" s="17">
        <f t="shared" si="35"/>
        <v>0.20853303825568967</v>
      </c>
      <c r="DW219" s="373">
        <f>+ROUNDUP(IF(DV219&lt;15%,DT219,DS219),0)</f>
        <v>1078</v>
      </c>
      <c r="DX219" s="326">
        <f t="shared" si="34"/>
        <v>4312</v>
      </c>
      <c r="DY219" s="10" t="s">
        <v>309</v>
      </c>
    </row>
    <row r="220" spans="1:132" ht="39" hidden="1" x14ac:dyDescent="0.3">
      <c r="A220" s="19">
        <v>35</v>
      </c>
      <c r="B220" s="9" t="s">
        <v>55</v>
      </c>
      <c r="C220" s="9" t="s">
        <v>121</v>
      </c>
      <c r="D220" s="9" t="s">
        <v>131</v>
      </c>
      <c r="E220" s="10" t="s">
        <v>132</v>
      </c>
      <c r="F220" s="9" t="s">
        <v>19</v>
      </c>
      <c r="G220" s="11">
        <v>4</v>
      </c>
      <c r="H220" s="11">
        <v>1</v>
      </c>
      <c r="I220" s="191"/>
      <c r="J220" s="191"/>
      <c r="K220" s="191"/>
      <c r="L220" s="191"/>
      <c r="M220" s="191"/>
      <c r="N220" s="191"/>
      <c r="O220" s="25">
        <v>73109</v>
      </c>
      <c r="P220" s="212">
        <f>O220*G220</f>
        <v>292436</v>
      </c>
      <c r="Q220" s="32"/>
      <c r="R220" s="32"/>
      <c r="S220" s="25">
        <v>92268</v>
      </c>
      <c r="T220" s="32">
        <f>S220*G220</f>
        <v>369072</v>
      </c>
      <c r="U220" s="32"/>
      <c r="V220" s="32"/>
      <c r="W220" s="32"/>
      <c r="X220" s="32"/>
      <c r="Y220" s="32"/>
      <c r="Z220" s="32"/>
      <c r="AA220" s="32"/>
      <c r="AB220" s="32"/>
      <c r="AC220" s="32"/>
      <c r="AD220" s="32"/>
      <c r="AE220" s="32"/>
      <c r="AF220" s="32"/>
      <c r="AG220" s="32"/>
      <c r="AH220" s="32"/>
      <c r="AI220" s="32"/>
      <c r="AJ220" s="32"/>
      <c r="AK220" s="32"/>
      <c r="AL220" s="32"/>
      <c r="AM220" s="32"/>
      <c r="AN220" s="32"/>
      <c r="AO220" s="32"/>
      <c r="AP220" s="32"/>
      <c r="AQ220" s="32"/>
      <c r="AR220" s="32"/>
      <c r="AS220" s="32"/>
      <c r="AT220" s="32"/>
      <c r="AU220" s="32"/>
      <c r="AV220" s="32"/>
      <c r="AW220" s="32"/>
      <c r="AX220" s="32"/>
      <c r="AY220" s="32"/>
      <c r="AZ220" s="32"/>
      <c r="BA220" s="32"/>
      <c r="BB220" s="32"/>
      <c r="BC220" s="32"/>
      <c r="BD220" s="32"/>
      <c r="BE220" s="32"/>
      <c r="BF220" s="32"/>
      <c r="BG220" s="32"/>
      <c r="BH220" s="32"/>
      <c r="BI220" s="32"/>
      <c r="BJ220" s="32"/>
      <c r="BK220" s="192"/>
      <c r="BL220" s="32"/>
      <c r="BM220" s="192"/>
      <c r="BN220" s="32"/>
      <c r="BO220" s="32"/>
      <c r="BP220" s="32"/>
      <c r="BQ220" s="32"/>
      <c r="BR220" s="32"/>
      <c r="BS220" s="32"/>
      <c r="BT220" s="32"/>
      <c r="BU220" s="32"/>
      <c r="BV220" s="32"/>
      <c r="BW220" s="32"/>
      <c r="BX220" s="32"/>
      <c r="BY220" s="32"/>
      <c r="BZ220" s="32"/>
      <c r="CA220" s="32"/>
      <c r="CB220" s="32"/>
      <c r="CC220" s="32"/>
      <c r="CD220" s="32"/>
      <c r="CE220" s="32"/>
      <c r="CF220" s="32"/>
      <c r="CG220" s="32"/>
      <c r="CH220" s="32"/>
      <c r="CI220" s="32"/>
      <c r="CJ220" s="32"/>
      <c r="CK220" s="32"/>
      <c r="CL220" s="32"/>
      <c r="CM220" s="32"/>
      <c r="CN220" s="32"/>
      <c r="CO220" s="32"/>
      <c r="CP220" s="32"/>
      <c r="CQ220" s="32"/>
      <c r="CR220" s="32"/>
      <c r="CS220" s="32"/>
      <c r="CT220" s="32"/>
      <c r="CU220" s="32"/>
      <c r="CV220" s="32"/>
      <c r="CW220" s="32"/>
      <c r="CX220" s="32"/>
      <c r="CY220" s="32"/>
      <c r="CZ220" s="32"/>
      <c r="DA220" s="32"/>
      <c r="DB220" s="32"/>
      <c r="DC220" s="32"/>
      <c r="DD220" s="32"/>
      <c r="DE220" s="32"/>
      <c r="DF220" s="32"/>
      <c r="DG220" s="32"/>
      <c r="DH220" s="32"/>
      <c r="DI220" s="32"/>
      <c r="DJ220" s="32"/>
      <c r="DK220" s="32"/>
      <c r="DL220" s="32"/>
      <c r="DM220" s="32"/>
      <c r="DN220" s="32"/>
      <c r="DO220" s="32"/>
      <c r="DP220" s="32"/>
      <c r="DQ220" s="32"/>
      <c r="DR220" s="32"/>
      <c r="DS220" s="265">
        <f>MEDIAN(O220,S220)</f>
        <v>82688.5</v>
      </c>
      <c r="DT220" s="265">
        <f>AVERAGE(O220,S220)</f>
        <v>82688.5</v>
      </c>
      <c r="DU220" s="265">
        <f>STDEV(O220,S220)</f>
        <v>13547.458820753063</v>
      </c>
      <c r="DV220" s="48">
        <f t="shared" si="35"/>
        <v>0.16383727871170795</v>
      </c>
      <c r="DW220" s="377">
        <f>ROUNDUP(IF(DV220&lt;15%,DT220,DS220),0)</f>
        <v>82689</v>
      </c>
      <c r="DX220" s="326">
        <f t="shared" si="34"/>
        <v>330756</v>
      </c>
      <c r="DY220" s="10" t="s">
        <v>309</v>
      </c>
    </row>
    <row r="221" spans="1:132" ht="39" hidden="1" x14ac:dyDescent="0.3">
      <c r="A221" s="19">
        <v>36</v>
      </c>
      <c r="B221" s="9" t="s">
        <v>55</v>
      </c>
      <c r="C221" s="9" t="s">
        <v>121</v>
      </c>
      <c r="D221" s="9" t="s">
        <v>133</v>
      </c>
      <c r="E221" s="10" t="s">
        <v>134</v>
      </c>
      <c r="F221" s="9" t="s">
        <v>19</v>
      </c>
      <c r="G221" s="11">
        <v>4</v>
      </c>
      <c r="H221" s="11">
        <v>1</v>
      </c>
      <c r="I221" s="191"/>
      <c r="J221" s="191"/>
      <c r="K221" s="191"/>
      <c r="L221" s="191"/>
      <c r="M221" s="191"/>
      <c r="N221" s="191"/>
      <c r="O221" s="25">
        <v>2521</v>
      </c>
      <c r="P221" s="212">
        <f>O221*G221</f>
        <v>10084</v>
      </c>
      <c r="Q221" s="25">
        <v>2200</v>
      </c>
      <c r="R221" s="32">
        <f>Q221*G221</f>
        <v>8800</v>
      </c>
      <c r="S221" s="32"/>
      <c r="T221" s="32"/>
      <c r="U221" s="32"/>
      <c r="V221" s="32"/>
      <c r="W221" s="32"/>
      <c r="X221" s="32"/>
      <c r="Y221" s="32"/>
      <c r="Z221" s="32"/>
      <c r="AA221" s="32"/>
      <c r="AB221" s="32"/>
      <c r="AC221" s="32"/>
      <c r="AD221" s="32"/>
      <c r="AE221" s="32"/>
      <c r="AF221" s="32"/>
      <c r="AG221" s="32"/>
      <c r="AH221" s="32"/>
      <c r="AI221" s="32"/>
      <c r="AJ221" s="32"/>
      <c r="AK221" s="32"/>
      <c r="AL221" s="32"/>
      <c r="AM221" s="32"/>
      <c r="AN221" s="32"/>
      <c r="AO221" s="32"/>
      <c r="AP221" s="32"/>
      <c r="AQ221" s="32"/>
      <c r="AR221" s="32"/>
      <c r="AS221" s="32"/>
      <c r="AT221" s="32"/>
      <c r="AU221" s="32"/>
      <c r="AV221" s="32"/>
      <c r="AW221" s="32"/>
      <c r="AX221" s="32"/>
      <c r="AY221" s="32"/>
      <c r="AZ221" s="32"/>
      <c r="BA221" s="32"/>
      <c r="BB221" s="32"/>
      <c r="BC221" s="32"/>
      <c r="BD221" s="32"/>
      <c r="BE221" s="32"/>
      <c r="BF221" s="32"/>
      <c r="BG221" s="32"/>
      <c r="BH221" s="32"/>
      <c r="BI221" s="32"/>
      <c r="BJ221" s="32"/>
      <c r="BK221" s="192"/>
      <c r="BL221" s="32"/>
      <c r="BM221" s="192"/>
      <c r="BN221" s="32"/>
      <c r="BO221" s="32"/>
      <c r="BP221" s="32"/>
      <c r="BQ221" s="32"/>
      <c r="BR221" s="32"/>
      <c r="BS221" s="32"/>
      <c r="BT221" s="32"/>
      <c r="BU221" s="32"/>
      <c r="BV221" s="32"/>
      <c r="BW221" s="32"/>
      <c r="BX221" s="32"/>
      <c r="BY221" s="32"/>
      <c r="BZ221" s="32"/>
      <c r="CA221" s="32"/>
      <c r="CB221" s="32"/>
      <c r="CC221" s="32"/>
      <c r="CD221" s="32"/>
      <c r="CE221" s="32"/>
      <c r="CF221" s="32"/>
      <c r="CG221" s="32"/>
      <c r="CH221" s="32"/>
      <c r="CI221" s="32"/>
      <c r="CJ221" s="32"/>
      <c r="CK221" s="32"/>
      <c r="CL221" s="32"/>
      <c r="CM221" s="32"/>
      <c r="CN221" s="32"/>
      <c r="CO221" s="32"/>
      <c r="CP221" s="32"/>
      <c r="CQ221" s="32"/>
      <c r="CR221" s="32"/>
      <c r="CS221" s="32"/>
      <c r="CT221" s="32"/>
      <c r="CU221" s="32"/>
      <c r="CV221" s="32"/>
      <c r="CW221" s="32"/>
      <c r="CX221" s="32"/>
      <c r="CY221" s="32"/>
      <c r="CZ221" s="32"/>
      <c r="DA221" s="32"/>
      <c r="DB221" s="32"/>
      <c r="DC221" s="32"/>
      <c r="DD221" s="32"/>
      <c r="DE221" s="32"/>
      <c r="DF221" s="32"/>
      <c r="DG221" s="32"/>
      <c r="DH221" s="32"/>
      <c r="DI221" s="32"/>
      <c r="DJ221" s="32"/>
      <c r="DK221" s="32"/>
      <c r="DL221" s="32"/>
      <c r="DM221" s="32"/>
      <c r="DN221" s="32"/>
      <c r="DO221" s="32"/>
      <c r="DP221" s="32"/>
      <c r="DQ221" s="32"/>
      <c r="DR221" s="32"/>
      <c r="DS221" s="265">
        <f>MEDIAN(O221,Q221)</f>
        <v>2360.5</v>
      </c>
      <c r="DT221" s="265">
        <f>AVERAGE(O221,Q221)</f>
        <v>2360.5</v>
      </c>
      <c r="DU221" s="265">
        <f>STDEV(O221,Q221)</f>
        <v>226.98127676088177</v>
      </c>
      <c r="DV221" s="48">
        <f t="shared" ref="DV221:DV228" si="36">DU221/DT221</f>
        <v>9.6158134615921112E-2</v>
      </c>
      <c r="DW221" s="377">
        <f>ROUNDUP(IF(DV221&lt;15%,DT221,DS221),0)</f>
        <v>2361</v>
      </c>
      <c r="DX221" s="326">
        <f t="shared" si="34"/>
        <v>9444</v>
      </c>
      <c r="DY221" s="10" t="s">
        <v>308</v>
      </c>
    </row>
    <row r="222" spans="1:132" ht="39" hidden="1" x14ac:dyDescent="0.3">
      <c r="A222" s="19">
        <v>37</v>
      </c>
      <c r="B222" s="9" t="s">
        <v>55</v>
      </c>
      <c r="C222" s="648" t="s">
        <v>121</v>
      </c>
      <c r="D222" s="9" t="s">
        <v>135</v>
      </c>
      <c r="E222" s="10" t="s">
        <v>1349</v>
      </c>
      <c r="F222" s="9" t="s">
        <v>19</v>
      </c>
      <c r="G222" s="11">
        <v>10</v>
      </c>
      <c r="H222" s="11">
        <v>1</v>
      </c>
      <c r="I222" s="649"/>
      <c r="J222" s="649"/>
      <c r="K222" s="649"/>
      <c r="L222" s="649"/>
      <c r="M222" s="649"/>
      <c r="N222" s="649"/>
      <c r="O222" s="650"/>
      <c r="P222" s="651"/>
      <c r="Q222" s="205"/>
      <c r="R222" s="205"/>
      <c r="S222" s="205"/>
      <c r="T222" s="205"/>
      <c r="U222" s="205"/>
      <c r="V222" s="205"/>
      <c r="W222" s="205"/>
      <c r="X222" s="205"/>
      <c r="Y222" s="205"/>
      <c r="Z222" s="205"/>
      <c r="AA222" s="205"/>
      <c r="AB222" s="205"/>
      <c r="AC222" s="205"/>
      <c r="AD222" s="205"/>
      <c r="AE222" s="205"/>
      <c r="AF222" s="205"/>
      <c r="AG222" s="205"/>
      <c r="AH222" s="205"/>
      <c r="AI222" s="205"/>
      <c r="AJ222" s="205"/>
      <c r="AK222" s="205"/>
      <c r="AL222" s="205"/>
      <c r="AM222" s="205"/>
      <c r="AN222" s="205"/>
      <c r="AO222" s="205"/>
      <c r="AP222" s="205"/>
      <c r="AQ222" s="205"/>
      <c r="AR222" s="205"/>
      <c r="AS222" s="205"/>
      <c r="AT222" s="205"/>
      <c r="AU222" s="205"/>
      <c r="AV222" s="205"/>
      <c r="AW222" s="205"/>
      <c r="AX222" s="205"/>
      <c r="AY222" s="205"/>
      <c r="AZ222" s="205"/>
      <c r="BA222" s="205"/>
      <c r="BB222" s="205"/>
      <c r="BC222" s="205"/>
      <c r="BD222" s="205"/>
      <c r="BE222" s="205"/>
      <c r="BF222" s="205"/>
      <c r="BG222" s="205"/>
      <c r="BH222" s="205"/>
      <c r="BI222" s="205"/>
      <c r="BJ222" s="205"/>
      <c r="BK222" s="206"/>
      <c r="BL222" s="205"/>
      <c r="BM222" s="206"/>
      <c r="BN222" s="205"/>
      <c r="BO222" s="205"/>
      <c r="BP222" s="205"/>
      <c r="BQ222" s="205"/>
      <c r="BR222" s="205"/>
      <c r="BS222" s="205"/>
      <c r="BT222" s="205"/>
      <c r="BU222" s="205"/>
      <c r="BV222" s="205"/>
      <c r="BW222" s="205"/>
      <c r="BX222" s="205"/>
      <c r="BY222" s="205"/>
      <c r="BZ222" s="205"/>
      <c r="CA222" s="205"/>
      <c r="CB222" s="205"/>
      <c r="CC222" s="205"/>
      <c r="CD222" s="205"/>
      <c r="CE222" s="205"/>
      <c r="CF222" s="205"/>
      <c r="CG222" s="205"/>
      <c r="CH222" s="205"/>
      <c r="CI222" s="205"/>
      <c r="CJ222" s="205"/>
      <c r="CK222" s="205"/>
      <c r="CL222" s="205"/>
      <c r="CM222" s="205"/>
      <c r="CN222" s="205"/>
      <c r="CO222" s="650"/>
      <c r="CP222" s="205"/>
      <c r="CQ222" s="653"/>
      <c r="CR222" s="205"/>
      <c r="CS222" s="654">
        <v>10000</v>
      </c>
      <c r="CT222" s="205">
        <f>CS222*G222</f>
        <v>100000</v>
      </c>
      <c r="CU222" s="653"/>
      <c r="CV222" s="205"/>
      <c r="CW222" s="658"/>
      <c r="CX222" s="205"/>
      <c r="CY222" s="658">
        <v>10000</v>
      </c>
      <c r="CZ222" s="205">
        <f t="shared" ref="CZ222:CZ228" si="37">CY222*G222*H222</f>
        <v>100000</v>
      </c>
      <c r="DA222" s="205"/>
      <c r="DB222" s="205"/>
      <c r="DC222" s="658"/>
      <c r="DD222" s="205"/>
      <c r="DE222" s="205"/>
      <c r="DF222" s="205"/>
      <c r="DG222" s="205"/>
      <c r="DH222" s="205"/>
      <c r="DI222" s="205"/>
      <c r="DJ222" s="205"/>
      <c r="DK222" s="205"/>
      <c r="DL222" s="205"/>
      <c r="DM222" s="205"/>
      <c r="DN222" s="205"/>
      <c r="DO222" s="205"/>
      <c r="DP222" s="205"/>
      <c r="DQ222" s="205"/>
      <c r="DR222" s="205"/>
      <c r="DS222" s="656">
        <f>+MEDIAN(CS222,CY222)</f>
        <v>10000</v>
      </c>
      <c r="DT222" s="656">
        <f>+AVERAGE(CS222,CY222)</f>
        <v>10000</v>
      </c>
      <c r="DU222" s="656">
        <f>+STDEV(CS222,CY222)</f>
        <v>0</v>
      </c>
      <c r="DV222" s="657">
        <f t="shared" si="36"/>
        <v>0</v>
      </c>
      <c r="DW222" s="662">
        <f t="shared" ref="DW222:DW228" si="38">+ROUNDUP(IF(DV222&lt;15%,DT222,DS222),0)</f>
        <v>10000</v>
      </c>
      <c r="DX222" s="326">
        <f t="shared" si="34"/>
        <v>100000</v>
      </c>
      <c r="DY222" s="10" t="s">
        <v>328</v>
      </c>
    </row>
    <row r="223" spans="1:132" ht="39" hidden="1" x14ac:dyDescent="0.3">
      <c r="A223" s="19">
        <v>38</v>
      </c>
      <c r="B223" s="9" t="s">
        <v>55</v>
      </c>
      <c r="C223" s="9" t="s">
        <v>121</v>
      </c>
      <c r="D223" s="9" t="s">
        <v>136</v>
      </c>
      <c r="E223" s="10" t="s">
        <v>486</v>
      </c>
      <c r="F223" s="9" t="s">
        <v>19</v>
      </c>
      <c r="G223" s="11">
        <v>4</v>
      </c>
      <c r="H223" s="11">
        <v>1</v>
      </c>
      <c r="I223" s="191"/>
      <c r="J223" s="191"/>
      <c r="K223" s="191"/>
      <c r="L223" s="191"/>
      <c r="M223" s="191"/>
      <c r="N223" s="191"/>
      <c r="O223" s="211"/>
      <c r="P223" s="212"/>
      <c r="Q223" s="32"/>
      <c r="R223" s="32"/>
      <c r="S223" s="32"/>
      <c r="T223" s="32"/>
      <c r="U223" s="32"/>
      <c r="V223" s="32"/>
      <c r="W223" s="32"/>
      <c r="X223" s="32"/>
      <c r="Y223" s="32"/>
      <c r="Z223" s="32"/>
      <c r="AA223" s="32"/>
      <c r="AB223" s="32"/>
      <c r="AC223" s="32"/>
      <c r="AD223" s="32"/>
      <c r="AE223" s="32"/>
      <c r="AF223" s="32"/>
      <c r="AG223" s="32"/>
      <c r="AH223" s="32"/>
      <c r="AI223" s="32"/>
      <c r="AJ223" s="32"/>
      <c r="AK223" s="32"/>
      <c r="AL223" s="32"/>
      <c r="AM223" s="32"/>
      <c r="AN223" s="32"/>
      <c r="AO223" s="32"/>
      <c r="AP223" s="32"/>
      <c r="AQ223" s="32"/>
      <c r="AR223" s="32"/>
      <c r="AS223" s="32"/>
      <c r="AT223" s="32"/>
      <c r="AU223" s="32"/>
      <c r="AV223" s="32"/>
      <c r="AW223" s="32"/>
      <c r="AX223" s="32"/>
      <c r="AY223" s="32"/>
      <c r="AZ223" s="32"/>
      <c r="BA223" s="32"/>
      <c r="BB223" s="32"/>
      <c r="BC223" s="32"/>
      <c r="BD223" s="32"/>
      <c r="BE223" s="32"/>
      <c r="BF223" s="32"/>
      <c r="BG223" s="32"/>
      <c r="BH223" s="32"/>
      <c r="BI223" s="32"/>
      <c r="BJ223" s="32"/>
      <c r="BK223" s="192"/>
      <c r="BL223" s="32"/>
      <c r="BM223" s="192"/>
      <c r="BN223" s="32"/>
      <c r="BO223" s="32"/>
      <c r="BP223" s="32"/>
      <c r="BQ223" s="32"/>
      <c r="BR223" s="32"/>
      <c r="BS223" s="32"/>
      <c r="BT223" s="32"/>
      <c r="BU223" s="32"/>
      <c r="BV223" s="32"/>
      <c r="BW223" s="32"/>
      <c r="BX223" s="32"/>
      <c r="BY223" s="32"/>
      <c r="BZ223" s="32"/>
      <c r="CA223" s="32"/>
      <c r="CB223" s="32"/>
      <c r="CC223" s="32"/>
      <c r="CD223" s="32"/>
      <c r="CE223" s="32"/>
      <c r="CF223" s="32"/>
      <c r="CG223" s="32"/>
      <c r="CH223" s="32"/>
      <c r="CI223" s="32"/>
      <c r="CJ223" s="32"/>
      <c r="CK223" s="32"/>
      <c r="CL223" s="32"/>
      <c r="CM223" s="32"/>
      <c r="CN223" s="32"/>
      <c r="CO223" s="357">
        <v>25000</v>
      </c>
      <c r="CP223" s="32">
        <f>CO223*G223</f>
        <v>100000</v>
      </c>
      <c r="CQ223" s="225"/>
      <c r="CR223" s="32"/>
      <c r="CS223" s="358">
        <v>35000</v>
      </c>
      <c r="CT223" s="25">
        <f>CS223*G223</f>
        <v>140000</v>
      </c>
      <c r="CU223" s="225"/>
      <c r="CV223" s="25"/>
      <c r="CW223" s="245"/>
      <c r="CX223" s="25"/>
      <c r="CY223" s="245"/>
      <c r="CZ223" s="25"/>
      <c r="DA223" s="25"/>
      <c r="DB223" s="25"/>
      <c r="DC223" s="245"/>
      <c r="DD223" s="25"/>
      <c r="DE223" s="25"/>
      <c r="DF223" s="25"/>
      <c r="DG223" s="25"/>
      <c r="DH223" s="25"/>
      <c r="DI223" s="25"/>
      <c r="DJ223" s="25"/>
      <c r="DK223" s="25"/>
      <c r="DL223" s="25"/>
      <c r="DM223" s="25"/>
      <c r="DN223" s="25"/>
      <c r="DO223" s="25"/>
      <c r="DP223" s="25"/>
      <c r="DQ223" s="25"/>
      <c r="DR223" s="25"/>
      <c r="DS223" s="13">
        <f>+MEDIAN(CO223,CS223)</f>
        <v>30000</v>
      </c>
      <c r="DT223" s="13">
        <f>+AVERAGE(CO223,CS223)</f>
        <v>30000</v>
      </c>
      <c r="DU223" s="13">
        <f>+STDEV(CO223,CS223)</f>
        <v>7071.0678118654751</v>
      </c>
      <c r="DV223" s="17">
        <f t="shared" si="36"/>
        <v>0.23570226039551584</v>
      </c>
      <c r="DW223" s="373">
        <f t="shared" si="38"/>
        <v>30000</v>
      </c>
      <c r="DX223" s="326">
        <f t="shared" si="34"/>
        <v>120000</v>
      </c>
      <c r="DY223" s="10" t="s">
        <v>322</v>
      </c>
    </row>
    <row r="224" spans="1:132" ht="39" hidden="1" x14ac:dyDescent="0.3">
      <c r="A224" s="19">
        <v>39</v>
      </c>
      <c r="B224" s="9" t="s">
        <v>55</v>
      </c>
      <c r="C224" s="9" t="s">
        <v>121</v>
      </c>
      <c r="D224" s="9" t="s">
        <v>137</v>
      </c>
      <c r="E224" s="10" t="s">
        <v>481</v>
      </c>
      <c r="F224" s="9" t="s">
        <v>19</v>
      </c>
      <c r="G224" s="11">
        <v>4</v>
      </c>
      <c r="H224" s="11">
        <v>1</v>
      </c>
      <c r="I224" s="191"/>
      <c r="J224" s="191"/>
      <c r="K224" s="191"/>
      <c r="L224" s="191"/>
      <c r="M224" s="191"/>
      <c r="N224" s="191"/>
      <c r="O224" s="211"/>
      <c r="P224" s="212"/>
      <c r="Q224" s="32"/>
      <c r="R224" s="32"/>
      <c r="S224" s="32"/>
      <c r="T224" s="32"/>
      <c r="U224" s="32"/>
      <c r="V224" s="32"/>
      <c r="W224" s="32"/>
      <c r="X224" s="32"/>
      <c r="Y224" s="32"/>
      <c r="Z224" s="32"/>
      <c r="AA224" s="32"/>
      <c r="AB224" s="32"/>
      <c r="AC224" s="32"/>
      <c r="AD224" s="32"/>
      <c r="AE224" s="32"/>
      <c r="AF224" s="32"/>
      <c r="AG224" s="32"/>
      <c r="AH224" s="32"/>
      <c r="AI224" s="32"/>
      <c r="AJ224" s="32"/>
      <c r="AK224" s="32"/>
      <c r="AL224" s="32"/>
      <c r="AM224" s="32"/>
      <c r="AN224" s="32"/>
      <c r="AO224" s="32"/>
      <c r="AP224" s="32"/>
      <c r="AQ224" s="32"/>
      <c r="AR224" s="32"/>
      <c r="AS224" s="32"/>
      <c r="AT224" s="32"/>
      <c r="AU224" s="32"/>
      <c r="AV224" s="32"/>
      <c r="AW224" s="32"/>
      <c r="AX224" s="32"/>
      <c r="AY224" s="32"/>
      <c r="AZ224" s="32"/>
      <c r="BA224" s="32"/>
      <c r="BB224" s="32"/>
      <c r="BC224" s="32"/>
      <c r="BD224" s="32"/>
      <c r="BE224" s="32"/>
      <c r="BF224" s="32"/>
      <c r="BG224" s="32"/>
      <c r="BH224" s="32"/>
      <c r="BI224" s="32"/>
      <c r="BJ224" s="32"/>
      <c r="BK224" s="192"/>
      <c r="BL224" s="32"/>
      <c r="BM224" s="192"/>
      <c r="BN224" s="32"/>
      <c r="BO224" s="32"/>
      <c r="BP224" s="32"/>
      <c r="BQ224" s="32"/>
      <c r="BR224" s="32"/>
      <c r="BS224" s="32"/>
      <c r="BT224" s="32"/>
      <c r="BU224" s="32"/>
      <c r="BV224" s="32"/>
      <c r="BW224" s="32"/>
      <c r="BX224" s="32"/>
      <c r="BY224" s="32"/>
      <c r="BZ224" s="32"/>
      <c r="CA224" s="32"/>
      <c r="CB224" s="32"/>
      <c r="CC224" s="32"/>
      <c r="CD224" s="32"/>
      <c r="CE224" s="32"/>
      <c r="CF224" s="32"/>
      <c r="CG224" s="32"/>
      <c r="CH224" s="32"/>
      <c r="CI224" s="32"/>
      <c r="CJ224" s="32"/>
      <c r="CK224" s="32"/>
      <c r="CL224" s="32"/>
      <c r="CM224" s="32"/>
      <c r="CN224" s="32"/>
      <c r="CO224" s="357">
        <v>65000</v>
      </c>
      <c r="CP224" s="32">
        <f>CO224*G224</f>
        <v>260000</v>
      </c>
      <c r="CQ224" s="225"/>
      <c r="CR224" s="32"/>
      <c r="CS224" s="358">
        <v>70000</v>
      </c>
      <c r="CT224" s="25">
        <f>CS224*G224</f>
        <v>280000</v>
      </c>
      <c r="CU224" s="225"/>
      <c r="CV224" s="25"/>
      <c r="CW224" s="245"/>
      <c r="CX224" s="25"/>
      <c r="CY224" s="245"/>
      <c r="CZ224" s="25"/>
      <c r="DA224" s="25"/>
      <c r="DB224" s="25"/>
      <c r="DC224" s="245"/>
      <c r="DD224" s="25"/>
      <c r="DE224" s="25"/>
      <c r="DF224" s="25"/>
      <c r="DG224" s="25"/>
      <c r="DH224" s="25"/>
      <c r="DI224" s="25"/>
      <c r="DJ224" s="25"/>
      <c r="DK224" s="25"/>
      <c r="DL224" s="25"/>
      <c r="DM224" s="25"/>
      <c r="DN224" s="25"/>
      <c r="DO224" s="25"/>
      <c r="DP224" s="25"/>
      <c r="DQ224" s="25"/>
      <c r="DR224" s="25"/>
      <c r="DS224" s="13">
        <f t="shared" ref="DS224:DS226" si="39">+MEDIAN(CO224,CS224)</f>
        <v>67500</v>
      </c>
      <c r="DT224" s="13">
        <f t="shared" ref="DT224:DT226" si="40">+AVERAGE(CO224,CS224)</f>
        <v>67500</v>
      </c>
      <c r="DU224" s="13">
        <f t="shared" ref="DU224:DU226" si="41">+STDEV(CO224,CS224)</f>
        <v>3535.5339059327375</v>
      </c>
      <c r="DV224" s="17">
        <f t="shared" si="36"/>
        <v>5.2378280087892408E-2</v>
      </c>
      <c r="DW224" s="373">
        <f t="shared" si="38"/>
        <v>67500</v>
      </c>
      <c r="DX224" s="326">
        <f t="shared" si="34"/>
        <v>270000</v>
      </c>
      <c r="DY224" s="10" t="s">
        <v>328</v>
      </c>
    </row>
    <row r="225" spans="1:132" ht="55.5" hidden="1" customHeight="1" x14ac:dyDescent="0.3">
      <c r="A225" s="19">
        <v>40</v>
      </c>
      <c r="B225" s="9" t="s">
        <v>55</v>
      </c>
      <c r="C225" s="9" t="s">
        <v>121</v>
      </c>
      <c r="D225" s="9" t="s">
        <v>138</v>
      </c>
      <c r="E225" s="10" t="s">
        <v>483</v>
      </c>
      <c r="F225" s="9" t="s">
        <v>19</v>
      </c>
      <c r="G225" s="11">
        <v>4</v>
      </c>
      <c r="H225" s="11">
        <v>1</v>
      </c>
      <c r="I225" s="191"/>
      <c r="J225" s="191"/>
      <c r="K225" s="191"/>
      <c r="L225" s="191"/>
      <c r="M225" s="191"/>
      <c r="N225" s="191"/>
      <c r="O225" s="211"/>
      <c r="P225" s="212"/>
      <c r="Q225" s="32"/>
      <c r="R225" s="32"/>
      <c r="S225" s="32"/>
      <c r="T225" s="32"/>
      <c r="U225" s="32"/>
      <c r="V225" s="32"/>
      <c r="W225" s="32"/>
      <c r="X225" s="32"/>
      <c r="Y225" s="32"/>
      <c r="Z225" s="32"/>
      <c r="AA225" s="32"/>
      <c r="AB225" s="32"/>
      <c r="AC225" s="32"/>
      <c r="AD225" s="32"/>
      <c r="AE225" s="32"/>
      <c r="AF225" s="32"/>
      <c r="AG225" s="32"/>
      <c r="AH225" s="32"/>
      <c r="AI225" s="32"/>
      <c r="AJ225" s="32"/>
      <c r="AK225" s="32"/>
      <c r="AL225" s="32"/>
      <c r="AM225" s="32"/>
      <c r="AN225" s="32"/>
      <c r="AO225" s="32"/>
      <c r="AP225" s="32"/>
      <c r="AQ225" s="32"/>
      <c r="AR225" s="32"/>
      <c r="AS225" s="32"/>
      <c r="AT225" s="32"/>
      <c r="AU225" s="32"/>
      <c r="AV225" s="32"/>
      <c r="AW225" s="32"/>
      <c r="AX225" s="32"/>
      <c r="AY225" s="32"/>
      <c r="AZ225" s="32"/>
      <c r="BA225" s="32"/>
      <c r="BB225" s="32"/>
      <c r="BC225" s="32"/>
      <c r="BD225" s="32"/>
      <c r="BE225" s="32"/>
      <c r="BF225" s="32"/>
      <c r="BG225" s="32"/>
      <c r="BH225" s="32"/>
      <c r="BI225" s="32"/>
      <c r="BJ225" s="32"/>
      <c r="BK225" s="192"/>
      <c r="BL225" s="32"/>
      <c r="BM225" s="192"/>
      <c r="BN225" s="32"/>
      <c r="BO225" s="32"/>
      <c r="BP225" s="32"/>
      <c r="BQ225" s="32"/>
      <c r="BR225" s="32"/>
      <c r="BS225" s="32"/>
      <c r="BT225" s="32"/>
      <c r="BU225" s="32"/>
      <c r="BV225" s="32"/>
      <c r="BW225" s="32"/>
      <c r="BX225" s="32"/>
      <c r="BY225" s="32"/>
      <c r="BZ225" s="32"/>
      <c r="CA225" s="32"/>
      <c r="CB225" s="32"/>
      <c r="CC225" s="32"/>
      <c r="CD225" s="32"/>
      <c r="CE225" s="32"/>
      <c r="CF225" s="32"/>
      <c r="CG225" s="32"/>
      <c r="CH225" s="32"/>
      <c r="CI225" s="32"/>
      <c r="CJ225" s="32"/>
      <c r="CK225" s="32"/>
      <c r="CL225" s="32"/>
      <c r="CM225" s="32"/>
      <c r="CN225" s="32"/>
      <c r="CO225" s="357">
        <v>65000</v>
      </c>
      <c r="CP225" s="32">
        <f t="shared" ref="CP225:CP226" si="42">CO225*G225</f>
        <v>260000</v>
      </c>
      <c r="CQ225" s="225"/>
      <c r="CR225" s="32"/>
      <c r="CS225" s="358">
        <v>70000</v>
      </c>
      <c r="CT225" s="25">
        <f t="shared" ref="CT225:CT226" si="43">CS225*G225</f>
        <v>280000</v>
      </c>
      <c r="CU225" s="225"/>
      <c r="CV225" s="25"/>
      <c r="CW225" s="245"/>
      <c r="CX225" s="25"/>
      <c r="CY225" s="245"/>
      <c r="CZ225" s="25"/>
      <c r="DA225" s="25"/>
      <c r="DB225" s="25"/>
      <c r="DC225" s="245"/>
      <c r="DD225" s="25"/>
      <c r="DE225" s="25"/>
      <c r="DF225" s="25"/>
      <c r="DG225" s="25"/>
      <c r="DH225" s="25"/>
      <c r="DI225" s="25"/>
      <c r="DJ225" s="25"/>
      <c r="DK225" s="25"/>
      <c r="DL225" s="25"/>
      <c r="DM225" s="25"/>
      <c r="DN225" s="25"/>
      <c r="DO225" s="25"/>
      <c r="DP225" s="25"/>
      <c r="DQ225" s="25"/>
      <c r="DR225" s="25"/>
      <c r="DS225" s="13">
        <f t="shared" si="39"/>
        <v>67500</v>
      </c>
      <c r="DT225" s="13">
        <f t="shared" si="40"/>
        <v>67500</v>
      </c>
      <c r="DU225" s="13">
        <f t="shared" si="41"/>
        <v>3535.5339059327375</v>
      </c>
      <c r="DV225" s="17">
        <f t="shared" si="36"/>
        <v>5.2378280087892408E-2</v>
      </c>
      <c r="DW225" s="373">
        <f t="shared" si="38"/>
        <v>67500</v>
      </c>
      <c r="DX225" s="326">
        <f t="shared" si="34"/>
        <v>270000</v>
      </c>
      <c r="DY225" s="10" t="s">
        <v>328</v>
      </c>
    </row>
    <row r="226" spans="1:132" ht="104" hidden="1" x14ac:dyDescent="0.3">
      <c r="A226" s="19">
        <v>41</v>
      </c>
      <c r="B226" s="9" t="s">
        <v>55</v>
      </c>
      <c r="C226" s="9" t="s">
        <v>121</v>
      </c>
      <c r="D226" s="9" t="s">
        <v>139</v>
      </c>
      <c r="E226" s="10" t="s">
        <v>484</v>
      </c>
      <c r="F226" s="9" t="s">
        <v>19</v>
      </c>
      <c r="G226" s="11">
        <v>4</v>
      </c>
      <c r="H226" s="11">
        <v>1</v>
      </c>
      <c r="I226" s="191"/>
      <c r="J226" s="191"/>
      <c r="K226" s="191"/>
      <c r="L226" s="191"/>
      <c r="M226" s="191"/>
      <c r="N226" s="191"/>
      <c r="O226" s="211"/>
      <c r="P226" s="212"/>
      <c r="Q226" s="32"/>
      <c r="R226" s="32"/>
      <c r="S226" s="32"/>
      <c r="T226" s="32"/>
      <c r="U226" s="32"/>
      <c r="V226" s="32"/>
      <c r="W226" s="32"/>
      <c r="X226" s="32"/>
      <c r="Y226" s="32"/>
      <c r="Z226" s="32"/>
      <c r="AA226" s="32"/>
      <c r="AB226" s="32"/>
      <c r="AC226" s="32"/>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c r="BI226" s="32"/>
      <c r="BJ226" s="32"/>
      <c r="BK226" s="192"/>
      <c r="BL226" s="32"/>
      <c r="BM226" s="192"/>
      <c r="BN226" s="32"/>
      <c r="BO226" s="32"/>
      <c r="BP226" s="32"/>
      <c r="BQ226" s="32"/>
      <c r="BR226" s="32"/>
      <c r="BS226" s="32"/>
      <c r="BT226" s="32"/>
      <c r="BU226" s="32"/>
      <c r="BV226" s="32"/>
      <c r="BW226" s="32"/>
      <c r="BX226" s="32"/>
      <c r="BY226" s="32"/>
      <c r="BZ226" s="32"/>
      <c r="CA226" s="32"/>
      <c r="CB226" s="32"/>
      <c r="CC226" s="32"/>
      <c r="CD226" s="32"/>
      <c r="CE226" s="32"/>
      <c r="CF226" s="32"/>
      <c r="CG226" s="32"/>
      <c r="CH226" s="32"/>
      <c r="CI226" s="32"/>
      <c r="CJ226" s="32"/>
      <c r="CK226" s="32"/>
      <c r="CL226" s="32"/>
      <c r="CM226" s="32"/>
      <c r="CN226" s="32"/>
      <c r="CO226" s="357">
        <v>60000</v>
      </c>
      <c r="CP226" s="32">
        <f t="shared" si="42"/>
        <v>240000</v>
      </c>
      <c r="CQ226" s="225"/>
      <c r="CR226" s="32"/>
      <c r="CS226" s="358">
        <v>65000</v>
      </c>
      <c r="CT226" s="25">
        <f t="shared" si="43"/>
        <v>260000</v>
      </c>
      <c r="CU226" s="225"/>
      <c r="CV226" s="25"/>
      <c r="CW226" s="245"/>
      <c r="CX226" s="25"/>
      <c r="CY226" s="245"/>
      <c r="CZ226" s="25"/>
      <c r="DA226" s="25"/>
      <c r="DB226" s="25"/>
      <c r="DC226" s="245"/>
      <c r="DD226" s="25"/>
      <c r="DE226" s="25"/>
      <c r="DF226" s="25"/>
      <c r="DG226" s="25"/>
      <c r="DH226" s="25"/>
      <c r="DI226" s="25"/>
      <c r="DJ226" s="25"/>
      <c r="DK226" s="25"/>
      <c r="DL226" s="25"/>
      <c r="DM226" s="25"/>
      <c r="DN226" s="25"/>
      <c r="DO226" s="25"/>
      <c r="DP226" s="25"/>
      <c r="DQ226" s="25"/>
      <c r="DR226" s="25"/>
      <c r="DS226" s="13">
        <f t="shared" si="39"/>
        <v>62500</v>
      </c>
      <c r="DT226" s="13">
        <f t="shared" si="40"/>
        <v>62500</v>
      </c>
      <c r="DU226" s="13">
        <f t="shared" si="41"/>
        <v>3535.5339059327375</v>
      </c>
      <c r="DV226" s="17">
        <f t="shared" si="36"/>
        <v>5.6568542494923803E-2</v>
      </c>
      <c r="DW226" s="373">
        <f t="shared" si="38"/>
        <v>62500</v>
      </c>
      <c r="DX226" s="326">
        <f t="shared" si="34"/>
        <v>250000</v>
      </c>
      <c r="DY226" s="10" t="s">
        <v>328</v>
      </c>
    </row>
    <row r="227" spans="1:132" ht="129.5" hidden="1" customHeight="1" x14ac:dyDescent="0.3">
      <c r="A227" s="19">
        <v>42</v>
      </c>
      <c r="B227" s="9" t="s">
        <v>55</v>
      </c>
      <c r="C227" s="647" t="s">
        <v>121</v>
      </c>
      <c r="D227" s="9" t="s">
        <v>140</v>
      </c>
      <c r="E227" s="10" t="s">
        <v>1354</v>
      </c>
      <c r="F227" s="9" t="s">
        <v>19</v>
      </c>
      <c r="G227" s="11">
        <v>2</v>
      </c>
      <c r="H227" s="11">
        <v>1</v>
      </c>
      <c r="I227" s="649"/>
      <c r="J227" s="649"/>
      <c r="K227" s="649"/>
      <c r="L227" s="649"/>
      <c r="M227" s="649"/>
      <c r="N227" s="649"/>
      <c r="O227" s="650"/>
      <c r="P227" s="651"/>
      <c r="Q227" s="205"/>
      <c r="R227" s="205"/>
      <c r="S227" s="205"/>
      <c r="T227" s="205"/>
      <c r="U227" s="205"/>
      <c r="V227" s="205"/>
      <c r="W227" s="205"/>
      <c r="X227" s="205"/>
      <c r="Y227" s="205"/>
      <c r="Z227" s="205"/>
      <c r="AA227" s="205"/>
      <c r="AB227" s="205"/>
      <c r="AC227" s="205"/>
      <c r="AD227" s="205"/>
      <c r="AE227" s="205"/>
      <c r="AF227" s="205"/>
      <c r="AG227" s="205"/>
      <c r="AH227" s="205"/>
      <c r="AI227" s="205"/>
      <c r="AJ227" s="205"/>
      <c r="AK227" s="205"/>
      <c r="AL227" s="205"/>
      <c r="AM227" s="205"/>
      <c r="AN227" s="205"/>
      <c r="AO227" s="205"/>
      <c r="AP227" s="205"/>
      <c r="AQ227" s="205"/>
      <c r="AR227" s="205"/>
      <c r="AS227" s="205"/>
      <c r="AT227" s="205"/>
      <c r="AU227" s="205"/>
      <c r="AV227" s="205"/>
      <c r="AW227" s="205"/>
      <c r="AX227" s="205"/>
      <c r="AY227" s="205"/>
      <c r="AZ227" s="205"/>
      <c r="BA227" s="205"/>
      <c r="BB227" s="205"/>
      <c r="BC227" s="205"/>
      <c r="BD227" s="205"/>
      <c r="BE227" s="205"/>
      <c r="BF227" s="205"/>
      <c r="BG227" s="205"/>
      <c r="BH227" s="205"/>
      <c r="BI227" s="205"/>
      <c r="BJ227" s="205"/>
      <c r="BK227" s="206"/>
      <c r="BL227" s="205"/>
      <c r="BM227" s="206"/>
      <c r="BN227" s="205"/>
      <c r="BO227" s="205"/>
      <c r="BP227" s="205"/>
      <c r="BQ227" s="205"/>
      <c r="BR227" s="205"/>
      <c r="BS227" s="205"/>
      <c r="BT227" s="205"/>
      <c r="BU227" s="205"/>
      <c r="BV227" s="205"/>
      <c r="BW227" s="205"/>
      <c r="BX227" s="205"/>
      <c r="BY227" s="205"/>
      <c r="BZ227" s="205"/>
      <c r="CA227" s="205"/>
      <c r="CB227" s="205"/>
      <c r="CC227" s="205"/>
      <c r="CD227" s="205"/>
      <c r="CE227" s="205"/>
      <c r="CF227" s="205"/>
      <c r="CG227" s="205"/>
      <c r="CH227" s="205"/>
      <c r="CI227" s="205"/>
      <c r="CJ227" s="205"/>
      <c r="CK227" s="205"/>
      <c r="CL227" s="205"/>
      <c r="CM227" s="205"/>
      <c r="CN227" s="205"/>
      <c r="CO227" s="663"/>
      <c r="CP227" s="205"/>
      <c r="CQ227" s="653">
        <v>80000</v>
      </c>
      <c r="CR227" s="205">
        <f>CQ227*G227</f>
        <v>160000</v>
      </c>
      <c r="CS227" s="654">
        <v>90000</v>
      </c>
      <c r="CT227" s="205">
        <f>CS227*G227</f>
        <v>180000</v>
      </c>
      <c r="CU227" s="653">
        <v>80000</v>
      </c>
      <c r="CV227" s="205">
        <f>CU227*G227</f>
        <v>160000</v>
      </c>
      <c r="CW227" s="658"/>
      <c r="CX227" s="205"/>
      <c r="CY227" s="658">
        <v>80000</v>
      </c>
      <c r="CZ227" s="205">
        <f t="shared" si="37"/>
        <v>160000</v>
      </c>
      <c r="DA227" s="205"/>
      <c r="DB227" s="205"/>
      <c r="DC227" s="658"/>
      <c r="DD227" s="205"/>
      <c r="DE227" s="205"/>
      <c r="DF227" s="205"/>
      <c r="DG227" s="205"/>
      <c r="DH227" s="205"/>
      <c r="DI227" s="205"/>
      <c r="DJ227" s="205"/>
      <c r="DK227" s="205"/>
      <c r="DL227" s="205"/>
      <c r="DM227" s="205"/>
      <c r="DN227" s="205"/>
      <c r="DO227" s="205"/>
      <c r="DP227" s="205"/>
      <c r="DQ227" s="205"/>
      <c r="DR227" s="205"/>
      <c r="DS227" s="656">
        <f>+MEDIAN(CQ227,CS227,CU227,CY227)</f>
        <v>80000</v>
      </c>
      <c r="DT227" s="656">
        <f>+AVERAGE(CQ227,CS227,CU227,CY227)</f>
        <v>82500</v>
      </c>
      <c r="DU227" s="656">
        <f>+STDEV(CQ227,CS227,CU227,CY227)</f>
        <v>5000</v>
      </c>
      <c r="DV227" s="657">
        <f t="shared" si="36"/>
        <v>6.0606060606060608E-2</v>
      </c>
      <c r="DW227" s="666">
        <f>ROUNDUP(IF(DV227&lt;15%,DT227,DS227),0)</f>
        <v>82500</v>
      </c>
      <c r="DX227" s="326">
        <f t="shared" si="34"/>
        <v>165000</v>
      </c>
      <c r="DY227" s="10" t="s">
        <v>328</v>
      </c>
    </row>
    <row r="228" spans="1:132" ht="39" hidden="1" x14ac:dyDescent="0.3">
      <c r="A228" s="19">
        <v>43</v>
      </c>
      <c r="B228" s="14" t="s">
        <v>55</v>
      </c>
      <c r="C228" s="14" t="s">
        <v>121</v>
      </c>
      <c r="D228" s="14" t="s">
        <v>141</v>
      </c>
      <c r="E228" s="10" t="s">
        <v>142</v>
      </c>
      <c r="F228" s="9" t="s">
        <v>19</v>
      </c>
      <c r="G228" s="11">
        <v>4</v>
      </c>
      <c r="H228" s="11">
        <v>1</v>
      </c>
      <c r="I228" s="191"/>
      <c r="J228" s="191"/>
      <c r="K228" s="191"/>
      <c r="L228" s="191"/>
      <c r="M228" s="191"/>
      <c r="N228" s="191"/>
      <c r="O228" s="211"/>
      <c r="P228" s="212"/>
      <c r="Q228" s="32"/>
      <c r="R228" s="32"/>
      <c r="S228" s="32"/>
      <c r="T228" s="32"/>
      <c r="U228" s="32"/>
      <c r="V228" s="32"/>
      <c r="W228" s="32"/>
      <c r="X228" s="32"/>
      <c r="Y228" s="32"/>
      <c r="Z228" s="32"/>
      <c r="AA228" s="32"/>
      <c r="AB228" s="32"/>
      <c r="AC228" s="32"/>
      <c r="AD228" s="32"/>
      <c r="AE228" s="32"/>
      <c r="AF228" s="32"/>
      <c r="AG228" s="32"/>
      <c r="AH228" s="32"/>
      <c r="AI228" s="32"/>
      <c r="AJ228" s="32"/>
      <c r="AK228" s="32"/>
      <c r="AL228" s="32"/>
      <c r="AM228" s="32"/>
      <c r="AN228" s="32"/>
      <c r="AO228" s="32"/>
      <c r="AP228" s="32"/>
      <c r="AQ228" s="32"/>
      <c r="AR228" s="32"/>
      <c r="AS228" s="32"/>
      <c r="AT228" s="32"/>
      <c r="AU228" s="32"/>
      <c r="AV228" s="32"/>
      <c r="AW228" s="32"/>
      <c r="AX228" s="32"/>
      <c r="AY228" s="32"/>
      <c r="AZ228" s="32"/>
      <c r="BA228" s="32"/>
      <c r="BB228" s="32"/>
      <c r="BC228" s="32"/>
      <c r="BD228" s="32"/>
      <c r="BE228" s="32"/>
      <c r="BF228" s="32"/>
      <c r="BG228" s="32"/>
      <c r="BH228" s="32"/>
      <c r="BI228" s="32"/>
      <c r="BJ228" s="32"/>
      <c r="BK228" s="192"/>
      <c r="BL228" s="32"/>
      <c r="BM228" s="192"/>
      <c r="BN228" s="32"/>
      <c r="BO228" s="32"/>
      <c r="BP228" s="32"/>
      <c r="BQ228" s="32"/>
      <c r="BR228" s="32"/>
      <c r="BS228" s="32"/>
      <c r="BT228" s="32"/>
      <c r="BU228" s="32"/>
      <c r="BV228" s="32"/>
      <c r="BW228" s="32"/>
      <c r="BX228" s="32"/>
      <c r="BY228" s="32"/>
      <c r="BZ228" s="32"/>
      <c r="CA228" s="32"/>
      <c r="CB228" s="32"/>
      <c r="CC228" s="32"/>
      <c r="CD228" s="32"/>
      <c r="CE228" s="32"/>
      <c r="CF228" s="32"/>
      <c r="CG228" s="32"/>
      <c r="CH228" s="32"/>
      <c r="CI228" s="32"/>
      <c r="CJ228" s="32"/>
      <c r="CK228" s="32"/>
      <c r="CL228" s="32"/>
      <c r="CM228" s="32"/>
      <c r="CN228" s="32"/>
      <c r="CO228" s="224">
        <v>60000</v>
      </c>
      <c r="CP228" s="32">
        <f>CO228*G228</f>
        <v>240000</v>
      </c>
      <c r="CQ228" s="225">
        <v>50000</v>
      </c>
      <c r="CR228" s="32">
        <f>CQ228*G228</f>
        <v>200000</v>
      </c>
      <c r="CS228" s="28">
        <v>40000</v>
      </c>
      <c r="CT228" s="25">
        <f>CS228*G228</f>
        <v>160000</v>
      </c>
      <c r="CU228" s="225">
        <v>50000</v>
      </c>
      <c r="CV228" s="25">
        <f>CU228*G228</f>
        <v>200000</v>
      </c>
      <c r="CW228" s="245"/>
      <c r="CX228" s="25"/>
      <c r="CY228" s="245">
        <v>55000</v>
      </c>
      <c r="CZ228" s="25">
        <f t="shared" si="37"/>
        <v>220000</v>
      </c>
      <c r="DA228" s="25"/>
      <c r="DB228" s="25"/>
      <c r="DC228" s="245"/>
      <c r="DD228" s="25"/>
      <c r="DE228" s="25"/>
      <c r="DF228" s="25"/>
      <c r="DG228" s="25"/>
      <c r="DH228" s="25"/>
      <c r="DI228" s="25"/>
      <c r="DJ228" s="25"/>
      <c r="DK228" s="25"/>
      <c r="DL228" s="25"/>
      <c r="DM228" s="25"/>
      <c r="DN228" s="25"/>
      <c r="DO228" s="25"/>
      <c r="DP228" s="25"/>
      <c r="DQ228" s="25"/>
      <c r="DR228" s="25"/>
      <c r="DS228" s="13">
        <f>+MEDIAN(CO228,CQ228,CS228,CU228,CY228)</f>
        <v>50000</v>
      </c>
      <c r="DT228" s="13">
        <f>+AVERAGE(CO228,CQ228,CS228,CU228,CY228)</f>
        <v>51000</v>
      </c>
      <c r="DU228" s="13">
        <f>+STDEV(CO228,CQ228,CS228,CU228,CY228)</f>
        <v>7416.198487095663</v>
      </c>
      <c r="DV228" s="17">
        <f t="shared" si="36"/>
        <v>0.14541565660971889</v>
      </c>
      <c r="DW228" s="373">
        <f t="shared" si="38"/>
        <v>51000</v>
      </c>
      <c r="DX228" s="326">
        <f t="shared" si="34"/>
        <v>204000</v>
      </c>
      <c r="DY228" s="10" t="s">
        <v>322</v>
      </c>
    </row>
    <row r="229" spans="1:132" s="63" customFormat="1" hidden="1" x14ac:dyDescent="0.3">
      <c r="A229" s="66" t="s">
        <v>402</v>
      </c>
      <c r="B229" s="66"/>
      <c r="C229" s="66"/>
      <c r="D229" s="66"/>
      <c r="E229" s="66"/>
      <c r="F229" s="67"/>
      <c r="G229" s="67"/>
      <c r="H229" s="67"/>
      <c r="I229" s="214"/>
      <c r="J229" s="214"/>
      <c r="K229" s="214"/>
      <c r="L229" s="214"/>
      <c r="M229" s="214"/>
      <c r="N229" s="214"/>
      <c r="O229" s="215"/>
      <c r="P229" s="215"/>
      <c r="Q229" s="215"/>
      <c r="R229" s="215"/>
      <c r="S229" s="215"/>
      <c r="T229" s="215"/>
      <c r="U229" s="215"/>
      <c r="V229" s="215"/>
      <c r="W229" s="215"/>
      <c r="X229" s="215"/>
      <c r="Y229" s="215"/>
      <c r="Z229" s="215"/>
      <c r="AA229" s="215"/>
      <c r="AB229" s="215"/>
      <c r="AC229" s="215"/>
      <c r="AD229" s="215"/>
      <c r="AE229" s="215"/>
      <c r="AF229" s="215"/>
      <c r="AG229" s="215"/>
      <c r="AH229" s="215"/>
      <c r="AI229" s="215"/>
      <c r="AJ229" s="215"/>
      <c r="AK229" s="215"/>
      <c r="AL229" s="215"/>
      <c r="AM229" s="215"/>
      <c r="AN229" s="215"/>
      <c r="AO229" s="215"/>
      <c r="AP229" s="215"/>
      <c r="AQ229" s="215"/>
      <c r="AR229" s="215"/>
      <c r="AS229" s="215"/>
      <c r="AT229" s="215"/>
      <c r="AU229" s="215"/>
      <c r="AV229" s="215"/>
      <c r="AW229" s="215"/>
      <c r="AX229" s="215"/>
      <c r="AY229" s="215"/>
      <c r="AZ229" s="215"/>
      <c r="BA229" s="215"/>
      <c r="BB229" s="215"/>
      <c r="BC229" s="215"/>
      <c r="BD229" s="215"/>
      <c r="BE229" s="215"/>
      <c r="BF229" s="215"/>
      <c r="BG229" s="215"/>
      <c r="BH229" s="215"/>
      <c r="BI229" s="215"/>
      <c r="BJ229" s="215"/>
      <c r="BK229" s="215"/>
      <c r="BL229" s="216"/>
      <c r="BM229" s="215"/>
      <c r="BN229" s="216"/>
      <c r="BO229" s="216"/>
      <c r="BP229" s="216"/>
      <c r="BQ229" s="216"/>
      <c r="BR229" s="216"/>
      <c r="BS229" s="216"/>
      <c r="BT229" s="216"/>
      <c r="BU229" s="216"/>
      <c r="BV229" s="216"/>
      <c r="BW229" s="216"/>
      <c r="BX229" s="216"/>
      <c r="BY229" s="216"/>
      <c r="BZ229" s="216"/>
      <c r="CA229" s="216"/>
      <c r="CB229" s="216"/>
      <c r="CC229" s="216"/>
      <c r="CD229" s="216"/>
      <c r="CE229" s="216"/>
      <c r="CF229" s="216"/>
      <c r="CG229" s="216"/>
      <c r="CH229" s="216"/>
      <c r="CI229" s="216"/>
      <c r="CJ229" s="216"/>
      <c r="CK229" s="216"/>
      <c r="CL229" s="216"/>
      <c r="CM229" s="216"/>
      <c r="CN229" s="216"/>
      <c r="CO229" s="216"/>
      <c r="CP229" s="216"/>
      <c r="CQ229" s="216"/>
      <c r="CR229" s="216"/>
      <c r="CS229" s="216"/>
      <c r="CT229" s="216"/>
      <c r="CU229" s="216"/>
      <c r="CV229" s="216"/>
      <c r="CW229" s="216"/>
      <c r="CX229" s="216"/>
      <c r="CY229" s="216"/>
      <c r="CZ229" s="216"/>
      <c r="DA229" s="216"/>
      <c r="DB229" s="216"/>
      <c r="DC229" s="216"/>
      <c r="DD229" s="216"/>
      <c r="DE229" s="216"/>
      <c r="DF229" s="216"/>
      <c r="DG229" s="216"/>
      <c r="DH229" s="216"/>
      <c r="DI229" s="216"/>
      <c r="DJ229" s="216"/>
      <c r="DK229" s="216"/>
      <c r="DL229" s="216"/>
      <c r="DM229" s="216"/>
      <c r="DN229" s="216"/>
      <c r="DO229" s="216"/>
      <c r="DP229" s="216"/>
      <c r="DQ229" s="216"/>
      <c r="DR229" s="216"/>
      <c r="DS229" s="215"/>
      <c r="DT229" s="215"/>
      <c r="DU229" s="215"/>
      <c r="DV229" s="68"/>
      <c r="DW229" s="69">
        <f>SUM(DW208:DW228)</f>
        <v>16247034.850744201</v>
      </c>
      <c r="DX229" s="69">
        <f>SUM(DX208:DX228)</f>
        <v>175741923</v>
      </c>
      <c r="DY229" s="165"/>
      <c r="DZ229" s="609"/>
      <c r="EA229" s="608"/>
      <c r="EB229" s="609"/>
    </row>
    <row r="230" spans="1:132" ht="52" hidden="1" x14ac:dyDescent="0.3">
      <c r="A230" s="70">
        <v>44</v>
      </c>
      <c r="B230" s="40" t="s">
        <v>55</v>
      </c>
      <c r="C230" s="381" t="s">
        <v>143</v>
      </c>
      <c r="D230" s="40" t="s">
        <v>357</v>
      </c>
      <c r="E230" s="42" t="s">
        <v>1175</v>
      </c>
      <c r="F230" s="40" t="s">
        <v>14</v>
      </c>
      <c r="G230" s="43">
        <v>2</v>
      </c>
      <c r="H230" s="43">
        <v>3</v>
      </c>
      <c r="I230" s="386">
        <v>7688000</v>
      </c>
      <c r="J230" s="386">
        <f>I230*G230*H230</f>
        <v>46128000</v>
      </c>
      <c r="K230" s="386"/>
      <c r="L230" s="386"/>
      <c r="M230" s="386"/>
      <c r="N230" s="386"/>
      <c r="O230" s="387"/>
      <c r="P230" s="393"/>
      <c r="Q230" s="389"/>
      <c r="R230" s="389"/>
      <c r="S230" s="389"/>
      <c r="T230" s="389"/>
      <c r="U230" s="389"/>
      <c r="V230" s="389"/>
      <c r="W230" s="389"/>
      <c r="X230" s="389"/>
      <c r="Y230" s="389"/>
      <c r="Z230" s="389"/>
      <c r="AA230" s="389"/>
      <c r="AB230" s="389"/>
      <c r="AC230" s="389"/>
      <c r="AD230" s="389"/>
      <c r="AE230" s="389"/>
      <c r="AF230" s="389"/>
      <c r="AG230" s="389"/>
      <c r="AH230" s="389"/>
      <c r="AI230" s="389"/>
      <c r="AJ230" s="389"/>
      <c r="AK230" s="389"/>
      <c r="AL230" s="389"/>
      <c r="AM230" s="389"/>
      <c r="AN230" s="389"/>
      <c r="AO230" s="389"/>
      <c r="AP230" s="389"/>
      <c r="AQ230" s="389"/>
      <c r="AR230" s="389"/>
      <c r="AS230" s="389"/>
      <c r="AT230" s="389"/>
      <c r="AU230" s="389"/>
      <c r="AV230" s="389"/>
      <c r="AW230" s="389"/>
      <c r="AX230" s="389"/>
      <c r="AY230" s="389"/>
      <c r="AZ230" s="389"/>
      <c r="BA230" s="389"/>
      <c r="BB230" s="389"/>
      <c r="BC230" s="389"/>
      <c r="BD230" s="389"/>
      <c r="BE230" s="389"/>
      <c r="BF230" s="389"/>
      <c r="BG230" s="389"/>
      <c r="BH230" s="389"/>
      <c r="BI230" s="389"/>
      <c r="BJ230" s="389"/>
      <c r="BK230" s="390"/>
      <c r="BL230" s="389"/>
      <c r="BM230" s="390"/>
      <c r="BN230" s="389"/>
      <c r="BO230" s="389"/>
      <c r="BP230" s="389"/>
      <c r="BQ230" s="389"/>
      <c r="BR230" s="389"/>
      <c r="BS230" s="389"/>
      <c r="BT230" s="389"/>
      <c r="BU230" s="389"/>
      <c r="BV230" s="389"/>
      <c r="BW230" s="389"/>
      <c r="BX230" s="389"/>
      <c r="BY230" s="389"/>
      <c r="BZ230" s="389"/>
      <c r="CA230" s="389"/>
      <c r="CB230" s="389"/>
      <c r="CC230" s="389"/>
      <c r="CD230" s="389"/>
      <c r="CE230" s="389"/>
      <c r="CF230" s="389"/>
      <c r="CG230" s="389"/>
      <c r="CH230" s="389"/>
      <c r="CI230" s="389"/>
      <c r="CJ230" s="389"/>
      <c r="CK230" s="389"/>
      <c r="CL230" s="389"/>
      <c r="CM230" s="389"/>
      <c r="CN230" s="389"/>
      <c r="CO230" s="389"/>
      <c r="CP230" s="389"/>
      <c r="CQ230" s="389"/>
      <c r="CR230" s="389"/>
      <c r="CS230" s="389"/>
      <c r="CT230" s="389"/>
      <c r="CU230" s="389"/>
      <c r="CV230" s="389"/>
      <c r="CW230" s="389"/>
      <c r="CX230" s="389"/>
      <c r="CY230" s="389"/>
      <c r="CZ230" s="389"/>
      <c r="DA230" s="389"/>
      <c r="DB230" s="389"/>
      <c r="DC230" s="389"/>
      <c r="DD230" s="389"/>
      <c r="DE230" s="389"/>
      <c r="DF230" s="389"/>
      <c r="DG230" s="389"/>
      <c r="DH230" s="389"/>
      <c r="DI230" s="389"/>
      <c r="DJ230" s="389"/>
      <c r="DK230" s="389"/>
      <c r="DL230" s="389"/>
      <c r="DM230" s="389"/>
      <c r="DN230" s="389"/>
      <c r="DO230" s="389"/>
      <c r="DP230" s="389"/>
      <c r="DQ230" s="389"/>
      <c r="DR230" s="389"/>
      <c r="DS230" s="390"/>
      <c r="DT230" s="390"/>
      <c r="DU230" s="390"/>
      <c r="DV230" s="380"/>
      <c r="DW230" s="374">
        <f>I230</f>
        <v>7688000</v>
      </c>
      <c r="DX230" s="330">
        <f>+ROUND(DW230*G230*H230,0)</f>
        <v>46128000</v>
      </c>
      <c r="DY230" s="362" t="s">
        <v>323</v>
      </c>
    </row>
    <row r="231" spans="1:132" ht="52" hidden="1" x14ac:dyDescent="0.3">
      <c r="A231" s="70">
        <v>45</v>
      </c>
      <c r="B231" s="40" t="s">
        <v>55</v>
      </c>
      <c r="C231" s="381" t="s">
        <v>143</v>
      </c>
      <c r="D231" s="40" t="s">
        <v>357</v>
      </c>
      <c r="E231" s="42" t="s">
        <v>1175</v>
      </c>
      <c r="F231" s="9" t="s">
        <v>14</v>
      </c>
      <c r="G231" s="11">
        <v>2</v>
      </c>
      <c r="H231" s="11">
        <v>3</v>
      </c>
      <c r="I231" s="303">
        <v>7688000</v>
      </c>
      <c r="J231" s="303">
        <f>I231*G231*H231</f>
        <v>46128000</v>
      </c>
      <c r="K231" s="303"/>
      <c r="L231" s="303"/>
      <c r="M231" s="303"/>
      <c r="N231" s="303"/>
      <c r="O231" s="304"/>
      <c r="P231" s="305"/>
      <c r="Q231" s="97"/>
      <c r="R231" s="97"/>
      <c r="S231" s="97"/>
      <c r="T231" s="97"/>
      <c r="U231" s="97"/>
      <c r="V231" s="97"/>
      <c r="W231" s="97"/>
      <c r="X231" s="97"/>
      <c r="Y231" s="97"/>
      <c r="Z231" s="97"/>
      <c r="AA231" s="97"/>
      <c r="AB231" s="97"/>
      <c r="AC231" s="97"/>
      <c r="AD231" s="97"/>
      <c r="AE231" s="97"/>
      <c r="AF231" s="97"/>
      <c r="AG231" s="97"/>
      <c r="AH231" s="97"/>
      <c r="AI231" s="97"/>
      <c r="AJ231" s="97"/>
      <c r="AK231" s="97"/>
      <c r="AL231" s="97"/>
      <c r="AM231" s="97"/>
      <c r="AN231" s="97"/>
      <c r="AO231" s="97"/>
      <c r="AP231" s="97"/>
      <c r="AQ231" s="97"/>
      <c r="AR231" s="97"/>
      <c r="AS231" s="97"/>
      <c r="AT231" s="97"/>
      <c r="AU231" s="97"/>
      <c r="AV231" s="97"/>
      <c r="AW231" s="97"/>
      <c r="AX231" s="97"/>
      <c r="AY231" s="97"/>
      <c r="AZ231" s="97"/>
      <c r="BA231" s="97"/>
      <c r="BB231" s="97"/>
      <c r="BC231" s="97"/>
      <c r="BD231" s="97"/>
      <c r="BE231" s="97"/>
      <c r="BF231" s="97"/>
      <c r="BG231" s="97"/>
      <c r="BH231" s="97"/>
      <c r="BI231" s="97"/>
      <c r="BJ231" s="97"/>
      <c r="BK231" s="306"/>
      <c r="BL231" s="97"/>
      <c r="BM231" s="306"/>
      <c r="BN231" s="97"/>
      <c r="BO231" s="97"/>
      <c r="BP231" s="97"/>
      <c r="BQ231" s="97"/>
      <c r="BR231" s="97"/>
      <c r="BS231" s="97"/>
      <c r="BT231" s="97"/>
      <c r="BU231" s="97"/>
      <c r="BV231" s="97"/>
      <c r="BW231" s="97"/>
      <c r="BX231" s="97"/>
      <c r="BY231" s="97"/>
      <c r="BZ231" s="97"/>
      <c r="CA231" s="97"/>
      <c r="CB231" s="97"/>
      <c r="CC231" s="97"/>
      <c r="CD231" s="97"/>
      <c r="CE231" s="97"/>
      <c r="CF231" s="97"/>
      <c r="CG231" s="97"/>
      <c r="CH231" s="97"/>
      <c r="CI231" s="97"/>
      <c r="CJ231" s="97"/>
      <c r="CK231" s="97"/>
      <c r="CL231" s="97"/>
      <c r="CM231" s="97"/>
      <c r="CN231" s="97"/>
      <c r="CO231" s="97"/>
      <c r="CP231" s="97"/>
      <c r="CQ231" s="97"/>
      <c r="CR231" s="97"/>
      <c r="CS231" s="97"/>
      <c r="CT231" s="97"/>
      <c r="CU231" s="97"/>
      <c r="CV231" s="97"/>
      <c r="CW231" s="97"/>
      <c r="CX231" s="97"/>
      <c r="CY231" s="97"/>
      <c r="CZ231" s="97"/>
      <c r="DA231" s="97"/>
      <c r="DB231" s="97"/>
      <c r="DC231" s="97"/>
      <c r="DD231" s="97"/>
      <c r="DE231" s="97"/>
      <c r="DF231" s="97"/>
      <c r="DG231" s="97"/>
      <c r="DH231" s="97"/>
      <c r="DI231" s="97"/>
      <c r="DJ231" s="97"/>
      <c r="DK231" s="97"/>
      <c r="DL231" s="97"/>
      <c r="DM231" s="97"/>
      <c r="DN231" s="97"/>
      <c r="DO231" s="97"/>
      <c r="DP231" s="97"/>
      <c r="DQ231" s="97"/>
      <c r="DR231" s="97"/>
      <c r="DS231" s="306"/>
      <c r="DT231" s="306"/>
      <c r="DU231" s="306"/>
      <c r="DV231" s="12"/>
      <c r="DW231" s="371">
        <f>I231</f>
        <v>7688000</v>
      </c>
      <c r="DX231" s="326">
        <f>+ROUND(DW231*G231*H231,0)</f>
        <v>46128000</v>
      </c>
      <c r="DY231" s="161" t="s">
        <v>323</v>
      </c>
    </row>
    <row r="232" spans="1:132" ht="78" hidden="1" x14ac:dyDescent="0.3">
      <c r="A232" s="70">
        <v>46</v>
      </c>
      <c r="B232" s="9" t="s">
        <v>55</v>
      </c>
      <c r="C232" s="9" t="s">
        <v>143</v>
      </c>
      <c r="D232" s="9" t="s">
        <v>118</v>
      </c>
      <c r="E232" s="10" t="s">
        <v>119</v>
      </c>
      <c r="F232" s="9" t="s">
        <v>120</v>
      </c>
      <c r="G232" s="11">
        <v>15</v>
      </c>
      <c r="H232" s="11">
        <v>9</v>
      </c>
      <c r="I232" s="191"/>
      <c r="J232" s="191"/>
      <c r="K232" s="191"/>
      <c r="L232" s="191"/>
      <c r="M232" s="191"/>
      <c r="N232" s="191"/>
      <c r="O232" s="211"/>
      <c r="P232" s="21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c r="BI232" s="32"/>
      <c r="BJ232" s="32"/>
      <c r="BK232" s="192"/>
      <c r="BL232" s="32"/>
      <c r="BM232" s="192"/>
      <c r="BN232" s="32"/>
      <c r="BO232" s="32"/>
      <c r="BP232" s="32"/>
      <c r="BQ232" s="32"/>
      <c r="BR232" s="32"/>
      <c r="BS232" s="32"/>
      <c r="BT232" s="32"/>
      <c r="BU232" s="32"/>
      <c r="BV232" s="32"/>
      <c r="BW232" s="32"/>
      <c r="BX232" s="32"/>
      <c r="BY232" s="32"/>
      <c r="BZ232" s="32"/>
      <c r="CA232" s="32"/>
      <c r="CB232" s="32"/>
      <c r="CC232" s="32"/>
      <c r="CD232" s="32"/>
      <c r="CE232" s="32"/>
      <c r="CF232" s="32"/>
      <c r="CG232" s="32"/>
      <c r="CH232" s="32"/>
      <c r="CI232" s="32"/>
      <c r="CJ232" s="32"/>
      <c r="CK232" s="32"/>
      <c r="CL232" s="32"/>
      <c r="CM232" s="32"/>
      <c r="CN232" s="32"/>
      <c r="CO232" s="32">
        <v>200000</v>
      </c>
      <c r="CP232" s="32">
        <f>CO232*G232*H232</f>
        <v>27000000</v>
      </c>
      <c r="CQ232" s="225">
        <v>190000</v>
      </c>
      <c r="CR232" s="32">
        <f>CQ232*G232*H232</f>
        <v>25650000</v>
      </c>
      <c r="CS232" s="224">
        <v>150000</v>
      </c>
      <c r="CT232" s="32">
        <f>CS232*G232*H232</f>
        <v>20250000</v>
      </c>
      <c r="CU232" s="225">
        <v>190000</v>
      </c>
      <c r="CV232" s="32">
        <f>CU232*G232*H232</f>
        <v>25650000</v>
      </c>
      <c r="CW232" s="245"/>
      <c r="CX232" s="32"/>
      <c r="CY232" s="245"/>
      <c r="CZ232" s="32"/>
      <c r="DA232" s="32"/>
      <c r="DB232" s="32"/>
      <c r="DC232" s="245"/>
      <c r="DD232" s="32"/>
      <c r="DE232" s="32"/>
      <c r="DF232" s="32"/>
      <c r="DG232" s="32"/>
      <c r="DH232" s="32"/>
      <c r="DI232" s="32"/>
      <c r="DJ232" s="32"/>
      <c r="DK232" s="32"/>
      <c r="DL232" s="32"/>
      <c r="DM232" s="32"/>
      <c r="DN232" s="32"/>
      <c r="DO232" s="32"/>
      <c r="DP232" s="32"/>
      <c r="DQ232" s="32"/>
      <c r="DR232" s="32"/>
      <c r="DS232" s="13">
        <f>+MEDIAN(CO232,CQ232,CS232,CU232)</f>
        <v>190000</v>
      </c>
      <c r="DT232" s="13">
        <f>+AVERAGE(CO232,CQ232,CS232,CU232)</f>
        <v>182500</v>
      </c>
      <c r="DU232" s="13">
        <f>+STDEV(CO232,CQ232,CS232,CU232)</f>
        <v>22173.557826083452</v>
      </c>
      <c r="DV232" s="17">
        <f>DU232/DT232</f>
        <v>0.12149894699223809</v>
      </c>
      <c r="DW232" s="373">
        <f>+ROUNDUP(IF(DV232&lt;15%,DT232,DS232),0)</f>
        <v>182500</v>
      </c>
      <c r="DX232" s="326">
        <f>+ROUND(DW232*G232*H232,0)</f>
        <v>24637500</v>
      </c>
      <c r="DY232" s="10" t="s">
        <v>448</v>
      </c>
    </row>
    <row r="233" spans="1:132" ht="52" hidden="1" x14ac:dyDescent="0.3">
      <c r="A233" s="70">
        <v>47</v>
      </c>
      <c r="B233" s="9" t="s">
        <v>55</v>
      </c>
      <c r="C233" s="9" t="s">
        <v>143</v>
      </c>
      <c r="D233" s="9" t="s">
        <v>268</v>
      </c>
      <c r="E233" s="10" t="s">
        <v>91</v>
      </c>
      <c r="F233" s="9" t="s">
        <v>19</v>
      </c>
      <c r="G233" s="11">
        <v>300</v>
      </c>
      <c r="H233" s="11">
        <v>1</v>
      </c>
      <c r="I233" s="191"/>
      <c r="J233" s="191"/>
      <c r="K233" s="191"/>
      <c r="L233" s="191"/>
      <c r="M233" s="191"/>
      <c r="N233" s="191"/>
      <c r="O233" s="211"/>
      <c r="P233" s="21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c r="BI233" s="32"/>
      <c r="BJ233" s="32"/>
      <c r="BK233" s="246"/>
      <c r="BL233" s="32"/>
      <c r="BM233" s="246">
        <v>2200</v>
      </c>
      <c r="BN233" s="32">
        <f>BM233*G233</f>
        <v>660000</v>
      </c>
      <c r="BO233" s="32"/>
      <c r="BP233" s="32"/>
      <c r="BQ233" s="246">
        <f>+ROUND(1200+(1200*19%),0)</f>
        <v>1428</v>
      </c>
      <c r="BR233" s="32">
        <f>BQ233*G233</f>
        <v>428400</v>
      </c>
      <c r="BS233" s="32"/>
      <c r="BT233" s="32"/>
      <c r="BU233" s="32"/>
      <c r="BV233" s="32"/>
      <c r="BW233" s="32"/>
      <c r="BX233" s="32"/>
      <c r="BY233" s="32"/>
      <c r="BZ233" s="32"/>
      <c r="CA233" s="32"/>
      <c r="CB233" s="32"/>
      <c r="CC233" s="32"/>
      <c r="CD233" s="32"/>
      <c r="CE233" s="32"/>
      <c r="CF233" s="32"/>
      <c r="CG233" s="32"/>
      <c r="CH233" s="32"/>
      <c r="CI233" s="32"/>
      <c r="CJ233" s="32"/>
      <c r="CK233" s="32"/>
      <c r="CL233" s="32"/>
      <c r="CM233" s="32"/>
      <c r="CN233" s="32"/>
      <c r="CO233" s="32"/>
      <c r="CP233" s="32"/>
      <c r="CQ233" s="32"/>
      <c r="CR233" s="32"/>
      <c r="CS233" s="32"/>
      <c r="CT233" s="32"/>
      <c r="CU233" s="32"/>
      <c r="CV233" s="32"/>
      <c r="CW233" s="32"/>
      <c r="CX233" s="32"/>
      <c r="CY233" s="32"/>
      <c r="CZ233" s="32"/>
      <c r="DA233" s="32"/>
      <c r="DB233" s="32"/>
      <c r="DC233" s="32"/>
      <c r="DD233" s="32"/>
      <c r="DE233" s="32"/>
      <c r="DF233" s="32"/>
      <c r="DG233" s="32"/>
      <c r="DH233" s="32"/>
      <c r="DI233" s="32"/>
      <c r="DJ233" s="32"/>
      <c r="DK233" s="32"/>
      <c r="DL233" s="32"/>
      <c r="DM233" s="32"/>
      <c r="DN233" s="32"/>
      <c r="DO233" s="32"/>
      <c r="DP233" s="32"/>
      <c r="DQ233" s="32"/>
      <c r="DR233" s="32"/>
      <c r="DS233" s="13">
        <f>+MEDIAN(BM233,BQ233)</f>
        <v>1814</v>
      </c>
      <c r="DT233" s="13">
        <f>+AVERAGE(BM233,BQ233)</f>
        <v>1814</v>
      </c>
      <c r="DU233" s="13">
        <f>+STDEV(BM233,BQ233)</f>
        <v>545.88643507601466</v>
      </c>
      <c r="DV233" s="17">
        <f>DU233/DT233</f>
        <v>0.30092967755017347</v>
      </c>
      <c r="DW233" s="373">
        <f>+ROUNDUP(IF(DV233&lt;15%,DT233,DS233),0)</f>
        <v>1814</v>
      </c>
      <c r="DX233" s="326">
        <f>+ROUND(DW233*G233*H233,0)</f>
        <v>544200</v>
      </c>
      <c r="DY233" s="10" t="s">
        <v>309</v>
      </c>
    </row>
    <row r="234" spans="1:132" ht="208" hidden="1" x14ac:dyDescent="0.3">
      <c r="A234" s="431">
        <v>48</v>
      </c>
      <c r="B234" s="416" t="s">
        <v>55</v>
      </c>
      <c r="C234" s="416" t="s">
        <v>143</v>
      </c>
      <c r="D234" s="416" t="s">
        <v>403</v>
      </c>
      <c r="E234" s="418" t="s">
        <v>1101</v>
      </c>
      <c r="F234" s="416" t="s">
        <v>332</v>
      </c>
      <c r="G234" s="420">
        <v>1</v>
      </c>
      <c r="H234" s="420">
        <v>1</v>
      </c>
      <c r="I234" s="421"/>
      <c r="J234" s="421"/>
      <c r="K234" s="421"/>
      <c r="L234" s="421"/>
      <c r="M234" s="421"/>
      <c r="N234" s="421"/>
      <c r="O234" s="422"/>
      <c r="P234" s="432"/>
      <c r="Q234" s="424"/>
      <c r="R234" s="424"/>
      <c r="S234" s="424"/>
      <c r="T234" s="424"/>
      <c r="U234" s="424"/>
      <c r="V234" s="424"/>
      <c r="W234" s="424"/>
      <c r="X234" s="424"/>
      <c r="Y234" s="424"/>
      <c r="Z234" s="424"/>
      <c r="AA234" s="424"/>
      <c r="AB234" s="424"/>
      <c r="AC234" s="424"/>
      <c r="AD234" s="424"/>
      <c r="AE234" s="424"/>
      <c r="AF234" s="424"/>
      <c r="AG234" s="424"/>
      <c r="AH234" s="424"/>
      <c r="AI234" s="424"/>
      <c r="AJ234" s="424"/>
      <c r="AK234" s="424"/>
      <c r="AL234" s="424"/>
      <c r="AM234" s="424"/>
      <c r="AN234" s="424"/>
      <c r="AO234" s="424"/>
      <c r="AP234" s="424"/>
      <c r="AQ234" s="424"/>
      <c r="AR234" s="424"/>
      <c r="AS234" s="424"/>
      <c r="AT234" s="424"/>
      <c r="AU234" s="424"/>
      <c r="AV234" s="424"/>
      <c r="AW234" s="424"/>
      <c r="AX234" s="424"/>
      <c r="AY234" s="424"/>
      <c r="AZ234" s="424"/>
      <c r="BA234" s="424"/>
      <c r="BB234" s="424"/>
      <c r="BC234" s="424"/>
      <c r="BD234" s="424"/>
      <c r="BE234" s="424"/>
      <c r="BF234" s="424"/>
      <c r="BG234" s="424"/>
      <c r="BH234" s="424"/>
      <c r="BI234" s="424"/>
      <c r="BJ234" s="424"/>
      <c r="BK234" s="425"/>
      <c r="BL234" s="424"/>
      <c r="BM234" s="425"/>
      <c r="BN234" s="424"/>
      <c r="BO234" s="424"/>
      <c r="BP234" s="424"/>
      <c r="BQ234" s="424"/>
      <c r="BR234" s="424"/>
      <c r="BS234" s="424"/>
      <c r="BT234" s="424"/>
      <c r="BU234" s="424"/>
      <c r="BV234" s="424"/>
      <c r="BW234" s="424"/>
      <c r="BX234" s="424"/>
      <c r="BY234" s="424"/>
      <c r="BZ234" s="424"/>
      <c r="CA234" s="424"/>
      <c r="CB234" s="424"/>
      <c r="CC234" s="424"/>
      <c r="CD234" s="424"/>
      <c r="CE234" s="424"/>
      <c r="CF234" s="424"/>
      <c r="CG234" s="424"/>
      <c r="CH234" s="424"/>
      <c r="CI234" s="424"/>
      <c r="CJ234" s="424"/>
      <c r="CK234" s="424"/>
      <c r="CL234" s="424"/>
      <c r="CM234" s="424"/>
      <c r="CN234" s="424"/>
      <c r="CO234" s="424"/>
      <c r="CP234" s="424"/>
      <c r="CQ234" s="424"/>
      <c r="CR234" s="424"/>
      <c r="CS234" s="424"/>
      <c r="CT234" s="424"/>
      <c r="CU234" s="424"/>
      <c r="CV234" s="424"/>
      <c r="CW234" s="424"/>
      <c r="CX234" s="424"/>
      <c r="CY234" s="424"/>
      <c r="CZ234" s="424"/>
      <c r="DA234" s="424"/>
      <c r="DB234" s="424"/>
      <c r="DC234" s="424"/>
      <c r="DD234" s="424"/>
      <c r="DE234" s="424"/>
      <c r="DF234" s="424"/>
      <c r="DG234" s="424"/>
      <c r="DH234" s="424"/>
      <c r="DI234" s="424"/>
      <c r="DJ234" s="424"/>
      <c r="DK234" s="424"/>
      <c r="DL234" s="424"/>
      <c r="DM234" s="424"/>
      <c r="DN234" s="424"/>
      <c r="DO234" s="424"/>
      <c r="DP234" s="424"/>
      <c r="DQ234" s="424"/>
      <c r="DR234" s="424"/>
      <c r="DS234" s="425"/>
      <c r="DT234" s="425"/>
      <c r="DU234" s="425"/>
      <c r="DV234" s="569"/>
      <c r="DW234" s="428">
        <f>10500000*1.34</f>
        <v>14070000</v>
      </c>
      <c r="DX234" s="426">
        <f>+ROUND(DW234*G234*H234,0)</f>
        <v>14070000</v>
      </c>
      <c r="DY234" s="429" t="s">
        <v>1102</v>
      </c>
    </row>
    <row r="235" spans="1:132" s="63" customFormat="1" hidden="1" x14ac:dyDescent="0.3">
      <c r="A235" s="66" t="s">
        <v>404</v>
      </c>
      <c r="B235" s="66"/>
      <c r="C235" s="66"/>
      <c r="D235" s="66"/>
      <c r="E235" s="66"/>
      <c r="F235" s="67"/>
      <c r="G235" s="67"/>
      <c r="H235" s="67"/>
      <c r="I235" s="214"/>
      <c r="J235" s="214"/>
      <c r="K235" s="214"/>
      <c r="L235" s="214"/>
      <c r="M235" s="214"/>
      <c r="N235" s="214"/>
      <c r="O235" s="215"/>
      <c r="P235" s="215"/>
      <c r="Q235" s="215"/>
      <c r="R235" s="215"/>
      <c r="S235" s="215"/>
      <c r="T235" s="215"/>
      <c r="U235" s="215"/>
      <c r="V235" s="215"/>
      <c r="W235" s="215"/>
      <c r="X235" s="215"/>
      <c r="Y235" s="215"/>
      <c r="Z235" s="215"/>
      <c r="AA235" s="215"/>
      <c r="AB235" s="215"/>
      <c r="AC235" s="215"/>
      <c r="AD235" s="215"/>
      <c r="AE235" s="215"/>
      <c r="AF235" s="215"/>
      <c r="AG235" s="215"/>
      <c r="AH235" s="215"/>
      <c r="AI235" s="215"/>
      <c r="AJ235" s="215"/>
      <c r="AK235" s="215"/>
      <c r="AL235" s="215"/>
      <c r="AM235" s="215"/>
      <c r="AN235" s="215"/>
      <c r="AO235" s="215"/>
      <c r="AP235" s="215"/>
      <c r="AQ235" s="215"/>
      <c r="AR235" s="215"/>
      <c r="AS235" s="215"/>
      <c r="AT235" s="215"/>
      <c r="AU235" s="215"/>
      <c r="AV235" s="215"/>
      <c r="AW235" s="215"/>
      <c r="AX235" s="215"/>
      <c r="AY235" s="215"/>
      <c r="AZ235" s="215"/>
      <c r="BA235" s="215"/>
      <c r="BB235" s="215"/>
      <c r="BC235" s="215"/>
      <c r="BD235" s="215"/>
      <c r="BE235" s="215"/>
      <c r="BF235" s="215"/>
      <c r="BG235" s="215"/>
      <c r="BH235" s="215"/>
      <c r="BI235" s="215"/>
      <c r="BJ235" s="215"/>
      <c r="BK235" s="215"/>
      <c r="BL235" s="216"/>
      <c r="BM235" s="215"/>
      <c r="BN235" s="216"/>
      <c r="BO235" s="216"/>
      <c r="BP235" s="216"/>
      <c r="BQ235" s="216"/>
      <c r="BR235" s="216"/>
      <c r="BS235" s="216"/>
      <c r="BT235" s="216"/>
      <c r="BU235" s="216"/>
      <c r="BV235" s="216"/>
      <c r="BW235" s="216"/>
      <c r="BX235" s="216"/>
      <c r="BY235" s="216"/>
      <c r="BZ235" s="216"/>
      <c r="CA235" s="216"/>
      <c r="CB235" s="216"/>
      <c r="CC235" s="216"/>
      <c r="CD235" s="216"/>
      <c r="CE235" s="216"/>
      <c r="CF235" s="216"/>
      <c r="CG235" s="216"/>
      <c r="CH235" s="216"/>
      <c r="CI235" s="216"/>
      <c r="CJ235" s="216"/>
      <c r="CK235" s="216"/>
      <c r="CL235" s="216"/>
      <c r="CM235" s="216"/>
      <c r="CN235" s="216"/>
      <c r="CO235" s="216"/>
      <c r="CP235" s="216"/>
      <c r="CQ235" s="216"/>
      <c r="CR235" s="216"/>
      <c r="CS235" s="216"/>
      <c r="CT235" s="216"/>
      <c r="CU235" s="216"/>
      <c r="CV235" s="216"/>
      <c r="CW235" s="216"/>
      <c r="CX235" s="216"/>
      <c r="CY235" s="216"/>
      <c r="CZ235" s="216"/>
      <c r="DA235" s="216"/>
      <c r="DB235" s="216"/>
      <c r="DC235" s="216"/>
      <c r="DD235" s="216"/>
      <c r="DE235" s="216"/>
      <c r="DF235" s="216"/>
      <c r="DG235" s="216"/>
      <c r="DH235" s="216"/>
      <c r="DI235" s="216"/>
      <c r="DJ235" s="216"/>
      <c r="DK235" s="216"/>
      <c r="DL235" s="216"/>
      <c r="DM235" s="216"/>
      <c r="DN235" s="216"/>
      <c r="DO235" s="216"/>
      <c r="DP235" s="216"/>
      <c r="DQ235" s="216"/>
      <c r="DR235" s="216"/>
      <c r="DS235" s="215"/>
      <c r="DT235" s="215"/>
      <c r="DU235" s="215"/>
      <c r="DV235" s="68"/>
      <c r="DW235" s="69">
        <f>SUM(DW230:DW234)</f>
        <v>29630314</v>
      </c>
      <c r="DX235" s="69">
        <f>SUM(DX230:DX234)</f>
        <v>131507700</v>
      </c>
      <c r="DY235" s="165"/>
      <c r="DZ235" s="609"/>
      <c r="EA235" s="609"/>
      <c r="EB235" s="609"/>
    </row>
    <row r="236" spans="1:132" ht="52" hidden="1" x14ac:dyDescent="0.3">
      <c r="A236" s="70">
        <v>49</v>
      </c>
      <c r="B236" s="40" t="s">
        <v>55</v>
      </c>
      <c r="C236" s="381" t="s">
        <v>144</v>
      </c>
      <c r="D236" s="40" t="s">
        <v>357</v>
      </c>
      <c r="E236" s="42" t="s">
        <v>1175</v>
      </c>
      <c r="F236" s="40" t="s">
        <v>14</v>
      </c>
      <c r="G236" s="43">
        <v>2</v>
      </c>
      <c r="H236" s="43">
        <v>3</v>
      </c>
      <c r="I236" s="386">
        <v>7688000</v>
      </c>
      <c r="J236" s="386">
        <f>I236*G236*H236</f>
        <v>46128000</v>
      </c>
      <c r="K236" s="386"/>
      <c r="L236" s="386"/>
      <c r="M236" s="386"/>
      <c r="N236" s="386"/>
      <c r="O236" s="387"/>
      <c r="P236" s="393"/>
      <c r="Q236" s="389"/>
      <c r="R236" s="389"/>
      <c r="S236" s="389"/>
      <c r="T236" s="389"/>
      <c r="U236" s="389"/>
      <c r="V236" s="389"/>
      <c r="W236" s="389"/>
      <c r="X236" s="389"/>
      <c r="Y236" s="389"/>
      <c r="Z236" s="389"/>
      <c r="AA236" s="389"/>
      <c r="AB236" s="389"/>
      <c r="AC236" s="389"/>
      <c r="AD236" s="389"/>
      <c r="AE236" s="389"/>
      <c r="AF236" s="389"/>
      <c r="AG236" s="389"/>
      <c r="AH236" s="389"/>
      <c r="AI236" s="389"/>
      <c r="AJ236" s="389"/>
      <c r="AK236" s="389"/>
      <c r="AL236" s="389"/>
      <c r="AM236" s="389"/>
      <c r="AN236" s="389"/>
      <c r="AO236" s="389"/>
      <c r="AP236" s="389"/>
      <c r="AQ236" s="389"/>
      <c r="AR236" s="389"/>
      <c r="AS236" s="389"/>
      <c r="AT236" s="389"/>
      <c r="AU236" s="389"/>
      <c r="AV236" s="389"/>
      <c r="AW236" s="389"/>
      <c r="AX236" s="389"/>
      <c r="AY236" s="389"/>
      <c r="AZ236" s="389"/>
      <c r="BA236" s="389"/>
      <c r="BB236" s="389"/>
      <c r="BC236" s="389"/>
      <c r="BD236" s="389"/>
      <c r="BE236" s="389"/>
      <c r="BF236" s="389"/>
      <c r="BG236" s="389"/>
      <c r="BH236" s="389"/>
      <c r="BI236" s="389"/>
      <c r="BJ236" s="389"/>
      <c r="BK236" s="390"/>
      <c r="BL236" s="389"/>
      <c r="BM236" s="390"/>
      <c r="BN236" s="389"/>
      <c r="BO236" s="389"/>
      <c r="BP236" s="389"/>
      <c r="BQ236" s="389"/>
      <c r="BR236" s="389"/>
      <c r="BS236" s="389"/>
      <c r="BT236" s="389"/>
      <c r="BU236" s="389"/>
      <c r="BV236" s="389"/>
      <c r="BW236" s="389"/>
      <c r="BX236" s="389"/>
      <c r="BY236" s="389"/>
      <c r="BZ236" s="389"/>
      <c r="CA236" s="389"/>
      <c r="CB236" s="389"/>
      <c r="CC236" s="389"/>
      <c r="CD236" s="389"/>
      <c r="CE236" s="389"/>
      <c r="CF236" s="389"/>
      <c r="CG236" s="389"/>
      <c r="CH236" s="389"/>
      <c r="CI236" s="389"/>
      <c r="CJ236" s="389"/>
      <c r="CK236" s="389"/>
      <c r="CL236" s="389"/>
      <c r="CM236" s="389"/>
      <c r="CN236" s="389"/>
      <c r="CO236" s="389"/>
      <c r="CP236" s="389"/>
      <c r="CQ236" s="389"/>
      <c r="CR236" s="389"/>
      <c r="CS236" s="389"/>
      <c r="CT236" s="389"/>
      <c r="CU236" s="389"/>
      <c r="CV236" s="389"/>
      <c r="CW236" s="389"/>
      <c r="CX236" s="389"/>
      <c r="CY236" s="389"/>
      <c r="CZ236" s="389"/>
      <c r="DA236" s="389"/>
      <c r="DB236" s="389"/>
      <c r="DC236" s="389"/>
      <c r="DD236" s="389"/>
      <c r="DE236" s="389"/>
      <c r="DF236" s="389"/>
      <c r="DG236" s="389"/>
      <c r="DH236" s="389"/>
      <c r="DI236" s="389"/>
      <c r="DJ236" s="389"/>
      <c r="DK236" s="389"/>
      <c r="DL236" s="389"/>
      <c r="DM236" s="389"/>
      <c r="DN236" s="389"/>
      <c r="DO236" s="389"/>
      <c r="DP236" s="389"/>
      <c r="DQ236" s="389"/>
      <c r="DR236" s="389"/>
      <c r="DS236" s="390"/>
      <c r="DT236" s="390"/>
      <c r="DU236" s="390"/>
      <c r="DV236" s="380"/>
      <c r="DW236" s="374">
        <f>I236</f>
        <v>7688000</v>
      </c>
      <c r="DX236" s="330">
        <f t="shared" ref="DX236:DX262" si="44">+ROUND(DW236*G236*H236,0)</f>
        <v>46128000</v>
      </c>
      <c r="DY236" s="362" t="s">
        <v>323</v>
      </c>
    </row>
    <row r="237" spans="1:132" ht="52" hidden="1" x14ac:dyDescent="0.3">
      <c r="A237" s="19">
        <v>50</v>
      </c>
      <c r="B237" s="9" t="s">
        <v>55</v>
      </c>
      <c r="C237" s="93" t="s">
        <v>144</v>
      </c>
      <c r="D237" s="9" t="s">
        <v>357</v>
      </c>
      <c r="E237" s="42" t="s">
        <v>1175</v>
      </c>
      <c r="F237" s="9" t="s">
        <v>14</v>
      </c>
      <c r="G237" s="11">
        <v>2</v>
      </c>
      <c r="H237" s="11">
        <v>3</v>
      </c>
      <c r="I237" s="303">
        <v>7688000</v>
      </c>
      <c r="J237" s="303">
        <f>I237*G237*H237</f>
        <v>46128000</v>
      </c>
      <c r="K237" s="303"/>
      <c r="L237" s="303"/>
      <c r="M237" s="303"/>
      <c r="N237" s="303"/>
      <c r="O237" s="304"/>
      <c r="P237" s="305"/>
      <c r="Q237" s="97"/>
      <c r="R237" s="97"/>
      <c r="S237" s="97"/>
      <c r="T237" s="97"/>
      <c r="U237" s="97"/>
      <c r="V237" s="97"/>
      <c r="W237" s="97"/>
      <c r="X237" s="97"/>
      <c r="Y237" s="97"/>
      <c r="Z237" s="97"/>
      <c r="AA237" s="97"/>
      <c r="AB237" s="97"/>
      <c r="AC237" s="97"/>
      <c r="AD237" s="97"/>
      <c r="AE237" s="97"/>
      <c r="AF237" s="97"/>
      <c r="AG237" s="97"/>
      <c r="AH237" s="97"/>
      <c r="AI237" s="97"/>
      <c r="AJ237" s="97"/>
      <c r="AK237" s="97"/>
      <c r="AL237" s="97"/>
      <c r="AM237" s="97"/>
      <c r="AN237" s="97"/>
      <c r="AO237" s="97"/>
      <c r="AP237" s="97"/>
      <c r="AQ237" s="97"/>
      <c r="AR237" s="97"/>
      <c r="AS237" s="97"/>
      <c r="AT237" s="97"/>
      <c r="AU237" s="97"/>
      <c r="AV237" s="97"/>
      <c r="AW237" s="97"/>
      <c r="AX237" s="97"/>
      <c r="AY237" s="97"/>
      <c r="AZ237" s="97"/>
      <c r="BA237" s="97"/>
      <c r="BB237" s="97"/>
      <c r="BC237" s="97"/>
      <c r="BD237" s="97"/>
      <c r="BE237" s="97"/>
      <c r="BF237" s="97"/>
      <c r="BG237" s="97"/>
      <c r="BH237" s="97"/>
      <c r="BI237" s="97"/>
      <c r="BJ237" s="97"/>
      <c r="BK237" s="306"/>
      <c r="BL237" s="97"/>
      <c r="BM237" s="306"/>
      <c r="BN237" s="97"/>
      <c r="BO237" s="97"/>
      <c r="BP237" s="97"/>
      <c r="BQ237" s="97"/>
      <c r="BR237" s="97"/>
      <c r="BS237" s="97"/>
      <c r="BT237" s="97"/>
      <c r="BU237" s="97"/>
      <c r="BV237" s="97"/>
      <c r="BW237" s="97"/>
      <c r="BX237" s="97"/>
      <c r="BY237" s="97"/>
      <c r="BZ237" s="97"/>
      <c r="CA237" s="97"/>
      <c r="CB237" s="97"/>
      <c r="CC237" s="97"/>
      <c r="CD237" s="97"/>
      <c r="CE237" s="97"/>
      <c r="CF237" s="97"/>
      <c r="CG237" s="97"/>
      <c r="CH237" s="97"/>
      <c r="CI237" s="97"/>
      <c r="CJ237" s="97"/>
      <c r="CK237" s="97"/>
      <c r="CL237" s="97"/>
      <c r="CM237" s="97"/>
      <c r="CN237" s="97"/>
      <c r="CO237" s="97"/>
      <c r="CP237" s="97"/>
      <c r="CQ237" s="97"/>
      <c r="CR237" s="97"/>
      <c r="CS237" s="97"/>
      <c r="CT237" s="97"/>
      <c r="CU237" s="97"/>
      <c r="CV237" s="97"/>
      <c r="CW237" s="97"/>
      <c r="CX237" s="97"/>
      <c r="CY237" s="97"/>
      <c r="CZ237" s="97"/>
      <c r="DA237" s="97"/>
      <c r="DB237" s="97"/>
      <c r="DC237" s="97"/>
      <c r="DD237" s="97"/>
      <c r="DE237" s="97"/>
      <c r="DF237" s="97"/>
      <c r="DG237" s="97"/>
      <c r="DH237" s="97"/>
      <c r="DI237" s="97"/>
      <c r="DJ237" s="97"/>
      <c r="DK237" s="97"/>
      <c r="DL237" s="97"/>
      <c r="DM237" s="97"/>
      <c r="DN237" s="97"/>
      <c r="DO237" s="97"/>
      <c r="DP237" s="97"/>
      <c r="DQ237" s="97"/>
      <c r="DR237" s="97"/>
      <c r="DS237" s="306"/>
      <c r="DT237" s="306"/>
      <c r="DU237" s="306"/>
      <c r="DV237" s="12"/>
      <c r="DW237" s="371">
        <f>I237</f>
        <v>7688000</v>
      </c>
      <c r="DX237" s="326">
        <f t="shared" si="44"/>
        <v>46128000</v>
      </c>
      <c r="DY237" s="161" t="s">
        <v>323</v>
      </c>
    </row>
    <row r="238" spans="1:132" ht="77.150000000000006" hidden="1" customHeight="1" x14ac:dyDescent="0.3">
      <c r="A238" s="70">
        <v>51</v>
      </c>
      <c r="B238" s="9" t="s">
        <v>55</v>
      </c>
      <c r="C238" s="9" t="s">
        <v>144</v>
      </c>
      <c r="D238" s="9" t="s">
        <v>118</v>
      </c>
      <c r="E238" s="10" t="s">
        <v>119</v>
      </c>
      <c r="F238" s="9" t="s">
        <v>120</v>
      </c>
      <c r="G238" s="11">
        <v>15</v>
      </c>
      <c r="H238" s="11">
        <v>11</v>
      </c>
      <c r="I238" s="191"/>
      <c r="K238" s="191"/>
      <c r="L238" s="191"/>
      <c r="M238" s="191"/>
      <c r="N238" s="191"/>
      <c r="O238" s="211"/>
      <c r="P238" s="212"/>
      <c r="Q238" s="32"/>
      <c r="R238" s="32"/>
      <c r="S238" s="32"/>
      <c r="T238" s="32"/>
      <c r="U238" s="32"/>
      <c r="V238" s="32"/>
      <c r="W238" s="32"/>
      <c r="X238" s="32"/>
      <c r="Y238" s="32"/>
      <c r="Z238" s="32"/>
      <c r="AA238" s="32"/>
      <c r="AB238" s="32"/>
      <c r="AC238" s="32"/>
      <c r="AD238" s="32"/>
      <c r="AE238" s="32"/>
      <c r="AF238" s="32"/>
      <c r="AG238" s="32"/>
      <c r="AH238" s="32"/>
      <c r="AI238" s="32"/>
      <c r="AJ238" s="32"/>
      <c r="AK238" s="32"/>
      <c r="AL238" s="32"/>
      <c r="AM238" s="32"/>
      <c r="AN238" s="32"/>
      <c r="AO238" s="32"/>
      <c r="AP238" s="32"/>
      <c r="AQ238" s="32"/>
      <c r="AR238" s="32"/>
      <c r="AS238" s="32"/>
      <c r="AT238" s="32"/>
      <c r="AU238" s="32"/>
      <c r="AV238" s="32"/>
      <c r="AW238" s="32"/>
      <c r="AX238" s="32"/>
      <c r="AY238" s="32"/>
      <c r="AZ238" s="32"/>
      <c r="BA238" s="32"/>
      <c r="BB238" s="32"/>
      <c r="BC238" s="32"/>
      <c r="BD238" s="32"/>
      <c r="BE238" s="32"/>
      <c r="BF238" s="32"/>
      <c r="BG238" s="32"/>
      <c r="BH238" s="32"/>
      <c r="BI238" s="32"/>
      <c r="BJ238" s="32"/>
      <c r="BK238" s="192"/>
      <c r="BL238" s="32"/>
      <c r="BM238" s="192"/>
      <c r="BN238" s="32"/>
      <c r="BO238" s="32"/>
      <c r="BP238" s="32"/>
      <c r="BQ238" s="32"/>
      <c r="BR238" s="32"/>
      <c r="BS238" s="32"/>
      <c r="BT238" s="32"/>
      <c r="BU238" s="32"/>
      <c r="BV238" s="32"/>
      <c r="BW238" s="32"/>
      <c r="BX238" s="32"/>
      <c r="BY238" s="32"/>
      <c r="BZ238" s="32"/>
      <c r="CA238" s="32"/>
      <c r="CB238" s="32"/>
      <c r="CC238" s="32"/>
      <c r="CD238" s="32"/>
      <c r="CE238" s="32"/>
      <c r="CF238" s="32"/>
      <c r="CG238" s="32"/>
      <c r="CH238" s="32"/>
      <c r="CI238" s="32"/>
      <c r="CJ238" s="32"/>
      <c r="CK238" s="32"/>
      <c r="CL238" s="32"/>
      <c r="CM238" s="32"/>
      <c r="CN238" s="32"/>
      <c r="CO238" s="32">
        <v>200000</v>
      </c>
      <c r="CP238" s="32">
        <f>CO238*G238*H238</f>
        <v>33000000</v>
      </c>
      <c r="CQ238" s="225">
        <v>190000</v>
      </c>
      <c r="CR238" s="32">
        <f>CQ238*G238*H238</f>
        <v>31350000</v>
      </c>
      <c r="CS238" s="224">
        <v>150000</v>
      </c>
      <c r="CT238" s="32">
        <f>CS238*G238*H238</f>
        <v>24750000</v>
      </c>
      <c r="CU238" s="225">
        <v>190000</v>
      </c>
      <c r="CV238" s="32">
        <f>CU238*G238*H238</f>
        <v>31350000</v>
      </c>
      <c r="CW238" s="245"/>
      <c r="CX238" s="32"/>
      <c r="CY238" s="245"/>
      <c r="CZ238" s="32"/>
      <c r="DA238" s="32"/>
      <c r="DB238" s="32"/>
      <c r="DC238" s="245"/>
      <c r="DD238" s="32"/>
      <c r="DE238" s="32"/>
      <c r="DF238" s="32"/>
      <c r="DG238" s="32"/>
      <c r="DH238" s="32"/>
      <c r="DI238" s="32"/>
      <c r="DJ238" s="32"/>
      <c r="DK238" s="32"/>
      <c r="DL238" s="32"/>
      <c r="DM238" s="32"/>
      <c r="DN238" s="32"/>
      <c r="DO238" s="32"/>
      <c r="DP238" s="32"/>
      <c r="DQ238" s="32"/>
      <c r="DR238" s="32"/>
      <c r="DS238" s="13">
        <f>+MEDIAN(CO238,CQ238,CS238,CU238)</f>
        <v>190000</v>
      </c>
      <c r="DT238" s="13">
        <f>+AVERAGE(CO238,CQ238,CS238,CU238)</f>
        <v>182500</v>
      </c>
      <c r="DU238" s="13">
        <f>+STDEV(CO238,CQ238,CS238,CU238)</f>
        <v>22173.557826083452</v>
      </c>
      <c r="DV238" s="17">
        <f t="shared" ref="DV238:DV262" si="45">DU238/DT238</f>
        <v>0.12149894699223809</v>
      </c>
      <c r="DW238" s="373">
        <f>+ROUNDUP(IF(DV238&lt;15%,DT238,DS238),0)</f>
        <v>182500</v>
      </c>
      <c r="DX238" s="326">
        <f t="shared" si="44"/>
        <v>30112500</v>
      </c>
      <c r="DY238" s="10" t="s">
        <v>448</v>
      </c>
    </row>
    <row r="239" spans="1:132" ht="39" hidden="1" x14ac:dyDescent="0.3">
      <c r="A239" s="19">
        <v>52</v>
      </c>
      <c r="B239" s="9" t="s">
        <v>55</v>
      </c>
      <c r="C239" s="9" t="s">
        <v>144</v>
      </c>
      <c r="D239" s="9" t="s">
        <v>145</v>
      </c>
      <c r="E239" s="10" t="s">
        <v>146</v>
      </c>
      <c r="F239" s="49" t="s">
        <v>24</v>
      </c>
      <c r="G239" s="11">
        <v>10</v>
      </c>
      <c r="H239" s="11">
        <v>1</v>
      </c>
      <c r="I239" s="191"/>
      <c r="J239" s="191"/>
      <c r="K239" s="191"/>
      <c r="L239" s="191"/>
      <c r="M239" s="191"/>
      <c r="N239" s="191"/>
      <c r="O239" s="25">
        <v>7143</v>
      </c>
      <c r="P239" s="212">
        <f>O239*G239</f>
        <v>71430</v>
      </c>
      <c r="Q239" s="25">
        <v>6950</v>
      </c>
      <c r="R239" s="32">
        <f>Q239*G239</f>
        <v>69500</v>
      </c>
      <c r="S239" s="32"/>
      <c r="T239" s="32"/>
      <c r="U239" s="32"/>
      <c r="V239" s="32"/>
      <c r="W239" s="32"/>
      <c r="X239" s="32"/>
      <c r="Y239" s="32"/>
      <c r="Z239" s="32"/>
      <c r="AA239" s="32"/>
      <c r="AB239" s="32"/>
      <c r="AC239" s="32"/>
      <c r="AD239" s="32"/>
      <c r="AE239" s="32"/>
      <c r="AF239" s="32"/>
      <c r="AG239" s="32"/>
      <c r="AH239" s="32"/>
      <c r="AI239" s="32"/>
      <c r="AJ239" s="32"/>
      <c r="AK239" s="32"/>
      <c r="AL239" s="32"/>
      <c r="AM239" s="32"/>
      <c r="AN239" s="32"/>
      <c r="AO239" s="32"/>
      <c r="AP239" s="32"/>
      <c r="AQ239" s="32"/>
      <c r="AR239" s="32"/>
      <c r="AS239" s="32"/>
      <c r="AT239" s="32"/>
      <c r="AU239" s="32"/>
      <c r="AV239" s="32"/>
      <c r="AW239" s="32"/>
      <c r="AX239" s="32"/>
      <c r="AY239" s="32"/>
      <c r="AZ239" s="32"/>
      <c r="BA239" s="32"/>
      <c r="BB239" s="32"/>
      <c r="BC239" s="32"/>
      <c r="BD239" s="32"/>
      <c r="BE239" s="32"/>
      <c r="BF239" s="32"/>
      <c r="BG239" s="32"/>
      <c r="BH239" s="32"/>
      <c r="BI239" s="32"/>
      <c r="BJ239" s="32"/>
      <c r="BK239" s="192"/>
      <c r="BL239" s="32"/>
      <c r="BM239" s="192"/>
      <c r="BN239" s="32"/>
      <c r="BO239" s="32"/>
      <c r="BP239" s="32"/>
      <c r="BQ239" s="32"/>
      <c r="BR239" s="32"/>
      <c r="BS239" s="32"/>
      <c r="BT239" s="32"/>
      <c r="BU239" s="32"/>
      <c r="BV239" s="32"/>
      <c r="BW239" s="32"/>
      <c r="BX239" s="32"/>
      <c r="BY239" s="32"/>
      <c r="BZ239" s="32"/>
      <c r="CA239" s="32"/>
      <c r="CB239" s="32"/>
      <c r="CC239" s="32"/>
      <c r="CD239" s="32"/>
      <c r="CE239" s="32"/>
      <c r="CF239" s="32"/>
      <c r="CG239" s="32"/>
      <c r="CH239" s="32"/>
      <c r="CI239" s="32"/>
      <c r="CJ239" s="32"/>
      <c r="CK239" s="32"/>
      <c r="CL239" s="32"/>
      <c r="CM239" s="32"/>
      <c r="CN239" s="32"/>
      <c r="CO239" s="32"/>
      <c r="CP239" s="32"/>
      <c r="CQ239" s="32"/>
      <c r="CR239" s="32"/>
      <c r="CS239" s="32"/>
      <c r="CT239" s="32"/>
      <c r="CU239" s="32"/>
      <c r="CV239" s="32"/>
      <c r="CW239" s="32"/>
      <c r="CX239" s="32"/>
      <c r="CY239" s="32"/>
      <c r="CZ239" s="32"/>
      <c r="DA239" s="32"/>
      <c r="DB239" s="32"/>
      <c r="DC239" s="32"/>
      <c r="DD239" s="32"/>
      <c r="DE239" s="32"/>
      <c r="DF239" s="32"/>
      <c r="DG239" s="32"/>
      <c r="DH239" s="32"/>
      <c r="DI239" s="32"/>
      <c r="DJ239" s="32"/>
      <c r="DK239" s="32"/>
      <c r="DL239" s="32"/>
      <c r="DM239" s="32"/>
      <c r="DN239" s="32"/>
      <c r="DO239" s="32"/>
      <c r="DP239" s="32"/>
      <c r="DQ239" s="32"/>
      <c r="DR239" s="32"/>
      <c r="DS239" s="265">
        <f>MEDIAN(O239,Q239)</f>
        <v>7046.5</v>
      </c>
      <c r="DT239" s="265">
        <f>AVERAGE(O239,Q239)</f>
        <v>7046.5</v>
      </c>
      <c r="DU239" s="265">
        <f>STDEV(O239,Q239)</f>
        <v>136.47160876900367</v>
      </c>
      <c r="DV239" s="48">
        <f t="shared" si="45"/>
        <v>1.9367289969347005E-2</v>
      </c>
      <c r="DW239" s="377">
        <f>ROUNDUP(IF(DV239&lt;15%,DT239,DS239),0)</f>
        <v>7047</v>
      </c>
      <c r="DX239" s="326">
        <f t="shared" si="44"/>
        <v>70470</v>
      </c>
      <c r="DY239" s="10" t="s">
        <v>313</v>
      </c>
    </row>
    <row r="240" spans="1:132" ht="39" hidden="1" x14ac:dyDescent="0.3">
      <c r="A240" s="70">
        <v>53</v>
      </c>
      <c r="B240" s="9" t="s">
        <v>55</v>
      </c>
      <c r="C240" s="9" t="s">
        <v>144</v>
      </c>
      <c r="D240" s="9" t="s">
        <v>147</v>
      </c>
      <c r="E240" s="10" t="s">
        <v>148</v>
      </c>
      <c r="F240" s="9" t="s">
        <v>19</v>
      </c>
      <c r="G240" s="11">
        <v>10</v>
      </c>
      <c r="H240" s="11">
        <v>1</v>
      </c>
      <c r="I240" s="191"/>
      <c r="J240" s="191"/>
      <c r="K240" s="191"/>
      <c r="L240" s="191"/>
      <c r="M240" s="191"/>
      <c r="N240" s="191"/>
      <c r="O240" s="25">
        <v>4370</v>
      </c>
      <c r="P240" s="212">
        <f>O240*G240</f>
        <v>43700</v>
      </c>
      <c r="Q240" s="25">
        <v>7900</v>
      </c>
      <c r="R240" s="32">
        <f>Q240*G240</f>
        <v>79000</v>
      </c>
      <c r="S240" s="25">
        <v>6797</v>
      </c>
      <c r="T240" s="32">
        <f>S240*G240</f>
        <v>67970</v>
      </c>
      <c r="U240" s="32"/>
      <c r="V240" s="32"/>
      <c r="W240" s="32"/>
      <c r="X240" s="32"/>
      <c r="Y240" s="32"/>
      <c r="Z240" s="32"/>
      <c r="AA240" s="32"/>
      <c r="AB240" s="32"/>
      <c r="AC240" s="32"/>
      <c r="AD240" s="32"/>
      <c r="AE240" s="32"/>
      <c r="AF240" s="32"/>
      <c r="AG240" s="32"/>
      <c r="AH240" s="32"/>
      <c r="AI240" s="32"/>
      <c r="AJ240" s="32"/>
      <c r="AK240" s="32"/>
      <c r="AL240" s="32"/>
      <c r="AM240" s="32"/>
      <c r="AN240" s="32"/>
      <c r="AO240" s="32"/>
      <c r="AP240" s="32"/>
      <c r="AQ240" s="32"/>
      <c r="AR240" s="32"/>
      <c r="AS240" s="32"/>
      <c r="AT240" s="32"/>
      <c r="AU240" s="32"/>
      <c r="AV240" s="32"/>
      <c r="AW240" s="32"/>
      <c r="AX240" s="32"/>
      <c r="AY240" s="32"/>
      <c r="AZ240" s="32"/>
      <c r="BA240" s="32"/>
      <c r="BB240" s="32"/>
      <c r="BC240" s="32"/>
      <c r="BD240" s="32"/>
      <c r="BE240" s="32"/>
      <c r="BF240" s="32"/>
      <c r="BG240" s="32"/>
      <c r="BH240" s="32"/>
      <c r="BI240" s="32"/>
      <c r="BJ240" s="32"/>
      <c r="BK240" s="192"/>
      <c r="BL240" s="32"/>
      <c r="BM240" s="192"/>
      <c r="BN240" s="32"/>
      <c r="BO240" s="32"/>
      <c r="BP240" s="32"/>
      <c r="BQ240" s="32"/>
      <c r="BR240" s="32"/>
      <c r="BS240" s="32"/>
      <c r="BT240" s="32"/>
      <c r="BU240" s="32"/>
      <c r="BV240" s="32"/>
      <c r="BW240" s="32"/>
      <c r="BX240" s="32"/>
      <c r="BY240" s="32"/>
      <c r="BZ240" s="32"/>
      <c r="CA240" s="32"/>
      <c r="CB240" s="32"/>
      <c r="CC240" s="32"/>
      <c r="CD240" s="32"/>
      <c r="CE240" s="32"/>
      <c r="CF240" s="32"/>
      <c r="CG240" s="32"/>
      <c r="CH240" s="32"/>
      <c r="CI240" s="32"/>
      <c r="CJ240" s="32"/>
      <c r="CK240" s="32"/>
      <c r="CL240" s="32"/>
      <c r="CM240" s="32"/>
      <c r="CN240" s="32"/>
      <c r="CO240" s="32"/>
      <c r="CP240" s="32"/>
      <c r="CQ240" s="32"/>
      <c r="CR240" s="32"/>
      <c r="CS240" s="32"/>
      <c r="CT240" s="32"/>
      <c r="CU240" s="32"/>
      <c r="CV240" s="32"/>
      <c r="CW240" s="32"/>
      <c r="CX240" s="32"/>
      <c r="CY240" s="32"/>
      <c r="CZ240" s="32"/>
      <c r="DA240" s="32"/>
      <c r="DB240" s="32"/>
      <c r="DC240" s="32"/>
      <c r="DD240" s="32"/>
      <c r="DE240" s="32"/>
      <c r="DF240" s="32"/>
      <c r="DG240" s="32"/>
      <c r="DH240" s="32"/>
      <c r="DI240" s="32"/>
      <c r="DJ240" s="32"/>
      <c r="DK240" s="32"/>
      <c r="DL240" s="32"/>
      <c r="DM240" s="32"/>
      <c r="DN240" s="32"/>
      <c r="DO240" s="32"/>
      <c r="DP240" s="32"/>
      <c r="DQ240" s="32"/>
      <c r="DR240" s="32"/>
      <c r="DS240" s="265">
        <f>MEDIAN(O240,Q240,S240)</f>
        <v>6797</v>
      </c>
      <c r="DT240" s="265">
        <f>AVERAGE(O240,Q240,S240)</f>
        <v>6355.666666666667</v>
      </c>
      <c r="DU240" s="265">
        <f>STDEV(O240,Q240,S240)</f>
        <v>1805.9087278523618</v>
      </c>
      <c r="DV240" s="48">
        <f t="shared" si="45"/>
        <v>0.28414151064966092</v>
      </c>
      <c r="DW240" s="377">
        <f>ROUNDUP(IF(DV240&lt;15%,DT240,DS240),0)</f>
        <v>6797</v>
      </c>
      <c r="DX240" s="326">
        <f t="shared" si="44"/>
        <v>67970</v>
      </c>
      <c r="DY240" s="10" t="s">
        <v>314</v>
      </c>
    </row>
    <row r="241" spans="1:129" ht="65" hidden="1" x14ac:dyDescent="0.3">
      <c r="A241" s="19">
        <v>54</v>
      </c>
      <c r="B241" s="9" t="s">
        <v>55</v>
      </c>
      <c r="C241" s="9" t="s">
        <v>144</v>
      </c>
      <c r="D241" s="9" t="s">
        <v>149</v>
      </c>
      <c r="E241" s="44" t="s">
        <v>280</v>
      </c>
      <c r="F241" s="9" t="s">
        <v>67</v>
      </c>
      <c r="G241" s="11">
        <v>10</v>
      </c>
      <c r="H241" s="11">
        <v>1</v>
      </c>
      <c r="I241" s="191"/>
      <c r="J241" s="191"/>
      <c r="K241" s="191"/>
      <c r="L241" s="191"/>
      <c r="M241" s="191"/>
      <c r="N241" s="191"/>
      <c r="O241" s="25">
        <v>7143</v>
      </c>
      <c r="P241" s="212">
        <f>O241*G241</f>
        <v>71430</v>
      </c>
      <c r="Q241" s="25">
        <v>4950</v>
      </c>
      <c r="R241" s="32">
        <f>Q241*G241</f>
        <v>49500</v>
      </c>
      <c r="S241" s="32"/>
      <c r="T241" s="32"/>
      <c r="U241" s="32"/>
      <c r="V241" s="32"/>
      <c r="W241" s="32"/>
      <c r="X241" s="32"/>
      <c r="Y241" s="32"/>
      <c r="Z241" s="32"/>
      <c r="AA241" s="32"/>
      <c r="AB241" s="32"/>
      <c r="AC241" s="32"/>
      <c r="AD241" s="32"/>
      <c r="AE241" s="32"/>
      <c r="AF241" s="32"/>
      <c r="AG241" s="32"/>
      <c r="AH241" s="32"/>
      <c r="AI241" s="32"/>
      <c r="AJ241" s="32"/>
      <c r="AK241" s="32"/>
      <c r="AL241" s="32"/>
      <c r="AM241" s="32"/>
      <c r="AN241" s="32"/>
      <c r="AO241" s="32"/>
      <c r="AP241" s="32"/>
      <c r="AQ241" s="32"/>
      <c r="AR241" s="32"/>
      <c r="AS241" s="32"/>
      <c r="AT241" s="32"/>
      <c r="AU241" s="32"/>
      <c r="AV241" s="32"/>
      <c r="AW241" s="32"/>
      <c r="AX241" s="32"/>
      <c r="AY241" s="32"/>
      <c r="AZ241" s="32"/>
      <c r="BA241" s="32"/>
      <c r="BB241" s="32"/>
      <c r="BC241" s="32"/>
      <c r="BD241" s="32"/>
      <c r="BE241" s="32"/>
      <c r="BF241" s="32"/>
      <c r="BG241" s="32"/>
      <c r="BH241" s="32"/>
      <c r="BI241" s="32"/>
      <c r="BJ241" s="32"/>
      <c r="BK241" s="192"/>
      <c r="BL241" s="32"/>
      <c r="BM241" s="192"/>
      <c r="BN241" s="32"/>
      <c r="BO241" s="32"/>
      <c r="BP241" s="32"/>
      <c r="BQ241" s="32"/>
      <c r="BR241" s="32"/>
      <c r="BS241" s="32"/>
      <c r="BT241" s="32"/>
      <c r="BU241" s="32"/>
      <c r="BV241" s="32"/>
      <c r="BW241" s="32"/>
      <c r="BX241" s="32"/>
      <c r="BY241" s="32"/>
      <c r="BZ241" s="32"/>
      <c r="CA241" s="32"/>
      <c r="CB241" s="32"/>
      <c r="CC241" s="32"/>
      <c r="CD241" s="32"/>
      <c r="CE241" s="32"/>
      <c r="CF241" s="32"/>
      <c r="CG241" s="32"/>
      <c r="CH241" s="32"/>
      <c r="CI241" s="32"/>
      <c r="CJ241" s="32"/>
      <c r="CK241" s="32"/>
      <c r="CL241" s="32"/>
      <c r="CM241" s="32"/>
      <c r="CN241" s="32"/>
      <c r="CO241" s="32"/>
      <c r="CP241" s="32"/>
      <c r="CQ241" s="32"/>
      <c r="CR241" s="32"/>
      <c r="CS241" s="32"/>
      <c r="CT241" s="32"/>
      <c r="CU241" s="32"/>
      <c r="CV241" s="32"/>
      <c r="CW241" s="32"/>
      <c r="CX241" s="32"/>
      <c r="CY241" s="32"/>
      <c r="CZ241" s="32"/>
      <c r="DA241" s="32"/>
      <c r="DB241" s="32"/>
      <c r="DC241" s="32"/>
      <c r="DD241" s="32"/>
      <c r="DE241" s="32"/>
      <c r="DF241" s="32"/>
      <c r="DG241" s="32"/>
      <c r="DH241" s="32"/>
      <c r="DI241" s="32"/>
      <c r="DJ241" s="32"/>
      <c r="DK241" s="32"/>
      <c r="DL241" s="32"/>
      <c r="DM241" s="32"/>
      <c r="DN241" s="32"/>
      <c r="DO241" s="32"/>
      <c r="DP241" s="32"/>
      <c r="DQ241" s="32"/>
      <c r="DR241" s="32"/>
      <c r="DS241" s="265">
        <f>MEDIAN(O241,Q241)</f>
        <v>6046.5</v>
      </c>
      <c r="DT241" s="265">
        <f>AVERAGE(O241,Q241)</f>
        <v>6046.5</v>
      </c>
      <c r="DU241" s="265">
        <f>STDEV(O241,Q241)</f>
        <v>1550.6851711420986</v>
      </c>
      <c r="DV241" s="48">
        <f t="shared" si="45"/>
        <v>0.25645996380420055</v>
      </c>
      <c r="DW241" s="377">
        <f>ROUNDUP(IF(DV241&lt;15%,DT241,DS241),0)</f>
        <v>6047</v>
      </c>
      <c r="DX241" s="326">
        <f t="shared" si="44"/>
        <v>60470</v>
      </c>
      <c r="DY241" s="10" t="s">
        <v>314</v>
      </c>
    </row>
    <row r="242" spans="1:129" ht="39" hidden="1" x14ac:dyDescent="0.3">
      <c r="A242" s="70">
        <v>55</v>
      </c>
      <c r="B242" s="9" t="s">
        <v>55</v>
      </c>
      <c r="C242" s="9" t="s">
        <v>144</v>
      </c>
      <c r="D242" s="9" t="s">
        <v>150</v>
      </c>
      <c r="E242" s="10" t="s">
        <v>151</v>
      </c>
      <c r="F242" s="9" t="s">
        <v>19</v>
      </c>
      <c r="G242" s="11">
        <v>10</v>
      </c>
      <c r="H242" s="11">
        <v>1</v>
      </c>
      <c r="I242" s="191"/>
      <c r="J242" s="191"/>
      <c r="K242" s="191"/>
      <c r="L242" s="191"/>
      <c r="M242" s="191"/>
      <c r="N242" s="191"/>
      <c r="O242" s="211"/>
      <c r="P242" s="212"/>
      <c r="Q242" s="32"/>
      <c r="R242" s="32"/>
      <c r="S242" s="32"/>
      <c r="T242" s="32"/>
      <c r="U242" s="32"/>
      <c r="V242" s="32"/>
      <c r="W242" s="32"/>
      <c r="X242" s="32"/>
      <c r="Y242" s="32"/>
      <c r="Z242" s="32"/>
      <c r="AA242" s="32"/>
      <c r="AB242" s="32"/>
      <c r="AC242" s="32"/>
      <c r="AD242" s="32"/>
      <c r="AE242" s="32"/>
      <c r="AF242" s="32"/>
      <c r="AG242" s="32"/>
      <c r="AH242" s="32"/>
      <c r="AI242" s="32"/>
      <c r="AJ242" s="32"/>
      <c r="AK242" s="32"/>
      <c r="AL242" s="32"/>
      <c r="AM242" s="32"/>
      <c r="AN242" s="32"/>
      <c r="AO242" s="32"/>
      <c r="AP242" s="32"/>
      <c r="AQ242" s="32"/>
      <c r="AR242" s="32"/>
      <c r="AS242" s="32"/>
      <c r="AT242" s="32"/>
      <c r="AU242" s="32"/>
      <c r="AV242" s="32"/>
      <c r="AW242" s="32"/>
      <c r="AX242" s="32"/>
      <c r="AY242" s="32"/>
      <c r="AZ242" s="32"/>
      <c r="BA242" s="32"/>
      <c r="BB242" s="32"/>
      <c r="BC242" s="32"/>
      <c r="BD242" s="32"/>
      <c r="BE242" s="32"/>
      <c r="BF242" s="32"/>
      <c r="BG242" s="32"/>
      <c r="BH242" s="32"/>
      <c r="BI242" s="32"/>
      <c r="BJ242" s="32"/>
      <c r="BK242" s="192"/>
      <c r="BL242" s="32"/>
      <c r="BM242" s="192"/>
      <c r="BN242" s="32"/>
      <c r="BO242" s="32"/>
      <c r="BP242" s="32"/>
      <c r="BQ242" s="32"/>
      <c r="BR242" s="32"/>
      <c r="BS242" s="32"/>
      <c r="BT242" s="32"/>
      <c r="BU242" s="32"/>
      <c r="BV242" s="32"/>
      <c r="BW242" s="32"/>
      <c r="BX242" s="32"/>
      <c r="BY242" s="32"/>
      <c r="BZ242" s="32"/>
      <c r="CA242" s="32"/>
      <c r="CB242" s="32"/>
      <c r="CC242" s="32"/>
      <c r="CD242" s="32"/>
      <c r="CE242" s="32"/>
      <c r="CF242" s="32"/>
      <c r="CG242" s="32"/>
      <c r="CH242" s="32"/>
      <c r="CI242" s="32"/>
      <c r="CJ242" s="32"/>
      <c r="CK242" s="32"/>
      <c r="CL242" s="32"/>
      <c r="CM242" s="32"/>
      <c r="CN242" s="32"/>
      <c r="CO242" s="224">
        <v>14000</v>
      </c>
      <c r="CP242" s="32">
        <f>CO242*G242</f>
        <v>140000</v>
      </c>
      <c r="CQ242" s="225">
        <v>15000</v>
      </c>
      <c r="CR242" s="32"/>
      <c r="CS242" s="28"/>
      <c r="CT242" s="25"/>
      <c r="CU242" s="225">
        <v>15000</v>
      </c>
      <c r="CV242" s="25">
        <f>CU242*G242</f>
        <v>150000</v>
      </c>
      <c r="CW242" s="245"/>
      <c r="CX242" s="25"/>
      <c r="CY242" s="245">
        <v>18000</v>
      </c>
      <c r="CZ242" s="25">
        <f>CY242*G242*H242</f>
        <v>180000</v>
      </c>
      <c r="DA242" s="25"/>
      <c r="DB242" s="25"/>
      <c r="DC242" s="245"/>
      <c r="DD242" s="25"/>
      <c r="DE242" s="25"/>
      <c r="DF242" s="25"/>
      <c r="DG242" s="25"/>
      <c r="DH242" s="25"/>
      <c r="DI242" s="25"/>
      <c r="DJ242" s="25"/>
      <c r="DK242" s="25"/>
      <c r="DL242" s="25"/>
      <c r="DM242" s="25"/>
      <c r="DN242" s="25"/>
      <c r="DO242" s="25"/>
      <c r="DP242" s="25"/>
      <c r="DQ242" s="25"/>
      <c r="DR242" s="25"/>
      <c r="DS242" s="13">
        <f>+MEDIAN(CO242,CQ242,CU242,CY242)</f>
        <v>15000</v>
      </c>
      <c r="DT242" s="13">
        <f>+AVERAGE(CO242,CQ242,CU242,CY242)</f>
        <v>15500</v>
      </c>
      <c r="DU242" s="13">
        <f>+STDEV(CO242,CQ242,CU242,CY242)</f>
        <v>1732.0508075688772</v>
      </c>
      <c r="DV242" s="17">
        <f t="shared" si="45"/>
        <v>0.11174521339154046</v>
      </c>
      <c r="DW242" s="373">
        <f>+ROUNDUP(IF(DV242&lt;15%,DT242,DS242),0)</f>
        <v>15500</v>
      </c>
      <c r="DX242" s="326">
        <f t="shared" si="44"/>
        <v>155000</v>
      </c>
      <c r="DY242" s="10" t="s">
        <v>448</v>
      </c>
    </row>
    <row r="243" spans="1:129" ht="39" hidden="1" x14ac:dyDescent="0.3">
      <c r="A243" s="19">
        <v>56</v>
      </c>
      <c r="B243" s="9" t="s">
        <v>55</v>
      </c>
      <c r="C243" s="9" t="s">
        <v>144</v>
      </c>
      <c r="D243" s="9" t="s">
        <v>152</v>
      </c>
      <c r="E243" s="10" t="s">
        <v>153</v>
      </c>
      <c r="F243" s="9" t="s">
        <v>19</v>
      </c>
      <c r="G243" s="11">
        <v>120</v>
      </c>
      <c r="H243" s="11">
        <v>1</v>
      </c>
      <c r="I243" s="191"/>
      <c r="J243" s="191"/>
      <c r="K243" s="191"/>
      <c r="L243" s="191"/>
      <c r="M243" s="191"/>
      <c r="N243" s="191"/>
      <c r="O243" s="211"/>
      <c r="P243" s="212"/>
      <c r="Q243" s="32"/>
      <c r="R243" s="32"/>
      <c r="S243" s="32"/>
      <c r="T243" s="32"/>
      <c r="U243" s="25">
        <v>148</v>
      </c>
      <c r="V243" s="32">
        <f>U243*G243</f>
        <v>17760</v>
      </c>
      <c r="W243" s="25">
        <v>180</v>
      </c>
      <c r="X243" s="32">
        <f>W243*G243</f>
        <v>21600</v>
      </c>
      <c r="Y243" s="32"/>
      <c r="Z243" s="32"/>
      <c r="AA243" s="32"/>
      <c r="AB243" s="32"/>
      <c r="AC243" s="32"/>
      <c r="AD243" s="32"/>
      <c r="AE243" s="32"/>
      <c r="AF243" s="32"/>
      <c r="AG243" s="32"/>
      <c r="AH243" s="32"/>
      <c r="AI243" s="32"/>
      <c r="AJ243" s="32"/>
      <c r="AK243" s="32"/>
      <c r="AL243" s="32"/>
      <c r="AM243" s="32"/>
      <c r="AN243" s="32"/>
      <c r="AO243" s="32"/>
      <c r="AP243" s="32"/>
      <c r="AQ243" s="32"/>
      <c r="AR243" s="32"/>
      <c r="AS243" s="32"/>
      <c r="AT243" s="32"/>
      <c r="AU243" s="32"/>
      <c r="AV243" s="32"/>
      <c r="AW243" s="32"/>
      <c r="AX243" s="32"/>
      <c r="AY243" s="32"/>
      <c r="AZ243" s="32"/>
      <c r="BA243" s="32"/>
      <c r="BB243" s="32"/>
      <c r="BC243" s="32"/>
      <c r="BD243" s="32"/>
      <c r="BE243" s="32"/>
      <c r="BF243" s="32"/>
      <c r="BG243" s="32"/>
      <c r="BH243" s="32"/>
      <c r="BI243" s="32"/>
      <c r="BJ243" s="32"/>
      <c r="BK243" s="192"/>
      <c r="BL243" s="32"/>
      <c r="BM243" s="192"/>
      <c r="BN243" s="32"/>
      <c r="BO243" s="32"/>
      <c r="BP243" s="32"/>
      <c r="BQ243" s="32"/>
      <c r="BR243" s="32"/>
      <c r="BS243" s="32"/>
      <c r="BT243" s="32"/>
      <c r="BU243" s="32"/>
      <c r="BV243" s="32"/>
      <c r="BW243" s="32"/>
      <c r="BX243" s="32"/>
      <c r="BY243" s="32"/>
      <c r="BZ243" s="32"/>
      <c r="CA243" s="32"/>
      <c r="CB243" s="32"/>
      <c r="CC243" s="32"/>
      <c r="CD243" s="32"/>
      <c r="CE243" s="32"/>
      <c r="CF243" s="32"/>
      <c r="CG243" s="32"/>
      <c r="CH243" s="32"/>
      <c r="CI243" s="32"/>
      <c r="CJ243" s="32"/>
      <c r="CK243" s="32"/>
      <c r="CL243" s="32"/>
      <c r="CM243" s="32"/>
      <c r="CN243" s="32"/>
      <c r="CO243" s="32"/>
      <c r="CP243" s="32"/>
      <c r="CQ243" s="32"/>
      <c r="CR243" s="32"/>
      <c r="CS243" s="32"/>
      <c r="CT243" s="32"/>
      <c r="CU243" s="32"/>
      <c r="CV243" s="32"/>
      <c r="CW243" s="32"/>
      <c r="CX243" s="32"/>
      <c r="CY243" s="32"/>
      <c r="CZ243" s="25"/>
      <c r="DA243" s="32"/>
      <c r="DB243" s="32"/>
      <c r="DC243" s="32"/>
      <c r="DD243" s="32"/>
      <c r="DE243" s="32"/>
      <c r="DF243" s="32"/>
      <c r="DG243" s="32"/>
      <c r="DH243" s="32"/>
      <c r="DI243" s="32"/>
      <c r="DJ243" s="32"/>
      <c r="DK243" s="32"/>
      <c r="DL243" s="32"/>
      <c r="DM243" s="32"/>
      <c r="DN243" s="32"/>
      <c r="DO243" s="32"/>
      <c r="DP243" s="32"/>
      <c r="DQ243" s="32"/>
      <c r="DR243" s="32"/>
      <c r="DS243" s="265">
        <f>MEDIAN(U243,W243)</f>
        <v>164</v>
      </c>
      <c r="DT243" s="265">
        <f>AVERAGE(U243,W243)</f>
        <v>164</v>
      </c>
      <c r="DU243" s="265">
        <f>STDEV(U243,W243)</f>
        <v>22.627416997969522</v>
      </c>
      <c r="DV243" s="48">
        <f t="shared" si="45"/>
        <v>0.13797205486566783</v>
      </c>
      <c r="DW243" s="377">
        <f>ROUNDUP(IF(DV243&lt;15%,DT243,DS243),0)</f>
        <v>164</v>
      </c>
      <c r="DX243" s="326">
        <f t="shared" si="44"/>
        <v>19680</v>
      </c>
      <c r="DY243" s="10" t="s">
        <v>313</v>
      </c>
    </row>
    <row r="244" spans="1:129" ht="39" hidden="1" x14ac:dyDescent="0.3">
      <c r="A244" s="70">
        <v>57</v>
      </c>
      <c r="B244" s="9" t="s">
        <v>55</v>
      </c>
      <c r="C244" s="9" t="s">
        <v>144</v>
      </c>
      <c r="D244" s="9" t="s">
        <v>154</v>
      </c>
      <c r="E244" s="10" t="s">
        <v>155</v>
      </c>
      <c r="F244" s="9" t="s">
        <v>24</v>
      </c>
      <c r="G244" s="11">
        <v>3</v>
      </c>
      <c r="H244" s="11">
        <v>1</v>
      </c>
      <c r="I244" s="191"/>
      <c r="J244" s="191"/>
      <c r="K244" s="191"/>
      <c r="L244" s="191"/>
      <c r="M244" s="191"/>
      <c r="N244" s="191"/>
      <c r="O244" s="211"/>
      <c r="P244" s="212"/>
      <c r="Q244" s="32"/>
      <c r="R244" s="32"/>
      <c r="S244" s="32"/>
      <c r="T244" s="32"/>
      <c r="U244" s="32"/>
      <c r="V244" s="32"/>
      <c r="W244" s="32"/>
      <c r="X244" s="32"/>
      <c r="Y244" s="32"/>
      <c r="Z244" s="32"/>
      <c r="AA244" s="32"/>
      <c r="AB244" s="32"/>
      <c r="AC244" s="32"/>
      <c r="AD244" s="32"/>
      <c r="AE244" s="32"/>
      <c r="AF244" s="32"/>
      <c r="AG244" s="32"/>
      <c r="AH244" s="32"/>
      <c r="AI244" s="32"/>
      <c r="AJ244" s="32"/>
      <c r="AK244" s="32"/>
      <c r="AL244" s="32"/>
      <c r="AM244" s="32"/>
      <c r="AN244" s="32"/>
      <c r="AO244" s="32"/>
      <c r="AP244" s="32"/>
      <c r="AQ244" s="32"/>
      <c r="AR244" s="32"/>
      <c r="AS244" s="32"/>
      <c r="AT244" s="32"/>
      <c r="AU244" s="32"/>
      <c r="AV244" s="32"/>
      <c r="AW244" s="32"/>
      <c r="AX244" s="32"/>
      <c r="AY244" s="32"/>
      <c r="AZ244" s="32"/>
      <c r="BA244" s="32"/>
      <c r="BB244" s="32"/>
      <c r="BC244" s="32"/>
      <c r="BD244" s="32"/>
      <c r="BE244" s="32"/>
      <c r="BF244" s="32"/>
      <c r="BG244" s="32"/>
      <c r="BH244" s="32"/>
      <c r="BI244" s="32"/>
      <c r="BJ244" s="32"/>
      <c r="BK244" s="192"/>
      <c r="BL244" s="32"/>
      <c r="BM244" s="192"/>
      <c r="BN244" s="32"/>
      <c r="BO244" s="32"/>
      <c r="BP244" s="32"/>
      <c r="BQ244" s="32"/>
      <c r="BR244" s="32"/>
      <c r="BS244" s="32"/>
      <c r="BT244" s="32"/>
      <c r="BU244" s="32"/>
      <c r="BV244" s="32"/>
      <c r="BW244" s="32"/>
      <c r="BX244" s="32"/>
      <c r="BY244" s="32"/>
      <c r="BZ244" s="32"/>
      <c r="CA244" s="32"/>
      <c r="CB244" s="32"/>
      <c r="CC244" s="32"/>
      <c r="CD244" s="32"/>
      <c r="CE244" s="32"/>
      <c r="CF244" s="32"/>
      <c r="CG244" s="32"/>
      <c r="CH244" s="32"/>
      <c r="CI244" s="32"/>
      <c r="CJ244" s="32"/>
      <c r="CK244" s="32"/>
      <c r="CL244" s="32"/>
      <c r="CM244" s="32"/>
      <c r="CN244" s="32"/>
      <c r="CO244" s="224">
        <v>8000</v>
      </c>
      <c r="CP244" s="32">
        <f>CO244*G244</f>
        <v>24000</v>
      </c>
      <c r="CQ244" s="225">
        <v>7000</v>
      </c>
      <c r="CR244" s="32">
        <f>CQ244*G244*H244</f>
        <v>21000</v>
      </c>
      <c r="CS244" s="28">
        <v>6000</v>
      </c>
      <c r="CT244" s="25">
        <f>CS244*G244</f>
        <v>18000</v>
      </c>
      <c r="CU244" s="225">
        <v>4000</v>
      </c>
      <c r="CV244" s="25">
        <f>CU244*G244</f>
        <v>12000</v>
      </c>
      <c r="CW244" s="245"/>
      <c r="CX244" s="25"/>
      <c r="CY244" s="245">
        <v>6000</v>
      </c>
      <c r="CZ244" s="25">
        <f>CY244*G244*H244</f>
        <v>18000</v>
      </c>
      <c r="DA244" s="25"/>
      <c r="DB244" s="25"/>
      <c r="DC244" s="245"/>
      <c r="DD244" s="25"/>
      <c r="DE244" s="25"/>
      <c r="DF244" s="25"/>
      <c r="DG244" s="25"/>
      <c r="DH244" s="25"/>
      <c r="DI244" s="25"/>
      <c r="DJ244" s="25"/>
      <c r="DK244" s="25"/>
      <c r="DL244" s="25"/>
      <c r="DM244" s="25"/>
      <c r="DN244" s="25"/>
      <c r="DO244" s="25"/>
      <c r="DP244" s="25"/>
      <c r="DQ244" s="25"/>
      <c r="DR244" s="25"/>
      <c r="DS244" s="13">
        <f>+MEDIAN(CO244,CQ244,CS244,CU244,CY244)</f>
        <v>6000</v>
      </c>
      <c r="DT244" s="13">
        <f>+AVERAGE(CO244,CQ244,CS244,CU244,CY244)</f>
        <v>6200</v>
      </c>
      <c r="DU244" s="13">
        <f>+STDEV(CO244,CQ244,CS244,CU244,CY244)</f>
        <v>1483.2396974191327</v>
      </c>
      <c r="DV244" s="17">
        <f t="shared" si="45"/>
        <v>0.23923220926115044</v>
      </c>
      <c r="DW244" s="373">
        <f>+ROUNDUP(IF(DV244&lt;15%,DT244,DS244),0)</f>
        <v>6000</v>
      </c>
      <c r="DX244" s="326">
        <f t="shared" si="44"/>
        <v>18000</v>
      </c>
      <c r="DY244" s="10" t="s">
        <v>322</v>
      </c>
    </row>
    <row r="245" spans="1:129" ht="39" hidden="1" x14ac:dyDescent="0.3">
      <c r="A245" s="19">
        <v>58</v>
      </c>
      <c r="B245" s="9" t="s">
        <v>55</v>
      </c>
      <c r="C245" s="9" t="s">
        <v>144</v>
      </c>
      <c r="D245" s="9" t="s">
        <v>125</v>
      </c>
      <c r="E245" s="10" t="s">
        <v>126</v>
      </c>
      <c r="F245" s="9" t="s">
        <v>19</v>
      </c>
      <c r="G245" s="11">
        <v>6</v>
      </c>
      <c r="H245" s="11">
        <v>1</v>
      </c>
      <c r="I245" s="191"/>
      <c r="J245" s="191"/>
      <c r="K245" s="191"/>
      <c r="L245" s="191"/>
      <c r="M245" s="191"/>
      <c r="N245" s="191"/>
      <c r="O245" s="211"/>
      <c r="P245" s="212"/>
      <c r="Q245" s="32"/>
      <c r="R245" s="32"/>
      <c r="S245" s="32"/>
      <c r="T245" s="32"/>
      <c r="U245" s="32"/>
      <c r="V245" s="32"/>
      <c r="W245" s="32"/>
      <c r="X245" s="32"/>
      <c r="Y245" s="32"/>
      <c r="Z245" s="32"/>
      <c r="AA245" s="32"/>
      <c r="AB245" s="32"/>
      <c r="AC245" s="32"/>
      <c r="AD245" s="32"/>
      <c r="AE245" s="32"/>
      <c r="AF245" s="32"/>
      <c r="AG245" s="32"/>
      <c r="AH245" s="32"/>
      <c r="AI245" s="32"/>
      <c r="AJ245" s="32"/>
      <c r="AK245" s="32"/>
      <c r="AL245" s="32"/>
      <c r="AM245" s="32"/>
      <c r="AN245" s="32"/>
      <c r="AO245" s="32"/>
      <c r="AP245" s="32"/>
      <c r="AQ245" s="32"/>
      <c r="AR245" s="32"/>
      <c r="AS245" s="32"/>
      <c r="AT245" s="32"/>
      <c r="AU245" s="32"/>
      <c r="AV245" s="32"/>
      <c r="AW245" s="32"/>
      <c r="AX245" s="32"/>
      <c r="AY245" s="32"/>
      <c r="AZ245" s="32"/>
      <c r="BA245" s="32"/>
      <c r="BB245" s="32"/>
      <c r="BC245" s="32"/>
      <c r="BD245" s="32"/>
      <c r="BE245" s="32"/>
      <c r="BF245" s="32"/>
      <c r="BG245" s="32"/>
      <c r="BH245" s="32"/>
      <c r="BI245" s="32"/>
      <c r="BJ245" s="32"/>
      <c r="BK245" s="192"/>
      <c r="BL245" s="32"/>
      <c r="BM245" s="192"/>
      <c r="BN245" s="32"/>
      <c r="BO245" s="32"/>
      <c r="BP245" s="32"/>
      <c r="BQ245" s="32"/>
      <c r="BR245" s="32"/>
      <c r="BS245" s="32"/>
      <c r="BT245" s="32"/>
      <c r="BU245" s="32"/>
      <c r="BV245" s="32"/>
      <c r="BW245" s="32"/>
      <c r="BX245" s="32"/>
      <c r="BY245" s="32"/>
      <c r="BZ245" s="32"/>
      <c r="CA245" s="32"/>
      <c r="CB245" s="32"/>
      <c r="CC245" s="32"/>
      <c r="CD245" s="32"/>
      <c r="CE245" s="32"/>
      <c r="CF245" s="32"/>
      <c r="CG245" s="32"/>
      <c r="CH245" s="32"/>
      <c r="CI245" s="32"/>
      <c r="CJ245" s="32"/>
      <c r="CK245" s="32"/>
      <c r="CL245" s="32"/>
      <c r="CM245" s="32"/>
      <c r="CN245" s="32"/>
      <c r="CO245" s="224">
        <v>20000</v>
      </c>
      <c r="CP245" s="32">
        <f>CO245*G245</f>
        <v>120000</v>
      </c>
      <c r="CQ245" s="225"/>
      <c r="CR245" s="32"/>
      <c r="CS245" s="28">
        <v>20000</v>
      </c>
      <c r="CT245" s="32">
        <f>CS245*G245*H245</f>
        <v>120000</v>
      </c>
      <c r="CU245" s="225"/>
      <c r="CV245" s="25"/>
      <c r="CW245" s="245"/>
      <c r="CX245" s="25"/>
      <c r="CY245" s="245">
        <v>22000</v>
      </c>
      <c r="CZ245" s="25">
        <f>CY245*G245*H245</f>
        <v>132000</v>
      </c>
      <c r="DA245" s="25"/>
      <c r="DB245" s="25"/>
      <c r="DC245" s="245"/>
      <c r="DD245" s="25"/>
      <c r="DE245" s="25"/>
      <c r="DF245" s="25"/>
      <c r="DG245" s="25"/>
      <c r="DH245" s="25"/>
      <c r="DI245" s="25"/>
      <c r="DJ245" s="25"/>
      <c r="DK245" s="25"/>
      <c r="DL245" s="25"/>
      <c r="DM245" s="25"/>
      <c r="DN245" s="25"/>
      <c r="DO245" s="25"/>
      <c r="DP245" s="25"/>
      <c r="DQ245" s="25"/>
      <c r="DR245" s="25"/>
      <c r="DS245" s="13">
        <f>+MEDIAN(CO245,CS245,CY245)</f>
        <v>20000</v>
      </c>
      <c r="DT245" s="13">
        <f>+AVERAGE(CO245,CS245,CY245)</f>
        <v>20666.666666666668</v>
      </c>
      <c r="DU245" s="13">
        <f>+STDEV(CO245,CS245,CY245)</f>
        <v>1154.7005383792514</v>
      </c>
      <c r="DV245" s="17">
        <f t="shared" si="45"/>
        <v>5.5872606695770224E-2</v>
      </c>
      <c r="DW245" s="373">
        <f>+ROUNDUP(IF(DV245&lt;15%,DT245,DS245),0)</f>
        <v>20667</v>
      </c>
      <c r="DX245" s="326">
        <f t="shared" si="44"/>
        <v>124002</v>
      </c>
      <c r="DY245" s="10" t="s">
        <v>328</v>
      </c>
    </row>
    <row r="246" spans="1:129" ht="39" hidden="1" x14ac:dyDescent="0.3">
      <c r="A246" s="70">
        <v>59</v>
      </c>
      <c r="B246" s="9" t="s">
        <v>55</v>
      </c>
      <c r="C246" s="9" t="s">
        <v>144</v>
      </c>
      <c r="D246" s="9" t="s">
        <v>281</v>
      </c>
      <c r="E246" s="10" t="s">
        <v>156</v>
      </c>
      <c r="F246" s="9" t="s">
        <v>24</v>
      </c>
      <c r="G246" s="11">
        <v>10</v>
      </c>
      <c r="H246" s="11">
        <v>1</v>
      </c>
      <c r="I246" s="191"/>
      <c r="J246" s="191"/>
      <c r="K246" s="191"/>
      <c r="L246" s="191"/>
      <c r="M246" s="191"/>
      <c r="N246" s="191"/>
      <c r="O246" s="211"/>
      <c r="P246" s="212"/>
      <c r="Q246" s="25">
        <v>6050</v>
      </c>
      <c r="R246" s="32">
        <f>Q246*G246</f>
        <v>60500</v>
      </c>
      <c r="S246" s="25">
        <v>6717</v>
      </c>
      <c r="T246" s="32">
        <f>S246*G246</f>
        <v>67170</v>
      </c>
      <c r="U246" s="32"/>
      <c r="V246" s="32"/>
      <c r="W246" s="32"/>
      <c r="X246" s="32"/>
      <c r="Y246" s="32"/>
      <c r="Z246" s="32"/>
      <c r="AA246" s="32"/>
      <c r="AB246" s="32"/>
      <c r="AC246" s="32"/>
      <c r="AD246" s="32"/>
      <c r="AE246" s="32"/>
      <c r="AF246" s="32"/>
      <c r="AG246" s="32"/>
      <c r="AH246" s="32"/>
      <c r="AI246" s="32"/>
      <c r="AJ246" s="32"/>
      <c r="AK246" s="32"/>
      <c r="AL246" s="32"/>
      <c r="AM246" s="32"/>
      <c r="AN246" s="32"/>
      <c r="AO246" s="32"/>
      <c r="AP246" s="32"/>
      <c r="AQ246" s="32"/>
      <c r="AR246" s="32"/>
      <c r="AS246" s="32"/>
      <c r="AT246" s="32"/>
      <c r="AU246" s="32"/>
      <c r="AV246" s="32"/>
      <c r="AW246" s="32"/>
      <c r="AX246" s="32"/>
      <c r="AY246" s="32"/>
      <c r="AZ246" s="32"/>
      <c r="BA246" s="32"/>
      <c r="BB246" s="32"/>
      <c r="BC246" s="32"/>
      <c r="BD246" s="32"/>
      <c r="BE246" s="32"/>
      <c r="BF246" s="32"/>
      <c r="BG246" s="32"/>
      <c r="BH246" s="32"/>
      <c r="BI246" s="32"/>
      <c r="BJ246" s="32"/>
      <c r="BK246" s="192"/>
      <c r="BL246" s="32"/>
      <c r="BM246" s="192"/>
      <c r="BN246" s="32"/>
      <c r="BO246" s="32"/>
      <c r="BP246" s="32"/>
      <c r="BQ246" s="32"/>
      <c r="BR246" s="32"/>
      <c r="BS246" s="32"/>
      <c r="BT246" s="32"/>
      <c r="BU246" s="32"/>
      <c r="BV246" s="32"/>
      <c r="BW246" s="32"/>
      <c r="BX246" s="32"/>
      <c r="BY246" s="32"/>
      <c r="BZ246" s="32"/>
      <c r="CA246" s="32"/>
      <c r="CB246" s="32"/>
      <c r="CC246" s="32"/>
      <c r="CD246" s="32"/>
      <c r="CE246" s="32"/>
      <c r="CF246" s="32"/>
      <c r="CG246" s="32"/>
      <c r="CH246" s="32"/>
      <c r="CI246" s="32"/>
      <c r="CJ246" s="32"/>
      <c r="CK246" s="32"/>
      <c r="CL246" s="32"/>
      <c r="CM246" s="32"/>
      <c r="CN246" s="32"/>
      <c r="CO246" s="32"/>
      <c r="CP246" s="32"/>
      <c r="CQ246" s="32"/>
      <c r="CR246" s="32"/>
      <c r="CS246" s="32"/>
      <c r="CT246" s="32"/>
      <c r="CU246" s="32"/>
      <c r="CV246" s="32"/>
      <c r="CW246" s="32"/>
      <c r="CX246" s="32"/>
      <c r="CY246" s="32"/>
      <c r="CZ246" s="25"/>
      <c r="DA246" s="32"/>
      <c r="DB246" s="32"/>
      <c r="DC246" s="32"/>
      <c r="DD246" s="32"/>
      <c r="DE246" s="32"/>
      <c r="DF246" s="32"/>
      <c r="DG246" s="32"/>
      <c r="DH246" s="32"/>
      <c r="DI246" s="32"/>
      <c r="DJ246" s="32"/>
      <c r="DK246" s="32"/>
      <c r="DL246" s="32"/>
      <c r="DM246" s="32"/>
      <c r="DN246" s="32"/>
      <c r="DO246" s="32"/>
      <c r="DP246" s="32"/>
      <c r="DQ246" s="32"/>
      <c r="DR246" s="32"/>
      <c r="DS246" s="265">
        <f>MEDIAN(Q246,S246)</f>
        <v>6383.5</v>
      </c>
      <c r="DT246" s="265">
        <f>AVERAGE(Q246,S246)</f>
        <v>6383.5</v>
      </c>
      <c r="DU246" s="265">
        <f>STDEV(Q246,S246)</f>
        <v>471.6402230514272</v>
      </c>
      <c r="DV246" s="48">
        <f t="shared" si="45"/>
        <v>7.3884267729525679E-2</v>
      </c>
      <c r="DW246" s="377">
        <f>ROUNDUP(IF(DV246&lt;15%,DT246,DS246),0)</f>
        <v>6384</v>
      </c>
      <c r="DX246" s="326">
        <f t="shared" si="44"/>
        <v>63840</v>
      </c>
      <c r="DY246" s="10" t="s">
        <v>313</v>
      </c>
    </row>
    <row r="247" spans="1:129" ht="39" hidden="1" x14ac:dyDescent="0.3">
      <c r="A247" s="19">
        <v>60</v>
      </c>
      <c r="B247" s="9" t="s">
        <v>55</v>
      </c>
      <c r="C247" s="9" t="s">
        <v>144</v>
      </c>
      <c r="D247" s="9" t="s">
        <v>157</v>
      </c>
      <c r="E247" s="10" t="s">
        <v>158</v>
      </c>
      <c r="F247" s="9" t="s">
        <v>24</v>
      </c>
      <c r="G247" s="11">
        <v>10</v>
      </c>
      <c r="H247" s="11">
        <v>1</v>
      </c>
      <c r="I247" s="191"/>
      <c r="J247" s="191"/>
      <c r="K247" s="191"/>
      <c r="L247" s="191"/>
      <c r="M247" s="191"/>
      <c r="N247" s="191"/>
      <c r="O247" s="211"/>
      <c r="P247" s="212"/>
      <c r="Q247" s="32"/>
      <c r="R247" s="32"/>
      <c r="S247" s="32"/>
      <c r="T247" s="32"/>
      <c r="U247" s="32"/>
      <c r="V247" s="32"/>
      <c r="W247" s="32"/>
      <c r="X247" s="32"/>
      <c r="Y247" s="32"/>
      <c r="Z247" s="32"/>
      <c r="AA247" s="32"/>
      <c r="AB247" s="32"/>
      <c r="AC247" s="32"/>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c r="BI247" s="32"/>
      <c r="BJ247" s="32"/>
      <c r="BK247" s="192"/>
      <c r="BL247" s="32"/>
      <c r="BM247" s="192"/>
      <c r="BN247" s="32"/>
      <c r="BO247" s="32"/>
      <c r="BP247" s="32"/>
      <c r="BQ247" s="32"/>
      <c r="BR247" s="32"/>
      <c r="BS247" s="32"/>
      <c r="BT247" s="32"/>
      <c r="BU247" s="32"/>
      <c r="BV247" s="32"/>
      <c r="BW247" s="32"/>
      <c r="BX247" s="32"/>
      <c r="BY247" s="32"/>
      <c r="BZ247" s="32"/>
      <c r="CA247" s="32"/>
      <c r="CB247" s="32"/>
      <c r="CC247" s="32"/>
      <c r="CD247" s="32"/>
      <c r="CE247" s="32"/>
      <c r="CF247" s="32"/>
      <c r="CG247" s="32"/>
      <c r="CH247" s="32"/>
      <c r="CI247" s="32"/>
      <c r="CJ247" s="32"/>
      <c r="CK247" s="32"/>
      <c r="CL247" s="32"/>
      <c r="CM247" s="32"/>
      <c r="CN247" s="32"/>
      <c r="CO247" s="224">
        <v>36000</v>
      </c>
      <c r="CP247" s="32">
        <f>CO247*G247</f>
        <v>360000</v>
      </c>
      <c r="CQ247" s="225">
        <v>35000</v>
      </c>
      <c r="CR247" s="32"/>
      <c r="CS247" s="28">
        <v>20000</v>
      </c>
      <c r="CT247" s="25">
        <f>CS247*G247</f>
        <v>200000</v>
      </c>
      <c r="CU247" s="225">
        <v>35000</v>
      </c>
      <c r="CV247" s="25">
        <f>CU247*G247</f>
        <v>350000</v>
      </c>
      <c r="CW247" s="245"/>
      <c r="CX247" s="25"/>
      <c r="CY247" s="245">
        <v>40000</v>
      </c>
      <c r="CZ247" s="25">
        <f>CY247*G247*H247</f>
        <v>400000</v>
      </c>
      <c r="DA247" s="25"/>
      <c r="DB247" s="25"/>
      <c r="DC247" s="245"/>
      <c r="DD247" s="25"/>
      <c r="DE247" s="25"/>
      <c r="DF247" s="25"/>
      <c r="DG247" s="25"/>
      <c r="DH247" s="25"/>
      <c r="DI247" s="25"/>
      <c r="DJ247" s="25"/>
      <c r="DK247" s="25"/>
      <c r="DL247" s="25"/>
      <c r="DM247" s="25"/>
      <c r="DN247" s="25"/>
      <c r="DO247" s="25"/>
      <c r="DP247" s="25"/>
      <c r="DQ247" s="25"/>
      <c r="DR247" s="25"/>
      <c r="DS247" s="13">
        <f>+MEDIAN(CO247,CQ247,CS247,CU247,CY247)</f>
        <v>35000</v>
      </c>
      <c r="DT247" s="13">
        <f>+AVERAGE(CO247,CQ247,CS247,CU247,CY247)</f>
        <v>33200</v>
      </c>
      <c r="DU247" s="13">
        <f>+STDEV(CO250,CQ250,CU250,CY247)</f>
        <v>2708.0128015453201</v>
      </c>
      <c r="DV247" s="17">
        <f t="shared" si="45"/>
        <v>8.1566650648955422E-2</v>
      </c>
      <c r="DW247" s="373">
        <f t="shared" ref="DW247:DW253" si="46">+ROUNDUP(IF(DV247&lt;15%,DT247,DS247),0)</f>
        <v>33200</v>
      </c>
      <c r="DX247" s="326">
        <f t="shared" si="44"/>
        <v>332000</v>
      </c>
      <c r="DY247" s="10" t="s">
        <v>448</v>
      </c>
    </row>
    <row r="248" spans="1:129" ht="39" hidden="1" x14ac:dyDescent="0.3">
      <c r="A248" s="70">
        <v>61</v>
      </c>
      <c r="B248" s="9" t="s">
        <v>55</v>
      </c>
      <c r="C248" s="9" t="s">
        <v>144</v>
      </c>
      <c r="D248" s="9" t="s">
        <v>159</v>
      </c>
      <c r="E248" s="10" t="s">
        <v>160</v>
      </c>
      <c r="F248" s="49" t="s">
        <v>273</v>
      </c>
      <c r="G248" s="11">
        <v>5</v>
      </c>
      <c r="H248" s="11">
        <v>1</v>
      </c>
      <c r="I248" s="191"/>
      <c r="J248" s="191"/>
      <c r="K248" s="191"/>
      <c r="L248" s="191"/>
      <c r="M248" s="191"/>
      <c r="N248" s="191"/>
      <c r="O248" s="25">
        <v>2941</v>
      </c>
      <c r="P248" s="212">
        <f>O248*G248</f>
        <v>14705</v>
      </c>
      <c r="Q248" s="25">
        <v>3100</v>
      </c>
      <c r="R248" s="32">
        <f>Q248*G248</f>
        <v>15500</v>
      </c>
      <c r="S248" s="32"/>
      <c r="T248" s="32"/>
      <c r="U248" s="32"/>
      <c r="V248" s="32"/>
      <c r="W248" s="32"/>
      <c r="X248" s="32"/>
      <c r="Y248" s="32"/>
      <c r="Z248" s="32"/>
      <c r="AA248" s="32"/>
      <c r="AB248" s="32"/>
      <c r="AC248" s="32"/>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c r="BI248" s="32"/>
      <c r="BJ248" s="32"/>
      <c r="BK248" s="192"/>
      <c r="BL248" s="32"/>
      <c r="BM248" s="192"/>
      <c r="BN248" s="32"/>
      <c r="BO248" s="32"/>
      <c r="BP248" s="32"/>
      <c r="BQ248" s="32"/>
      <c r="BR248" s="32"/>
      <c r="BS248" s="32"/>
      <c r="BT248" s="32"/>
      <c r="BU248" s="32"/>
      <c r="BV248" s="32"/>
      <c r="BW248" s="32"/>
      <c r="BX248" s="32"/>
      <c r="BY248" s="32"/>
      <c r="BZ248" s="32"/>
      <c r="CA248" s="32"/>
      <c r="CB248" s="32"/>
      <c r="CC248" s="32"/>
      <c r="CD248" s="32"/>
      <c r="CE248" s="32"/>
      <c r="CF248" s="32"/>
      <c r="CG248" s="32"/>
      <c r="CH248" s="32"/>
      <c r="CI248" s="32"/>
      <c r="CJ248" s="32"/>
      <c r="CK248" s="32"/>
      <c r="CL248" s="32"/>
      <c r="CM248" s="32"/>
      <c r="CN248" s="32"/>
      <c r="CO248" s="32"/>
      <c r="CP248" s="32"/>
      <c r="CQ248" s="32"/>
      <c r="CR248" s="32"/>
      <c r="CS248" s="32"/>
      <c r="CT248" s="32"/>
      <c r="CU248" s="32"/>
      <c r="CV248" s="32"/>
      <c r="CW248" s="245"/>
      <c r="CX248" s="32"/>
      <c r="CY248" s="245"/>
      <c r="CZ248" s="32"/>
      <c r="DA248" s="32"/>
      <c r="DB248" s="32"/>
      <c r="DC248" s="245"/>
      <c r="DD248" s="32"/>
      <c r="DE248" s="32"/>
      <c r="DF248" s="32"/>
      <c r="DG248" s="32"/>
      <c r="DH248" s="32"/>
      <c r="DI248" s="32"/>
      <c r="DJ248" s="32"/>
      <c r="DK248" s="32"/>
      <c r="DL248" s="32"/>
      <c r="DM248" s="32"/>
      <c r="DN248" s="32"/>
      <c r="DO248" s="32"/>
      <c r="DP248" s="32"/>
      <c r="DQ248" s="32"/>
      <c r="DR248" s="32"/>
      <c r="DS248" s="13">
        <f>+MEDIAN(O248,Q248)</f>
        <v>3020.5</v>
      </c>
      <c r="DT248" s="13">
        <f>+AVERAGE(O248,Q248)</f>
        <v>3020.5</v>
      </c>
      <c r="DU248" s="13">
        <f>+STDEV(O248,Q248)</f>
        <v>112.42997820866105</v>
      </c>
      <c r="DV248" s="17">
        <f t="shared" si="45"/>
        <v>3.7222306971912283E-2</v>
      </c>
      <c r="DW248" s="373">
        <f t="shared" si="46"/>
        <v>3021</v>
      </c>
      <c r="DX248" s="326">
        <f t="shared" si="44"/>
        <v>15105</v>
      </c>
      <c r="DY248" s="10" t="s">
        <v>308</v>
      </c>
    </row>
    <row r="249" spans="1:129" ht="39" hidden="1" x14ac:dyDescent="0.3">
      <c r="A249" s="19">
        <v>62</v>
      </c>
      <c r="B249" s="9" t="s">
        <v>55</v>
      </c>
      <c r="C249" s="9" t="s">
        <v>144</v>
      </c>
      <c r="D249" s="9" t="s">
        <v>161</v>
      </c>
      <c r="E249" s="10" t="s">
        <v>25</v>
      </c>
      <c r="F249" s="9" t="s">
        <v>86</v>
      </c>
      <c r="G249" s="11">
        <v>30</v>
      </c>
      <c r="H249" s="11">
        <v>1</v>
      </c>
      <c r="I249" s="191"/>
      <c r="J249" s="191"/>
      <c r="K249" s="191"/>
      <c r="L249" s="191"/>
      <c r="M249" s="191"/>
      <c r="N249" s="191"/>
      <c r="O249" s="211"/>
      <c r="P249" s="212"/>
      <c r="Q249" s="25">
        <v>220</v>
      </c>
      <c r="R249" s="32">
        <f>Q249*G249</f>
        <v>6600</v>
      </c>
      <c r="S249" s="25">
        <v>305</v>
      </c>
      <c r="T249" s="32">
        <f>S249*G249</f>
        <v>9150</v>
      </c>
      <c r="U249" s="32"/>
      <c r="V249" s="32"/>
      <c r="W249" s="32"/>
      <c r="X249" s="32"/>
      <c r="Y249" s="32"/>
      <c r="Z249" s="32"/>
      <c r="AA249" s="32"/>
      <c r="AB249" s="32"/>
      <c r="AC249" s="32"/>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c r="BI249" s="32"/>
      <c r="BJ249" s="32"/>
      <c r="BK249" s="192"/>
      <c r="BL249" s="32"/>
      <c r="BM249" s="192"/>
      <c r="BN249" s="32"/>
      <c r="BO249" s="32"/>
      <c r="BP249" s="32"/>
      <c r="BQ249" s="32"/>
      <c r="BR249" s="32"/>
      <c r="BS249" s="32"/>
      <c r="BT249" s="32"/>
      <c r="BU249" s="32"/>
      <c r="BV249" s="32"/>
      <c r="BW249" s="32"/>
      <c r="BX249" s="32"/>
      <c r="BY249" s="32"/>
      <c r="BZ249" s="32"/>
      <c r="CA249" s="32"/>
      <c r="CB249" s="32"/>
      <c r="CC249" s="32"/>
      <c r="CD249" s="32"/>
      <c r="CE249" s="32"/>
      <c r="CF249" s="32"/>
      <c r="CG249" s="32"/>
      <c r="CH249" s="32"/>
      <c r="CI249" s="32"/>
      <c r="CJ249" s="32"/>
      <c r="CK249" s="32"/>
      <c r="CL249" s="32"/>
      <c r="CM249" s="32"/>
      <c r="CN249" s="32"/>
      <c r="CO249" s="32"/>
      <c r="CP249" s="32"/>
      <c r="CQ249" s="32"/>
      <c r="CR249" s="32"/>
      <c r="CS249" s="32"/>
      <c r="CT249" s="32"/>
      <c r="CU249" s="32"/>
      <c r="CV249" s="32"/>
      <c r="CW249" s="32"/>
      <c r="CX249" s="32"/>
      <c r="CY249" s="32"/>
      <c r="CZ249" s="32"/>
      <c r="DA249" s="32"/>
      <c r="DB249" s="32"/>
      <c r="DC249" s="32"/>
      <c r="DD249" s="32"/>
      <c r="DE249" s="32"/>
      <c r="DF249" s="32"/>
      <c r="DG249" s="32"/>
      <c r="DH249" s="32"/>
      <c r="DI249" s="32"/>
      <c r="DJ249" s="32"/>
      <c r="DK249" s="32"/>
      <c r="DL249" s="32"/>
      <c r="DM249" s="32"/>
      <c r="DN249" s="32"/>
      <c r="DO249" s="32"/>
      <c r="DP249" s="32"/>
      <c r="DQ249" s="32"/>
      <c r="DR249" s="32"/>
      <c r="DS249" s="13">
        <f>+MEDIAN(Q249,S249)</f>
        <v>262.5</v>
      </c>
      <c r="DT249" s="13">
        <f>+AVERAGE(Q249,S249)</f>
        <v>262.5</v>
      </c>
      <c r="DU249" s="13">
        <f>+STDEV(Q249,S249)</f>
        <v>60.104076400856542</v>
      </c>
      <c r="DV249" s="17">
        <f t="shared" si="45"/>
        <v>0.22896791009850112</v>
      </c>
      <c r="DW249" s="373">
        <f t="shared" si="46"/>
        <v>263</v>
      </c>
      <c r="DX249" s="326">
        <f t="shared" si="44"/>
        <v>7890</v>
      </c>
      <c r="DY249" s="10" t="s">
        <v>309</v>
      </c>
    </row>
    <row r="250" spans="1:129" ht="52" hidden="1" x14ac:dyDescent="0.3">
      <c r="A250" s="70">
        <v>63</v>
      </c>
      <c r="B250" s="9" t="s">
        <v>55</v>
      </c>
      <c r="C250" s="648" t="s">
        <v>144</v>
      </c>
      <c r="D250" s="9" t="s">
        <v>162</v>
      </c>
      <c r="E250" s="10" t="s">
        <v>1352</v>
      </c>
      <c r="F250" s="9" t="s">
        <v>19</v>
      </c>
      <c r="G250" s="11">
        <v>10</v>
      </c>
      <c r="H250" s="11">
        <v>1</v>
      </c>
      <c r="I250" s="649"/>
      <c r="J250" s="649"/>
      <c r="K250" s="649"/>
      <c r="L250" s="649"/>
      <c r="M250" s="649"/>
      <c r="N250" s="649"/>
      <c r="O250" s="650"/>
      <c r="P250" s="651"/>
      <c r="Q250" s="661"/>
      <c r="R250" s="661"/>
      <c r="S250" s="661"/>
      <c r="T250" s="205"/>
      <c r="U250" s="205"/>
      <c r="V250" s="205"/>
      <c r="W250" s="205"/>
      <c r="X250" s="205"/>
      <c r="Y250" s="205"/>
      <c r="Z250" s="205"/>
      <c r="AA250" s="205"/>
      <c r="AB250" s="205"/>
      <c r="AC250" s="205"/>
      <c r="AD250" s="205"/>
      <c r="AE250" s="205"/>
      <c r="AF250" s="205"/>
      <c r="AG250" s="205"/>
      <c r="AH250" s="205"/>
      <c r="AI250" s="205"/>
      <c r="AJ250" s="205"/>
      <c r="AK250" s="205"/>
      <c r="AL250" s="205"/>
      <c r="AM250" s="205"/>
      <c r="AN250" s="205"/>
      <c r="AO250" s="205"/>
      <c r="AP250" s="205"/>
      <c r="AQ250" s="205"/>
      <c r="AR250" s="205"/>
      <c r="AS250" s="205"/>
      <c r="AT250" s="205"/>
      <c r="AU250" s="205"/>
      <c r="AV250" s="205"/>
      <c r="AW250" s="205"/>
      <c r="AX250" s="205"/>
      <c r="AY250" s="205"/>
      <c r="AZ250" s="205"/>
      <c r="BA250" s="205"/>
      <c r="BB250" s="205"/>
      <c r="BC250" s="205"/>
      <c r="BD250" s="205"/>
      <c r="BE250" s="205"/>
      <c r="BF250" s="205"/>
      <c r="BG250" s="205"/>
      <c r="BH250" s="205"/>
      <c r="BI250" s="205"/>
      <c r="BJ250" s="205"/>
      <c r="BK250" s="206"/>
      <c r="BL250" s="205"/>
      <c r="BM250" s="206"/>
      <c r="BN250" s="205"/>
      <c r="BO250" s="205"/>
      <c r="BP250" s="205"/>
      <c r="BQ250" s="205"/>
      <c r="BR250" s="205"/>
      <c r="BS250" s="205"/>
      <c r="BT250" s="205"/>
      <c r="BU250" s="205"/>
      <c r="BV250" s="205"/>
      <c r="BW250" s="205"/>
      <c r="BX250" s="205"/>
      <c r="BY250" s="205"/>
      <c r="BZ250" s="205"/>
      <c r="CA250" s="205"/>
      <c r="CB250" s="205"/>
      <c r="CC250" s="205"/>
      <c r="CD250" s="205"/>
      <c r="CE250" s="205"/>
      <c r="CF250" s="205"/>
      <c r="CG250" s="205"/>
      <c r="CH250" s="205"/>
      <c r="CI250" s="205"/>
      <c r="CJ250" s="205"/>
      <c r="CK250" s="205"/>
      <c r="CL250" s="205"/>
      <c r="CM250" s="205"/>
      <c r="CN250" s="205"/>
      <c r="CO250" s="654">
        <v>34000</v>
      </c>
      <c r="CP250" s="205">
        <f>CO250*G250</f>
        <v>340000</v>
      </c>
      <c r="CQ250" s="653">
        <v>35000</v>
      </c>
      <c r="CR250" s="205">
        <f>CQ250*G250*H250</f>
        <v>350000</v>
      </c>
      <c r="CS250" s="654"/>
      <c r="CT250" s="205"/>
      <c r="CU250" s="653">
        <v>35000</v>
      </c>
      <c r="CV250" s="205">
        <f>CU250*G250</f>
        <v>350000</v>
      </c>
      <c r="CW250" s="658"/>
      <c r="CX250" s="205"/>
      <c r="CY250" s="658"/>
      <c r="CZ250" s="205"/>
      <c r="DA250" s="205"/>
      <c r="DB250" s="205"/>
      <c r="DC250" s="658"/>
      <c r="DD250" s="205"/>
      <c r="DE250" s="205"/>
      <c r="DF250" s="205"/>
      <c r="DG250" s="205"/>
      <c r="DH250" s="205"/>
      <c r="DI250" s="205"/>
      <c r="DJ250" s="205"/>
      <c r="DK250" s="205"/>
      <c r="DL250" s="205"/>
      <c r="DM250" s="205"/>
      <c r="DN250" s="205"/>
      <c r="DO250" s="205"/>
      <c r="DP250" s="205"/>
      <c r="DQ250" s="205"/>
      <c r="DR250" s="205"/>
      <c r="DS250" s="656">
        <f>+MEDIAN(CO250,CQ250,CU250)</f>
        <v>35000</v>
      </c>
      <c r="DT250" s="656">
        <f>+AVERAGE(CO250,CQ250,CU250)</f>
        <v>34666.666666666664</v>
      </c>
      <c r="DU250" s="656">
        <f>+STDEV(CO250,CQ250,CU250)</f>
        <v>577.35026918962581</v>
      </c>
      <c r="DV250" s="657">
        <f t="shared" si="45"/>
        <v>1.6654334688162284E-2</v>
      </c>
      <c r="DW250" s="662">
        <f t="shared" si="46"/>
        <v>34667</v>
      </c>
      <c r="DX250" s="326">
        <f t="shared" si="44"/>
        <v>346670</v>
      </c>
      <c r="DY250" s="10" t="s">
        <v>448</v>
      </c>
    </row>
    <row r="251" spans="1:129" ht="102" hidden="1" customHeight="1" x14ac:dyDescent="0.3">
      <c r="A251" s="19">
        <v>64</v>
      </c>
      <c r="B251" s="9" t="s">
        <v>55</v>
      </c>
      <c r="C251" s="9" t="s">
        <v>144</v>
      </c>
      <c r="D251" s="9" t="s">
        <v>163</v>
      </c>
      <c r="E251" s="10" t="s">
        <v>485</v>
      </c>
      <c r="F251" s="9" t="s">
        <v>19</v>
      </c>
      <c r="G251" s="11">
        <v>5</v>
      </c>
      <c r="H251" s="11">
        <v>1</v>
      </c>
      <c r="I251" s="340"/>
      <c r="J251" s="340"/>
      <c r="K251" s="340"/>
      <c r="L251" s="340"/>
      <c r="M251" s="340"/>
      <c r="N251" s="340"/>
      <c r="O251" s="341"/>
      <c r="P251" s="342"/>
      <c r="Q251" s="25"/>
      <c r="R251" s="25"/>
      <c r="S251" s="25"/>
      <c r="T251" s="25"/>
      <c r="U251" s="25"/>
      <c r="V251" s="25"/>
      <c r="W251" s="25"/>
      <c r="X251" s="25"/>
      <c r="Y251" s="25"/>
      <c r="Z251" s="25"/>
      <c r="AA251" s="25"/>
      <c r="AB251" s="25"/>
      <c r="AC251" s="25"/>
      <c r="AD251" s="25"/>
      <c r="AE251" s="25"/>
      <c r="AF251" s="25"/>
      <c r="AG251" s="25"/>
      <c r="AH251" s="25"/>
      <c r="AI251" s="25"/>
      <c r="AJ251" s="25"/>
      <c r="AK251" s="25"/>
      <c r="AL251" s="25"/>
      <c r="AM251" s="25"/>
      <c r="AN251" s="25"/>
      <c r="AO251" s="25"/>
      <c r="AP251" s="25"/>
      <c r="AQ251" s="25"/>
      <c r="AR251" s="25"/>
      <c r="AS251" s="25"/>
      <c r="AT251" s="25"/>
      <c r="AU251" s="25"/>
      <c r="AV251" s="25"/>
      <c r="AW251" s="25"/>
      <c r="AX251" s="25"/>
      <c r="AY251" s="25"/>
      <c r="AZ251" s="25"/>
      <c r="BA251" s="25"/>
      <c r="BB251" s="25"/>
      <c r="BC251" s="25"/>
      <c r="BD251" s="25"/>
      <c r="BE251" s="25"/>
      <c r="BF251" s="25"/>
      <c r="BG251" s="25"/>
      <c r="BH251" s="25"/>
      <c r="BI251" s="25"/>
      <c r="BJ251" s="25"/>
      <c r="BK251" s="343"/>
      <c r="BL251" s="25"/>
      <c r="BM251" s="343"/>
      <c r="BN251" s="25"/>
      <c r="BO251" s="25"/>
      <c r="BP251" s="25"/>
      <c r="BQ251" s="25"/>
      <c r="BR251" s="25"/>
      <c r="BS251" s="25"/>
      <c r="BT251" s="25"/>
      <c r="BU251" s="25"/>
      <c r="BV251" s="25"/>
      <c r="BW251" s="25"/>
      <c r="BX251" s="25"/>
      <c r="BY251" s="25"/>
      <c r="BZ251" s="25"/>
      <c r="CA251" s="25"/>
      <c r="CB251" s="25"/>
      <c r="CC251" s="25"/>
      <c r="CD251" s="25"/>
      <c r="CE251" s="25"/>
      <c r="CF251" s="25"/>
      <c r="CG251" s="25"/>
      <c r="CH251" s="25"/>
      <c r="CI251" s="25"/>
      <c r="CJ251" s="25"/>
      <c r="CK251" s="25"/>
      <c r="CL251" s="25"/>
      <c r="CM251" s="25"/>
      <c r="CN251" s="25"/>
      <c r="CO251" s="28">
        <v>280000</v>
      </c>
      <c r="CP251" s="25">
        <f t="shared" ref="CP251" si="47">CO251*G251</f>
        <v>1400000</v>
      </c>
      <c r="CQ251" s="344"/>
      <c r="CR251" s="25"/>
      <c r="CS251" s="28">
        <v>295000</v>
      </c>
      <c r="CT251" s="25">
        <f>CS251*G251*H251</f>
        <v>1475000</v>
      </c>
      <c r="CU251" s="344"/>
      <c r="CV251" s="25"/>
      <c r="CW251" s="352"/>
      <c r="CX251" s="25"/>
      <c r="CY251" s="352"/>
      <c r="CZ251" s="25"/>
      <c r="DA251" s="25"/>
      <c r="DB251" s="25"/>
      <c r="DC251" s="352"/>
      <c r="DD251" s="25"/>
      <c r="DE251" s="25"/>
      <c r="DF251" s="25"/>
      <c r="DG251" s="25"/>
      <c r="DH251" s="25"/>
      <c r="DI251" s="25"/>
      <c r="DJ251" s="25"/>
      <c r="DK251" s="25"/>
      <c r="DL251" s="25"/>
      <c r="DM251" s="25"/>
      <c r="DN251" s="25"/>
      <c r="DO251" s="25"/>
      <c r="DP251" s="25"/>
      <c r="DQ251" s="25"/>
      <c r="DR251" s="25"/>
      <c r="DS251" s="13">
        <f t="shared" ref="DS251" si="48">+MEDIAN(CO251,CS251)</f>
        <v>287500</v>
      </c>
      <c r="DT251" s="13">
        <f t="shared" ref="DT251" si="49">+AVERAGE(CO251,CS251)</f>
        <v>287500</v>
      </c>
      <c r="DU251" s="13">
        <f t="shared" ref="DU251" si="50">+STDEV(CO251,CS251)</f>
        <v>10606.601717798212</v>
      </c>
      <c r="DV251" s="17">
        <f t="shared" si="45"/>
        <v>3.689252771408074E-2</v>
      </c>
      <c r="DW251" s="373">
        <f t="shared" si="46"/>
        <v>287500</v>
      </c>
      <c r="DX251" s="326">
        <f t="shared" si="44"/>
        <v>1437500</v>
      </c>
      <c r="DY251" s="10" t="s">
        <v>328</v>
      </c>
    </row>
    <row r="252" spans="1:129" ht="39" hidden="1" x14ac:dyDescent="0.3">
      <c r="A252" s="70">
        <v>65</v>
      </c>
      <c r="B252" s="9" t="s">
        <v>55</v>
      </c>
      <c r="C252" s="9" t="s">
        <v>144</v>
      </c>
      <c r="D252" s="9" t="s">
        <v>164</v>
      </c>
      <c r="E252" s="10" t="s">
        <v>165</v>
      </c>
      <c r="F252" s="9" t="s">
        <v>67</v>
      </c>
      <c r="G252" s="11">
        <v>30</v>
      </c>
      <c r="H252" s="11">
        <v>1</v>
      </c>
      <c r="I252" s="191"/>
      <c r="J252" s="191"/>
      <c r="K252" s="191"/>
      <c r="L252" s="191"/>
      <c r="M252" s="191"/>
      <c r="N252" s="191"/>
      <c r="O252" s="211"/>
      <c r="P252" s="212"/>
      <c r="Q252" s="32"/>
      <c r="R252" s="32"/>
      <c r="S252" s="32"/>
      <c r="T252" s="32"/>
      <c r="U252" s="32"/>
      <c r="V252" s="32"/>
      <c r="W252" s="32"/>
      <c r="X252" s="32"/>
      <c r="Y252" s="32"/>
      <c r="Z252" s="32"/>
      <c r="AA252" s="32"/>
      <c r="AB252" s="32"/>
      <c r="AC252" s="32"/>
      <c r="AD252" s="32"/>
      <c r="AE252" s="32"/>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c r="BI252" s="32"/>
      <c r="BJ252" s="32"/>
      <c r="BK252" s="192"/>
      <c r="BL252" s="32"/>
      <c r="BM252" s="192"/>
      <c r="BN252" s="32"/>
      <c r="BO252" s="32"/>
      <c r="BP252" s="32"/>
      <c r="BQ252" s="32"/>
      <c r="BR252" s="32"/>
      <c r="BS252" s="32"/>
      <c r="BT252" s="32"/>
      <c r="BU252" s="32"/>
      <c r="BV252" s="32"/>
      <c r="BW252" s="32"/>
      <c r="BX252" s="32"/>
      <c r="BY252" s="32"/>
      <c r="BZ252" s="32"/>
      <c r="CA252" s="32"/>
      <c r="CB252" s="32"/>
      <c r="CC252" s="32"/>
      <c r="CD252" s="32"/>
      <c r="CE252" s="32"/>
      <c r="CF252" s="32"/>
      <c r="CG252" s="32"/>
      <c r="CH252" s="32"/>
      <c r="CI252" s="32"/>
      <c r="CJ252" s="32"/>
      <c r="CK252" s="32"/>
      <c r="CL252" s="32"/>
      <c r="CM252" s="32"/>
      <c r="CN252" s="32"/>
      <c r="CO252" s="224">
        <v>24000</v>
      </c>
      <c r="CP252" s="32">
        <f>CO252*G252</f>
        <v>720000</v>
      </c>
      <c r="CQ252" s="225">
        <v>25000</v>
      </c>
      <c r="CR252" s="32">
        <f t="shared" ref="CR252" si="51">CQ252*G252*H252</f>
        <v>750000</v>
      </c>
      <c r="CS252" s="28">
        <v>14000</v>
      </c>
      <c r="CT252" s="25">
        <f>CS252*G252</f>
        <v>420000</v>
      </c>
      <c r="CU252" s="225">
        <v>25000</v>
      </c>
      <c r="CV252" s="25">
        <f>CU252*G252</f>
        <v>750000</v>
      </c>
      <c r="CW252" s="245"/>
      <c r="CX252" s="25"/>
      <c r="CY252" s="245"/>
      <c r="CZ252" s="25"/>
      <c r="DA252" s="25"/>
      <c r="DB252" s="25"/>
      <c r="DC252" s="245"/>
      <c r="DD252" s="25"/>
      <c r="DE252" s="25"/>
      <c r="DF252" s="25"/>
      <c r="DG252" s="25"/>
      <c r="DH252" s="25"/>
      <c r="DI252" s="25"/>
      <c r="DJ252" s="25"/>
      <c r="DK252" s="25"/>
      <c r="DL252" s="25"/>
      <c r="DM252" s="25"/>
      <c r="DN252" s="25"/>
      <c r="DO252" s="25"/>
      <c r="DP252" s="25"/>
      <c r="DQ252" s="25"/>
      <c r="DR252" s="25"/>
      <c r="DS252" s="13">
        <f>+MEDIAN(CO252,CQ252,CU252,CS252)</f>
        <v>24500</v>
      </c>
      <c r="DT252" s="13">
        <f>+AVERAGE(CO252,CQ252,CU252,CS252)</f>
        <v>22000</v>
      </c>
      <c r="DU252" s="13">
        <f>+STDEV(CO252,CQ252,CU252,CS252)</f>
        <v>5354.126134736337</v>
      </c>
      <c r="DV252" s="17">
        <f t="shared" si="45"/>
        <v>0.24336936976074258</v>
      </c>
      <c r="DW252" s="373">
        <f t="shared" si="46"/>
        <v>24500</v>
      </c>
      <c r="DX252" s="326">
        <f t="shared" si="44"/>
        <v>735000</v>
      </c>
      <c r="DY252" s="10" t="s">
        <v>322</v>
      </c>
    </row>
    <row r="253" spans="1:129" ht="39" hidden="1" x14ac:dyDescent="0.3">
      <c r="A253" s="19">
        <v>66</v>
      </c>
      <c r="B253" s="9" t="s">
        <v>55</v>
      </c>
      <c r="C253" s="9" t="s">
        <v>144</v>
      </c>
      <c r="D253" s="9" t="s">
        <v>279</v>
      </c>
      <c r="E253" s="29" t="s">
        <v>52</v>
      </c>
      <c r="F253" s="9" t="s">
        <v>24</v>
      </c>
      <c r="G253" s="11">
        <v>10</v>
      </c>
      <c r="H253" s="11">
        <v>1</v>
      </c>
      <c r="I253" s="191"/>
      <c r="J253" s="191"/>
      <c r="K253" s="191"/>
      <c r="L253" s="191"/>
      <c r="M253" s="191"/>
      <c r="N253" s="191"/>
      <c r="O253" s="25">
        <v>11500</v>
      </c>
      <c r="P253" s="212">
        <f>O253*G253</f>
        <v>115000</v>
      </c>
      <c r="Q253" s="32"/>
      <c r="R253" s="32"/>
      <c r="S253" s="25">
        <v>12400</v>
      </c>
      <c r="T253" s="32">
        <f>S253*G253</f>
        <v>124000</v>
      </c>
      <c r="U253" s="32"/>
      <c r="V253" s="32"/>
      <c r="W253" s="32"/>
      <c r="X253" s="32"/>
      <c r="Y253" s="32"/>
      <c r="Z253" s="32"/>
      <c r="AA253" s="32"/>
      <c r="AB253" s="32"/>
      <c r="AC253" s="32"/>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c r="BI253" s="32"/>
      <c r="BJ253" s="32"/>
      <c r="BK253" s="192"/>
      <c r="BL253" s="32"/>
      <c r="BM253" s="192"/>
      <c r="BN253" s="32"/>
      <c r="BO253" s="32"/>
      <c r="BP253" s="32"/>
      <c r="BQ253" s="32"/>
      <c r="BR253" s="32"/>
      <c r="BS253" s="32"/>
      <c r="BT253" s="32"/>
      <c r="BU253" s="32"/>
      <c r="BV253" s="32"/>
      <c r="BW253" s="32"/>
      <c r="BX253" s="32"/>
      <c r="BY253" s="32"/>
      <c r="BZ253" s="32"/>
      <c r="CA253" s="32"/>
      <c r="CB253" s="32"/>
      <c r="CC253" s="32"/>
      <c r="CD253" s="32"/>
      <c r="CE253" s="32"/>
      <c r="CF253" s="32"/>
      <c r="CG253" s="32"/>
      <c r="CH253" s="32"/>
      <c r="CI253" s="32"/>
      <c r="CJ253" s="32"/>
      <c r="CK253" s="32"/>
      <c r="CL253" s="32"/>
      <c r="CM253" s="32"/>
      <c r="CN253" s="32"/>
      <c r="CO253" s="32"/>
      <c r="CP253" s="32"/>
      <c r="CQ253" s="32"/>
      <c r="CR253" s="32"/>
      <c r="CS253" s="32"/>
      <c r="CT253" s="32"/>
      <c r="CU253" s="32"/>
      <c r="CV253" s="32"/>
      <c r="CW253" s="32"/>
      <c r="CX253" s="32"/>
      <c r="CY253" s="32"/>
      <c r="CZ253" s="32"/>
      <c r="DA253" s="32"/>
      <c r="DB253" s="32"/>
      <c r="DC253" s="32"/>
      <c r="DD253" s="32"/>
      <c r="DE253" s="32"/>
      <c r="DF253" s="32"/>
      <c r="DG253" s="32"/>
      <c r="DH253" s="32"/>
      <c r="DI253" s="32"/>
      <c r="DJ253" s="32"/>
      <c r="DK253" s="32"/>
      <c r="DL253" s="32"/>
      <c r="DM253" s="32"/>
      <c r="DN253" s="32"/>
      <c r="DO253" s="32"/>
      <c r="DP253" s="32"/>
      <c r="DQ253" s="32"/>
      <c r="DR253" s="32"/>
      <c r="DS253" s="13">
        <f>+MEDIAN(O253,S253)</f>
        <v>11950</v>
      </c>
      <c r="DT253" s="13">
        <f>+AVERAGE(O253,S253)</f>
        <v>11950</v>
      </c>
      <c r="DU253" s="13">
        <f>+STDEV(O253,S253)</f>
        <v>636.3961030678928</v>
      </c>
      <c r="DV253" s="17">
        <f t="shared" si="45"/>
        <v>5.3254904022417809E-2</v>
      </c>
      <c r="DW253" s="373">
        <f t="shared" si="46"/>
        <v>11950</v>
      </c>
      <c r="DX253" s="326">
        <f t="shared" si="44"/>
        <v>119500</v>
      </c>
      <c r="DY253" s="10" t="s">
        <v>308</v>
      </c>
    </row>
    <row r="254" spans="1:129" ht="39" hidden="1" x14ac:dyDescent="0.3">
      <c r="A254" s="70">
        <v>67</v>
      </c>
      <c r="B254" s="9" t="s">
        <v>55</v>
      </c>
      <c r="C254" s="9" t="s">
        <v>144</v>
      </c>
      <c r="D254" s="9" t="s">
        <v>166</v>
      </c>
      <c r="E254" s="10" t="s">
        <v>167</v>
      </c>
      <c r="F254" s="9" t="s">
        <v>19</v>
      </c>
      <c r="G254" s="11">
        <v>7</v>
      </c>
      <c r="H254" s="11">
        <v>1</v>
      </c>
      <c r="I254" s="191"/>
      <c r="J254" s="191"/>
      <c r="K254" s="191"/>
      <c r="L254" s="191"/>
      <c r="M254" s="191"/>
      <c r="N254" s="191"/>
      <c r="O254" s="25">
        <v>4202</v>
      </c>
      <c r="P254" s="212">
        <f>O254*G254</f>
        <v>29414</v>
      </c>
      <c r="Q254" s="25">
        <v>3200</v>
      </c>
      <c r="R254" s="212">
        <f>Q254*G254</f>
        <v>22400</v>
      </c>
      <c r="S254" s="25">
        <v>3415</v>
      </c>
      <c r="T254" s="32">
        <f>S254*G254</f>
        <v>23905</v>
      </c>
      <c r="U254" s="25">
        <v>2900</v>
      </c>
      <c r="V254" s="32">
        <f>U254*G254</f>
        <v>20300</v>
      </c>
      <c r="W254" s="25">
        <v>3800</v>
      </c>
      <c r="X254" s="32">
        <f>W254*G254</f>
        <v>26600</v>
      </c>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c r="BI254" s="32"/>
      <c r="BJ254" s="32"/>
      <c r="BK254" s="192"/>
      <c r="BL254" s="32"/>
      <c r="BM254" s="192"/>
      <c r="BN254" s="32"/>
      <c r="BO254" s="32"/>
      <c r="BP254" s="32"/>
      <c r="BQ254" s="32"/>
      <c r="BR254" s="32"/>
      <c r="BS254" s="32"/>
      <c r="BT254" s="32"/>
      <c r="BU254" s="32"/>
      <c r="BV254" s="32"/>
      <c r="BW254" s="32"/>
      <c r="BX254" s="32"/>
      <c r="BY254" s="32"/>
      <c r="BZ254" s="32"/>
      <c r="CA254" s="32"/>
      <c r="CB254" s="32"/>
      <c r="CC254" s="32"/>
      <c r="CD254" s="32"/>
      <c r="CE254" s="32"/>
      <c r="CF254" s="32"/>
      <c r="CG254" s="32"/>
      <c r="CH254" s="32"/>
      <c r="CI254" s="32"/>
      <c r="CJ254" s="32"/>
      <c r="CK254" s="32"/>
      <c r="CL254" s="32"/>
      <c r="CM254" s="32"/>
      <c r="CN254" s="32"/>
      <c r="CO254" s="32"/>
      <c r="CP254" s="32"/>
      <c r="CQ254" s="32"/>
      <c r="CR254" s="32"/>
      <c r="CS254" s="32"/>
      <c r="CT254" s="32"/>
      <c r="CU254" s="32"/>
      <c r="CV254" s="32"/>
      <c r="CW254" s="32"/>
      <c r="CX254" s="32"/>
      <c r="CY254" s="32"/>
      <c r="CZ254" s="32"/>
      <c r="DA254" s="32"/>
      <c r="DB254" s="32"/>
      <c r="DC254" s="32"/>
      <c r="DD254" s="32"/>
      <c r="DE254" s="32"/>
      <c r="DF254" s="32"/>
      <c r="DG254" s="32"/>
      <c r="DH254" s="32"/>
      <c r="DI254" s="32"/>
      <c r="DJ254" s="32"/>
      <c r="DK254" s="32"/>
      <c r="DL254" s="32"/>
      <c r="DM254" s="32"/>
      <c r="DN254" s="32"/>
      <c r="DO254" s="32"/>
      <c r="DP254" s="32"/>
      <c r="DQ254" s="32"/>
      <c r="DR254" s="32"/>
      <c r="DS254" s="265">
        <f>MEDIAN(O254,Q254,S254,U254,W254)</f>
        <v>3415</v>
      </c>
      <c r="DT254" s="265">
        <f>AVERAGE(O254,Q254,S254,U254,W254)</f>
        <v>3503.4</v>
      </c>
      <c r="DU254" s="265">
        <f>STDEV(O254,Q254,S254,U254,W254)</f>
        <v>509.89489112953538</v>
      </c>
      <c r="DV254" s="48">
        <f t="shared" si="45"/>
        <v>0.14554287010604994</v>
      </c>
      <c r="DW254" s="377">
        <f>ROUNDUP(IF(DV254&lt;15%,DT254,DS254),0)</f>
        <v>3504</v>
      </c>
      <c r="DX254" s="326">
        <f t="shared" si="44"/>
        <v>24528</v>
      </c>
      <c r="DY254" s="10" t="s">
        <v>308</v>
      </c>
    </row>
    <row r="255" spans="1:129" ht="39" hidden="1" x14ac:dyDescent="0.3">
      <c r="A255" s="19">
        <v>68</v>
      </c>
      <c r="B255" s="9" t="s">
        <v>55</v>
      </c>
      <c r="C255" s="9" t="s">
        <v>144</v>
      </c>
      <c r="D255" s="9" t="s">
        <v>168</v>
      </c>
      <c r="E255" s="10" t="s">
        <v>169</v>
      </c>
      <c r="F255" s="9" t="s">
        <v>24</v>
      </c>
      <c r="G255" s="11">
        <v>4</v>
      </c>
      <c r="H255" s="11">
        <v>1</v>
      </c>
      <c r="I255" s="191"/>
      <c r="J255" s="191"/>
      <c r="K255" s="191"/>
      <c r="L255" s="191"/>
      <c r="M255" s="191"/>
      <c r="N255" s="191"/>
      <c r="O255" s="211"/>
      <c r="P255" s="212"/>
      <c r="Q255" s="32"/>
      <c r="R255" s="32"/>
      <c r="S255" s="32"/>
      <c r="T255" s="32"/>
      <c r="U255" s="32"/>
      <c r="V255" s="32"/>
      <c r="W255" s="32"/>
      <c r="X255" s="32"/>
      <c r="Y255" s="32"/>
      <c r="Z255" s="32"/>
      <c r="AA255" s="32"/>
      <c r="AB255" s="32"/>
      <c r="AC255" s="32"/>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c r="BI255" s="32"/>
      <c r="BJ255" s="32"/>
      <c r="BK255" s="192"/>
      <c r="BL255" s="32"/>
      <c r="BM255" s="192"/>
      <c r="BN255" s="32"/>
      <c r="BO255" s="32"/>
      <c r="BP255" s="32"/>
      <c r="BQ255" s="32"/>
      <c r="BR255" s="32"/>
      <c r="BS255" s="32"/>
      <c r="BT255" s="32"/>
      <c r="BU255" s="32"/>
      <c r="BV255" s="32"/>
      <c r="BW255" s="32"/>
      <c r="BX255" s="32"/>
      <c r="BY255" s="32"/>
      <c r="BZ255" s="32"/>
      <c r="CA255" s="32"/>
      <c r="CB255" s="32"/>
      <c r="CC255" s="32"/>
      <c r="CD255" s="32"/>
      <c r="CE255" s="32"/>
      <c r="CF255" s="32"/>
      <c r="CG255" s="32"/>
      <c r="CH255" s="32"/>
      <c r="CI255" s="32"/>
      <c r="CJ255" s="32"/>
      <c r="CK255" s="32"/>
      <c r="CL255" s="32"/>
      <c r="CM255" s="32"/>
      <c r="CN255" s="32"/>
      <c r="CO255" s="224">
        <v>140000</v>
      </c>
      <c r="CP255" s="32">
        <f t="shared" ref="CP255:CP261" si="52">CO255*G255</f>
        <v>560000</v>
      </c>
      <c r="CQ255" s="225">
        <v>150000</v>
      </c>
      <c r="CR255" s="32">
        <f t="shared" ref="CR255" si="53">CQ255*G255*H255</f>
        <v>600000</v>
      </c>
      <c r="CS255" s="28"/>
      <c r="CT255" s="25"/>
      <c r="CU255" s="225">
        <v>150000</v>
      </c>
      <c r="CV255" s="25">
        <f>CU255*G255</f>
        <v>600000</v>
      </c>
      <c r="CW255" s="245"/>
      <c r="CX255" s="25"/>
      <c r="CY255" s="245"/>
      <c r="CZ255" s="25"/>
      <c r="DA255" s="25"/>
      <c r="DB255" s="25"/>
      <c r="DC255" s="245"/>
      <c r="DD255" s="25"/>
      <c r="DE255" s="25"/>
      <c r="DF255" s="25"/>
      <c r="DG255" s="25"/>
      <c r="DH255" s="25"/>
      <c r="DI255" s="25"/>
      <c r="DJ255" s="25"/>
      <c r="DK255" s="25"/>
      <c r="DL255" s="25"/>
      <c r="DM255" s="25"/>
      <c r="DN255" s="25"/>
      <c r="DO255" s="25"/>
      <c r="DP255" s="25"/>
      <c r="DQ255" s="25"/>
      <c r="DR255" s="25"/>
      <c r="DS255" s="13">
        <f>+MEDIAN(CO255,CQ255,CU255)</f>
        <v>150000</v>
      </c>
      <c r="DT255" s="13">
        <f>+AVERAGE(CO255,CQ255,CU255)</f>
        <v>146666.66666666666</v>
      </c>
      <c r="DU255" s="13">
        <f>+STDEV(CO255,CQ255,CU255)</f>
        <v>5773.5026918962576</v>
      </c>
      <c r="DV255" s="17">
        <f t="shared" si="45"/>
        <v>3.936479108111085E-2</v>
      </c>
      <c r="DW255" s="373">
        <f t="shared" ref="DW255:DW261" si="54">+ROUNDUP(IF(DV255&lt;15%,DT255,DS255),0)</f>
        <v>146667</v>
      </c>
      <c r="DX255" s="326">
        <f t="shared" si="44"/>
        <v>586668</v>
      </c>
      <c r="DY255" s="10" t="s">
        <v>448</v>
      </c>
    </row>
    <row r="256" spans="1:129" ht="206" hidden="1" customHeight="1" x14ac:dyDescent="0.3">
      <c r="A256" s="70">
        <v>69</v>
      </c>
      <c r="B256" s="9" t="s">
        <v>55</v>
      </c>
      <c r="C256" s="647" t="s">
        <v>144</v>
      </c>
      <c r="D256" s="9" t="s">
        <v>170</v>
      </c>
      <c r="E256" s="10" t="s">
        <v>1356</v>
      </c>
      <c r="F256" s="9" t="s">
        <v>19</v>
      </c>
      <c r="G256" s="11">
        <v>4</v>
      </c>
      <c r="H256" s="11">
        <v>1</v>
      </c>
      <c r="I256" s="649"/>
      <c r="J256" s="649"/>
      <c r="K256" s="649"/>
      <c r="L256" s="649"/>
      <c r="M256" s="649"/>
      <c r="N256" s="649"/>
      <c r="O256" s="650"/>
      <c r="P256" s="651"/>
      <c r="Q256" s="205"/>
      <c r="R256" s="205"/>
      <c r="S256" s="205"/>
      <c r="T256" s="205"/>
      <c r="U256" s="205"/>
      <c r="V256" s="205"/>
      <c r="W256" s="205"/>
      <c r="X256" s="205"/>
      <c r="Y256" s="205"/>
      <c r="Z256" s="205"/>
      <c r="AA256" s="205"/>
      <c r="AB256" s="205"/>
      <c r="AC256" s="205"/>
      <c r="AD256" s="205"/>
      <c r="AE256" s="205"/>
      <c r="AF256" s="205"/>
      <c r="AG256" s="205"/>
      <c r="AH256" s="205"/>
      <c r="AI256" s="205"/>
      <c r="AJ256" s="205"/>
      <c r="AK256" s="205"/>
      <c r="AL256" s="205"/>
      <c r="AM256" s="205"/>
      <c r="AN256" s="205"/>
      <c r="AO256" s="205"/>
      <c r="AP256" s="205"/>
      <c r="AQ256" s="205"/>
      <c r="AR256" s="205"/>
      <c r="AS256" s="205"/>
      <c r="AT256" s="205"/>
      <c r="AU256" s="205"/>
      <c r="AV256" s="205"/>
      <c r="AW256" s="205"/>
      <c r="AX256" s="205"/>
      <c r="AY256" s="205"/>
      <c r="AZ256" s="205"/>
      <c r="BA256" s="205"/>
      <c r="BB256" s="205"/>
      <c r="BC256" s="205"/>
      <c r="BD256" s="205"/>
      <c r="BE256" s="205"/>
      <c r="BF256" s="205"/>
      <c r="BG256" s="205"/>
      <c r="BH256" s="205"/>
      <c r="BI256" s="205"/>
      <c r="BJ256" s="205"/>
      <c r="BK256" s="206"/>
      <c r="BL256" s="205"/>
      <c r="BM256" s="206"/>
      <c r="BN256" s="205"/>
      <c r="BO256" s="205"/>
      <c r="BP256" s="205"/>
      <c r="BQ256" s="205"/>
      <c r="BR256" s="205"/>
      <c r="BS256" s="205"/>
      <c r="BT256" s="205"/>
      <c r="BU256" s="205"/>
      <c r="BV256" s="205"/>
      <c r="BW256" s="205"/>
      <c r="BX256" s="205"/>
      <c r="BY256" s="205"/>
      <c r="BZ256" s="205"/>
      <c r="CA256" s="205"/>
      <c r="CB256" s="205"/>
      <c r="CC256" s="205"/>
      <c r="CD256" s="205"/>
      <c r="CE256" s="205"/>
      <c r="CF256" s="205"/>
      <c r="CG256" s="205"/>
      <c r="CH256" s="205"/>
      <c r="CI256" s="205"/>
      <c r="CJ256" s="205"/>
      <c r="CK256" s="205"/>
      <c r="CL256" s="205"/>
      <c r="CM256" s="205"/>
      <c r="CN256" s="205"/>
      <c r="CO256" s="654">
        <v>150000</v>
      </c>
      <c r="CP256" s="205">
        <f t="shared" si="52"/>
        <v>600000</v>
      </c>
      <c r="CQ256" s="653"/>
      <c r="CR256" s="205"/>
      <c r="CS256" s="654">
        <v>155000</v>
      </c>
      <c r="CT256" s="205">
        <f t="shared" ref="CT256:CT260" si="55">CS256*G256</f>
        <v>620000</v>
      </c>
      <c r="CU256" s="653"/>
      <c r="CV256" s="205"/>
      <c r="CW256" s="658"/>
      <c r="CX256" s="205"/>
      <c r="CY256" s="658"/>
      <c r="CZ256" s="205"/>
      <c r="DA256" s="205"/>
      <c r="DB256" s="205"/>
      <c r="DC256" s="658"/>
      <c r="DD256" s="205"/>
      <c r="DE256" s="205"/>
      <c r="DF256" s="205"/>
      <c r="DG256" s="205"/>
      <c r="DH256" s="205"/>
      <c r="DI256" s="205"/>
      <c r="DJ256" s="205"/>
      <c r="DK256" s="205"/>
      <c r="DL256" s="205"/>
      <c r="DM256" s="205"/>
      <c r="DN256" s="205"/>
      <c r="DO256" s="205"/>
      <c r="DP256" s="205"/>
      <c r="DQ256" s="205"/>
      <c r="DR256" s="205"/>
      <c r="DS256" s="656">
        <f>+MEDIAN(CO256,CS256)</f>
        <v>152500</v>
      </c>
      <c r="DT256" s="656">
        <f>+AVERAGE(CO256,CS256)</f>
        <v>152500</v>
      </c>
      <c r="DU256" s="656">
        <f>+STDEV(CO256,CS256)</f>
        <v>3535.5339059327375</v>
      </c>
      <c r="DV256" s="657">
        <f t="shared" si="45"/>
        <v>2.3183828891362213E-2</v>
      </c>
      <c r="DW256" s="662">
        <f t="shared" si="54"/>
        <v>152500</v>
      </c>
      <c r="DX256" s="326">
        <f t="shared" si="44"/>
        <v>610000</v>
      </c>
      <c r="DY256" s="10" t="s">
        <v>328</v>
      </c>
    </row>
    <row r="257" spans="1:132" ht="39" hidden="1" x14ac:dyDescent="0.3">
      <c r="A257" s="19">
        <v>70</v>
      </c>
      <c r="B257" s="9" t="s">
        <v>55</v>
      </c>
      <c r="C257" s="9" t="s">
        <v>144</v>
      </c>
      <c r="D257" s="9" t="s">
        <v>171</v>
      </c>
      <c r="E257" s="10" t="s">
        <v>172</v>
      </c>
      <c r="F257" s="9" t="s">
        <v>24</v>
      </c>
      <c r="G257" s="11">
        <v>45</v>
      </c>
      <c r="H257" s="11">
        <v>1</v>
      </c>
      <c r="I257" s="191"/>
      <c r="J257" s="191"/>
      <c r="K257" s="191"/>
      <c r="L257" s="191"/>
      <c r="M257" s="191"/>
      <c r="N257" s="191"/>
      <c r="O257" s="211"/>
      <c r="P257" s="21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c r="BI257" s="32"/>
      <c r="BJ257" s="32"/>
      <c r="BK257" s="192"/>
      <c r="BL257" s="32"/>
      <c r="BM257" s="192"/>
      <c r="BN257" s="32"/>
      <c r="BO257" s="32"/>
      <c r="BP257" s="32"/>
      <c r="BQ257" s="32"/>
      <c r="BR257" s="32"/>
      <c r="BS257" s="32"/>
      <c r="BT257" s="32"/>
      <c r="BU257" s="32"/>
      <c r="BV257" s="32"/>
      <c r="BW257" s="32"/>
      <c r="BX257" s="32"/>
      <c r="BY257" s="32"/>
      <c r="BZ257" s="32"/>
      <c r="CA257" s="32"/>
      <c r="CB257" s="32"/>
      <c r="CC257" s="32"/>
      <c r="CD257" s="32"/>
      <c r="CE257" s="32"/>
      <c r="CF257" s="32"/>
      <c r="CG257" s="32"/>
      <c r="CH257" s="32"/>
      <c r="CI257" s="32"/>
      <c r="CJ257" s="32"/>
      <c r="CK257" s="32"/>
      <c r="CL257" s="32"/>
      <c r="CM257" s="32"/>
      <c r="CN257" s="32"/>
      <c r="CO257" s="224">
        <v>25000</v>
      </c>
      <c r="CP257" s="32">
        <f t="shared" si="52"/>
        <v>1125000</v>
      </c>
      <c r="CQ257" s="225"/>
      <c r="CR257" s="32"/>
      <c r="CS257" s="224">
        <v>20000</v>
      </c>
      <c r="CT257" s="25">
        <f t="shared" si="55"/>
        <v>900000</v>
      </c>
      <c r="CU257" s="225"/>
      <c r="CV257" s="25"/>
      <c r="CW257" s="245"/>
      <c r="CX257" s="25"/>
      <c r="CY257" s="245">
        <v>35000</v>
      </c>
      <c r="CZ257" s="25">
        <f>CY257*G257*H257</f>
        <v>1575000</v>
      </c>
      <c r="DA257" s="25"/>
      <c r="DB257" s="25"/>
      <c r="DC257" s="245"/>
      <c r="DD257" s="25"/>
      <c r="DE257" s="25"/>
      <c r="DF257" s="25"/>
      <c r="DG257" s="25"/>
      <c r="DH257" s="25"/>
      <c r="DI257" s="25"/>
      <c r="DJ257" s="25"/>
      <c r="DK257" s="25"/>
      <c r="DL257" s="25"/>
      <c r="DM257" s="25"/>
      <c r="DN257" s="25"/>
      <c r="DO257" s="25"/>
      <c r="DP257" s="25"/>
      <c r="DQ257" s="25"/>
      <c r="DR257" s="25"/>
      <c r="DS257" s="13">
        <f>+MEDIAN(CO257,CS257,CY257)</f>
        <v>25000</v>
      </c>
      <c r="DT257" s="13">
        <f>+AVERAGE(CO257,CS257,CY257)</f>
        <v>26666.666666666668</v>
      </c>
      <c r="DU257" s="13">
        <f>+STDEV(CO257,CS257,CY257)</f>
        <v>7637.6261582597363</v>
      </c>
      <c r="DV257" s="17">
        <f t="shared" si="45"/>
        <v>0.2864109809347401</v>
      </c>
      <c r="DW257" s="373">
        <f t="shared" si="54"/>
        <v>25000</v>
      </c>
      <c r="DX257" s="326">
        <f t="shared" si="44"/>
        <v>1125000</v>
      </c>
      <c r="DY257" s="10" t="s">
        <v>322</v>
      </c>
    </row>
    <row r="258" spans="1:132" ht="39" hidden="1" x14ac:dyDescent="0.3">
      <c r="A258" s="70">
        <v>71</v>
      </c>
      <c r="B258" s="9" t="s">
        <v>55</v>
      </c>
      <c r="C258" s="9" t="s">
        <v>144</v>
      </c>
      <c r="D258" s="9" t="s">
        <v>173</v>
      </c>
      <c r="E258" s="10" t="s">
        <v>174</v>
      </c>
      <c r="F258" s="9" t="s">
        <v>24</v>
      </c>
      <c r="G258" s="11">
        <v>45</v>
      </c>
      <c r="H258" s="11">
        <v>1</v>
      </c>
      <c r="I258" s="191"/>
      <c r="J258" s="191"/>
      <c r="K258" s="191"/>
      <c r="L258" s="191"/>
      <c r="M258" s="191"/>
      <c r="N258" s="191"/>
      <c r="O258" s="211"/>
      <c r="P258" s="212"/>
      <c r="Q258" s="32"/>
      <c r="R258" s="32"/>
      <c r="S258" s="32"/>
      <c r="T258" s="32"/>
      <c r="U258" s="32"/>
      <c r="V258" s="32"/>
      <c r="W258" s="32"/>
      <c r="X258" s="32"/>
      <c r="Y258" s="32"/>
      <c r="Z258" s="32"/>
      <c r="AA258" s="32"/>
      <c r="AB258" s="32"/>
      <c r="AC258" s="32"/>
      <c r="AD258" s="32"/>
      <c r="AE258" s="32"/>
      <c r="AF258" s="32"/>
      <c r="AG258" s="32"/>
      <c r="AH258" s="32"/>
      <c r="AI258" s="32"/>
      <c r="AJ258" s="32"/>
      <c r="AK258" s="32"/>
      <c r="AL258" s="32"/>
      <c r="AM258" s="32"/>
      <c r="AN258" s="32"/>
      <c r="AO258" s="32"/>
      <c r="AP258" s="32"/>
      <c r="AQ258" s="32"/>
      <c r="AR258" s="32"/>
      <c r="AS258" s="32"/>
      <c r="AT258" s="32"/>
      <c r="AU258" s="32"/>
      <c r="AV258" s="32"/>
      <c r="AW258" s="32"/>
      <c r="AX258" s="32"/>
      <c r="AY258" s="32"/>
      <c r="AZ258" s="32"/>
      <c r="BA258" s="32"/>
      <c r="BB258" s="32"/>
      <c r="BC258" s="32"/>
      <c r="BD258" s="32"/>
      <c r="BE258" s="32"/>
      <c r="BF258" s="32"/>
      <c r="BG258" s="32"/>
      <c r="BH258" s="32"/>
      <c r="BI258" s="32"/>
      <c r="BJ258" s="32"/>
      <c r="BK258" s="192"/>
      <c r="BL258" s="32"/>
      <c r="BM258" s="192"/>
      <c r="BN258" s="32"/>
      <c r="BO258" s="32"/>
      <c r="BP258" s="32"/>
      <c r="BQ258" s="32"/>
      <c r="BR258" s="32"/>
      <c r="BS258" s="32"/>
      <c r="BT258" s="32"/>
      <c r="BU258" s="32"/>
      <c r="BV258" s="32"/>
      <c r="BW258" s="32"/>
      <c r="BX258" s="32"/>
      <c r="BY258" s="32"/>
      <c r="BZ258" s="32"/>
      <c r="CA258" s="32"/>
      <c r="CB258" s="32"/>
      <c r="CC258" s="32"/>
      <c r="CD258" s="32"/>
      <c r="CE258" s="32"/>
      <c r="CF258" s="32"/>
      <c r="CG258" s="32"/>
      <c r="CH258" s="32"/>
      <c r="CI258" s="32"/>
      <c r="CJ258" s="32"/>
      <c r="CK258" s="32"/>
      <c r="CL258" s="32"/>
      <c r="CM258" s="32"/>
      <c r="CN258" s="32"/>
      <c r="CO258" s="224">
        <v>28000</v>
      </c>
      <c r="CP258" s="32">
        <f t="shared" si="52"/>
        <v>1260000</v>
      </c>
      <c r="CQ258" s="225"/>
      <c r="CR258" s="32"/>
      <c r="CS258" s="224">
        <v>25000</v>
      </c>
      <c r="CT258" s="25">
        <f t="shared" si="55"/>
        <v>1125000</v>
      </c>
      <c r="CU258" s="225"/>
      <c r="CV258" s="25"/>
      <c r="CW258" s="245"/>
      <c r="CX258" s="25"/>
      <c r="CY258" s="245">
        <v>35000</v>
      </c>
      <c r="CZ258" s="25">
        <f>CY258*G258*H258</f>
        <v>1575000</v>
      </c>
      <c r="DA258" s="25"/>
      <c r="DB258" s="25"/>
      <c r="DC258" s="245"/>
      <c r="DD258" s="25"/>
      <c r="DE258" s="25"/>
      <c r="DF258" s="25"/>
      <c r="DG258" s="25"/>
      <c r="DH258" s="25"/>
      <c r="DI258" s="25"/>
      <c r="DJ258" s="25"/>
      <c r="DK258" s="25"/>
      <c r="DL258" s="25"/>
      <c r="DM258" s="25"/>
      <c r="DN258" s="25"/>
      <c r="DO258" s="25"/>
      <c r="DP258" s="25"/>
      <c r="DQ258" s="25"/>
      <c r="DR258" s="25"/>
      <c r="DS258" s="13">
        <f>+MEDIAN(CO258,CS258,CY258)</f>
        <v>28000</v>
      </c>
      <c r="DT258" s="13">
        <f>+AVERAGE(CO258,CS258,CY258)</f>
        <v>29333.333333333332</v>
      </c>
      <c r="DU258" s="13">
        <f>+STDEV(CO258,CS258,CY258)</f>
        <v>5131.6014394468766</v>
      </c>
      <c r="DV258" s="17">
        <f t="shared" si="45"/>
        <v>0.17494095816296171</v>
      </c>
      <c r="DW258" s="373">
        <f t="shared" si="54"/>
        <v>28000</v>
      </c>
      <c r="DX258" s="326">
        <f t="shared" si="44"/>
        <v>1260000</v>
      </c>
      <c r="DY258" s="10" t="s">
        <v>322</v>
      </c>
    </row>
    <row r="259" spans="1:132" ht="39" hidden="1" x14ac:dyDescent="0.3">
      <c r="A259" s="19">
        <v>72</v>
      </c>
      <c r="B259" s="9" t="s">
        <v>55</v>
      </c>
      <c r="C259" s="648" t="s">
        <v>144</v>
      </c>
      <c r="D259" s="9" t="s">
        <v>175</v>
      </c>
      <c r="E259" s="10" t="s">
        <v>1358</v>
      </c>
      <c r="F259" s="9" t="s">
        <v>19</v>
      </c>
      <c r="G259" s="11">
        <v>10</v>
      </c>
      <c r="H259" s="11">
        <v>1</v>
      </c>
      <c r="I259" s="649"/>
      <c r="J259" s="649"/>
      <c r="K259" s="649"/>
      <c r="L259" s="649"/>
      <c r="M259" s="649"/>
      <c r="N259" s="649"/>
      <c r="O259" s="650"/>
      <c r="P259" s="651"/>
      <c r="Q259" s="205"/>
      <c r="R259" s="205"/>
      <c r="S259" s="205"/>
      <c r="T259" s="205"/>
      <c r="U259" s="205"/>
      <c r="V259" s="205"/>
      <c r="W259" s="205"/>
      <c r="X259" s="205"/>
      <c r="Y259" s="205"/>
      <c r="Z259" s="205"/>
      <c r="AA259" s="205"/>
      <c r="AB259" s="205"/>
      <c r="AC259" s="205"/>
      <c r="AD259" s="205"/>
      <c r="AE259" s="205"/>
      <c r="AF259" s="205"/>
      <c r="AG259" s="205"/>
      <c r="AH259" s="205"/>
      <c r="AI259" s="205"/>
      <c r="AJ259" s="205"/>
      <c r="AK259" s="205"/>
      <c r="AL259" s="205"/>
      <c r="AM259" s="205"/>
      <c r="AN259" s="205"/>
      <c r="AO259" s="205"/>
      <c r="AP259" s="205"/>
      <c r="AQ259" s="205"/>
      <c r="AR259" s="205"/>
      <c r="AS259" s="205"/>
      <c r="AT259" s="205"/>
      <c r="AU259" s="205"/>
      <c r="AV259" s="205"/>
      <c r="AW259" s="205"/>
      <c r="AX259" s="205"/>
      <c r="AY259" s="205"/>
      <c r="AZ259" s="205"/>
      <c r="BA259" s="205"/>
      <c r="BB259" s="205"/>
      <c r="BC259" s="205"/>
      <c r="BD259" s="205"/>
      <c r="BE259" s="205"/>
      <c r="BF259" s="205"/>
      <c r="BG259" s="205"/>
      <c r="BH259" s="205"/>
      <c r="BI259" s="205"/>
      <c r="BJ259" s="205"/>
      <c r="BK259" s="206"/>
      <c r="BL259" s="205"/>
      <c r="BM259" s="206"/>
      <c r="BN259" s="205"/>
      <c r="BO259" s="205"/>
      <c r="BP259" s="205"/>
      <c r="BQ259" s="205"/>
      <c r="BR259" s="205"/>
      <c r="BS259" s="205"/>
      <c r="BT259" s="205"/>
      <c r="BU259" s="205"/>
      <c r="BV259" s="205"/>
      <c r="BW259" s="205"/>
      <c r="BX259" s="205"/>
      <c r="BY259" s="205"/>
      <c r="BZ259" s="205"/>
      <c r="CA259" s="205"/>
      <c r="CB259" s="205"/>
      <c r="CC259" s="205"/>
      <c r="CD259" s="205"/>
      <c r="CE259" s="205"/>
      <c r="CF259" s="205"/>
      <c r="CG259" s="205"/>
      <c r="CH259" s="205"/>
      <c r="CI259" s="205"/>
      <c r="CJ259" s="205"/>
      <c r="CK259" s="205"/>
      <c r="CL259" s="205"/>
      <c r="CM259" s="205"/>
      <c r="CN259" s="205"/>
      <c r="CO259" s="654">
        <v>18000</v>
      </c>
      <c r="CP259" s="205">
        <f t="shared" si="52"/>
        <v>180000</v>
      </c>
      <c r="CQ259" s="653"/>
      <c r="CR259" s="205"/>
      <c r="CS259" s="654">
        <v>15000</v>
      </c>
      <c r="CT259" s="205">
        <f t="shared" si="55"/>
        <v>150000</v>
      </c>
      <c r="CU259" s="653"/>
      <c r="CV259" s="205"/>
      <c r="CW259" s="658"/>
      <c r="CX259" s="205"/>
      <c r="CY259" s="658"/>
      <c r="CZ259" s="205"/>
      <c r="DA259" s="205"/>
      <c r="DB259" s="205"/>
      <c r="DC259" s="658"/>
      <c r="DD259" s="205"/>
      <c r="DE259" s="205"/>
      <c r="DF259" s="205"/>
      <c r="DG259" s="205"/>
      <c r="DH259" s="205"/>
      <c r="DI259" s="205"/>
      <c r="DJ259" s="205"/>
      <c r="DK259" s="205"/>
      <c r="DL259" s="205"/>
      <c r="DM259" s="205"/>
      <c r="DN259" s="205"/>
      <c r="DO259" s="205"/>
      <c r="DP259" s="205"/>
      <c r="DQ259" s="205"/>
      <c r="DR259" s="205"/>
      <c r="DS259" s="656">
        <f>+MEDIAN(CO259,CS259)</f>
        <v>16500</v>
      </c>
      <c r="DT259" s="656">
        <f>+AVERAGE(CO259,CS259)</f>
        <v>16500</v>
      </c>
      <c r="DU259" s="656">
        <f>+STDEV(CO259,CS259)</f>
        <v>2121.3203435596424</v>
      </c>
      <c r="DV259" s="657">
        <f t="shared" si="45"/>
        <v>0.12856486930664499</v>
      </c>
      <c r="DW259" s="662">
        <f t="shared" si="54"/>
        <v>16500</v>
      </c>
      <c r="DX259" s="326">
        <f t="shared" si="44"/>
        <v>165000</v>
      </c>
      <c r="DY259" s="10" t="s">
        <v>328</v>
      </c>
    </row>
    <row r="260" spans="1:132" ht="39" hidden="1" x14ac:dyDescent="0.3">
      <c r="A260" s="70">
        <v>73</v>
      </c>
      <c r="B260" s="9" t="s">
        <v>55</v>
      </c>
      <c r="C260" s="648" t="s">
        <v>144</v>
      </c>
      <c r="D260" s="9" t="s">
        <v>176</v>
      </c>
      <c r="E260" s="10" t="s">
        <v>1350</v>
      </c>
      <c r="F260" s="9" t="s">
        <v>19</v>
      </c>
      <c r="G260" s="11">
        <v>10</v>
      </c>
      <c r="H260" s="11">
        <v>1</v>
      </c>
      <c r="I260" s="649"/>
      <c r="J260" s="649"/>
      <c r="K260" s="649"/>
      <c r="L260" s="649"/>
      <c r="M260" s="649"/>
      <c r="N260" s="649"/>
      <c r="O260" s="650"/>
      <c r="P260" s="651"/>
      <c r="Q260" s="205"/>
      <c r="R260" s="205"/>
      <c r="S260" s="205"/>
      <c r="T260" s="205"/>
      <c r="U260" s="205"/>
      <c r="V260" s="205"/>
      <c r="W260" s="205"/>
      <c r="X260" s="205"/>
      <c r="Y260" s="205"/>
      <c r="Z260" s="205"/>
      <c r="AA260" s="205"/>
      <c r="AB260" s="205"/>
      <c r="AC260" s="205"/>
      <c r="AD260" s="205"/>
      <c r="AE260" s="205"/>
      <c r="AF260" s="205"/>
      <c r="AG260" s="205"/>
      <c r="AH260" s="205"/>
      <c r="AI260" s="205"/>
      <c r="AJ260" s="205"/>
      <c r="AK260" s="205"/>
      <c r="AL260" s="205"/>
      <c r="AM260" s="205"/>
      <c r="AN260" s="205"/>
      <c r="AO260" s="205"/>
      <c r="AP260" s="205"/>
      <c r="AQ260" s="205"/>
      <c r="AR260" s="205"/>
      <c r="AS260" s="205"/>
      <c r="AT260" s="205"/>
      <c r="AU260" s="205"/>
      <c r="AV260" s="205"/>
      <c r="AW260" s="205"/>
      <c r="AX260" s="205"/>
      <c r="AY260" s="205"/>
      <c r="AZ260" s="205"/>
      <c r="BA260" s="205"/>
      <c r="BB260" s="205"/>
      <c r="BC260" s="205"/>
      <c r="BD260" s="205"/>
      <c r="BE260" s="205"/>
      <c r="BF260" s="205"/>
      <c r="BG260" s="205"/>
      <c r="BH260" s="205"/>
      <c r="BI260" s="205"/>
      <c r="BJ260" s="205"/>
      <c r="BK260" s="206"/>
      <c r="BL260" s="205"/>
      <c r="BM260" s="206"/>
      <c r="BN260" s="205"/>
      <c r="BO260" s="205"/>
      <c r="BP260" s="205"/>
      <c r="BQ260" s="205"/>
      <c r="BR260" s="205"/>
      <c r="BS260" s="205"/>
      <c r="BT260" s="205"/>
      <c r="BU260" s="205"/>
      <c r="BV260" s="205"/>
      <c r="BW260" s="205"/>
      <c r="BX260" s="205"/>
      <c r="BY260" s="205"/>
      <c r="BZ260" s="205"/>
      <c r="CA260" s="205"/>
      <c r="CB260" s="205"/>
      <c r="CC260" s="205"/>
      <c r="CD260" s="205"/>
      <c r="CE260" s="205"/>
      <c r="CF260" s="205"/>
      <c r="CG260" s="205"/>
      <c r="CH260" s="205"/>
      <c r="CI260" s="205"/>
      <c r="CJ260" s="205"/>
      <c r="CK260" s="205"/>
      <c r="CL260" s="205"/>
      <c r="CM260" s="205"/>
      <c r="CN260" s="205"/>
      <c r="CO260" s="654">
        <v>20000</v>
      </c>
      <c r="CP260" s="205">
        <f t="shared" si="52"/>
        <v>200000</v>
      </c>
      <c r="CQ260" s="653"/>
      <c r="CR260" s="205"/>
      <c r="CS260" s="654">
        <v>15000</v>
      </c>
      <c r="CT260" s="205">
        <f t="shared" si="55"/>
        <v>150000</v>
      </c>
      <c r="CU260" s="653"/>
      <c r="CV260" s="205"/>
      <c r="CW260" s="658"/>
      <c r="CX260" s="205"/>
      <c r="CY260" s="658"/>
      <c r="CZ260" s="205"/>
      <c r="DA260" s="205"/>
      <c r="DB260" s="205"/>
      <c r="DC260" s="658"/>
      <c r="DD260" s="205"/>
      <c r="DE260" s="205"/>
      <c r="DF260" s="205"/>
      <c r="DG260" s="205"/>
      <c r="DH260" s="205"/>
      <c r="DI260" s="205"/>
      <c r="DJ260" s="205"/>
      <c r="DK260" s="205"/>
      <c r="DL260" s="205"/>
      <c r="DM260" s="205"/>
      <c r="DN260" s="205"/>
      <c r="DO260" s="205"/>
      <c r="DP260" s="205"/>
      <c r="DQ260" s="205"/>
      <c r="DR260" s="205"/>
      <c r="DS260" s="656">
        <f>+MEDIAN(CO260,CS260)</f>
        <v>17500</v>
      </c>
      <c r="DT260" s="656">
        <f>+AVERAGE(CO260,CS260)</f>
        <v>17500</v>
      </c>
      <c r="DU260" s="656">
        <f>+STDEV(CO260,CS260)</f>
        <v>3535.5339059327375</v>
      </c>
      <c r="DV260" s="657">
        <f t="shared" si="45"/>
        <v>0.20203050891044214</v>
      </c>
      <c r="DW260" s="662">
        <f t="shared" si="54"/>
        <v>17500</v>
      </c>
      <c r="DX260" s="326">
        <f t="shared" si="44"/>
        <v>175000</v>
      </c>
      <c r="DY260" s="10" t="s">
        <v>322</v>
      </c>
    </row>
    <row r="261" spans="1:132" ht="39" x14ac:dyDescent="0.3">
      <c r="A261" s="19">
        <v>74</v>
      </c>
      <c r="B261" s="9" t="s">
        <v>55</v>
      </c>
      <c r="C261" s="648" t="s">
        <v>144</v>
      </c>
      <c r="D261" s="9" t="s">
        <v>1359</v>
      </c>
      <c r="E261" s="10" t="s">
        <v>1351</v>
      </c>
      <c r="F261" s="9" t="s">
        <v>19</v>
      </c>
      <c r="G261" s="11">
        <v>4</v>
      </c>
      <c r="H261" s="11">
        <v>1</v>
      </c>
      <c r="I261" s="649"/>
      <c r="J261" s="649"/>
      <c r="K261" s="649"/>
      <c r="L261" s="649"/>
      <c r="M261" s="649"/>
      <c r="N261" s="649"/>
      <c r="O261" s="650"/>
      <c r="P261" s="651"/>
      <c r="Q261" s="205"/>
      <c r="R261" s="205"/>
      <c r="S261" s="205"/>
      <c r="T261" s="205"/>
      <c r="U261" s="205"/>
      <c r="V261" s="205"/>
      <c r="W261" s="205"/>
      <c r="X261" s="205"/>
      <c r="Y261" s="205"/>
      <c r="Z261" s="205"/>
      <c r="AA261" s="205"/>
      <c r="AB261" s="205"/>
      <c r="AC261" s="205"/>
      <c r="AD261" s="205"/>
      <c r="AE261" s="205"/>
      <c r="AF261" s="205"/>
      <c r="AG261" s="205"/>
      <c r="AH261" s="205"/>
      <c r="AI261" s="205"/>
      <c r="AJ261" s="205"/>
      <c r="AK261" s="205"/>
      <c r="AL261" s="205"/>
      <c r="AM261" s="205"/>
      <c r="AN261" s="205"/>
      <c r="AO261" s="205"/>
      <c r="AP261" s="205"/>
      <c r="AQ261" s="205"/>
      <c r="AR261" s="205"/>
      <c r="AS261" s="205"/>
      <c r="AT261" s="205"/>
      <c r="AU261" s="205"/>
      <c r="AV261" s="205"/>
      <c r="AW261" s="205"/>
      <c r="AX261" s="205"/>
      <c r="AY261" s="205"/>
      <c r="AZ261" s="205"/>
      <c r="BA261" s="205"/>
      <c r="BB261" s="205"/>
      <c r="BC261" s="205"/>
      <c r="BD261" s="205"/>
      <c r="BE261" s="205"/>
      <c r="BF261" s="205"/>
      <c r="BG261" s="205"/>
      <c r="BH261" s="205"/>
      <c r="BI261" s="205"/>
      <c r="BJ261" s="205"/>
      <c r="BK261" s="206"/>
      <c r="BL261" s="205"/>
      <c r="BM261" s="206"/>
      <c r="BN261" s="205"/>
      <c r="BO261" s="205"/>
      <c r="BP261" s="205"/>
      <c r="BQ261" s="205"/>
      <c r="BR261" s="205"/>
      <c r="BS261" s="205"/>
      <c r="BT261" s="205"/>
      <c r="BU261" s="205"/>
      <c r="BV261" s="205"/>
      <c r="BW261" s="205"/>
      <c r="BX261" s="205"/>
      <c r="BY261" s="205"/>
      <c r="BZ261" s="205"/>
      <c r="CA261" s="205"/>
      <c r="CB261" s="205"/>
      <c r="CC261" s="205"/>
      <c r="CD261" s="205"/>
      <c r="CE261" s="205"/>
      <c r="CF261" s="205"/>
      <c r="CG261" s="205"/>
      <c r="CH261" s="205"/>
      <c r="CI261" s="205"/>
      <c r="CJ261" s="205"/>
      <c r="CK261" s="205"/>
      <c r="CL261" s="205"/>
      <c r="CM261" s="205"/>
      <c r="CN261" s="205"/>
      <c r="CO261" s="654">
        <v>28000</v>
      </c>
      <c r="CP261" s="205">
        <f t="shared" si="52"/>
        <v>112000</v>
      </c>
      <c r="CQ261" s="653">
        <v>30000</v>
      </c>
      <c r="CR261" s="205">
        <f>CQ261*G261</f>
        <v>120000</v>
      </c>
      <c r="CS261" s="654"/>
      <c r="CT261" s="205"/>
      <c r="CU261" s="653">
        <v>30000</v>
      </c>
      <c r="CV261" s="205">
        <f>CU261*G261</f>
        <v>120000</v>
      </c>
      <c r="CW261" s="658"/>
      <c r="CX261" s="205"/>
      <c r="CY261" s="658"/>
      <c r="CZ261" s="205"/>
      <c r="DA261" s="205"/>
      <c r="DB261" s="205"/>
      <c r="DC261" s="658"/>
      <c r="DD261" s="205"/>
      <c r="DE261" s="205"/>
      <c r="DF261" s="205"/>
      <c r="DG261" s="205"/>
      <c r="DH261" s="205"/>
      <c r="DI261" s="205"/>
      <c r="DJ261" s="205"/>
      <c r="DK261" s="205"/>
      <c r="DL261" s="205"/>
      <c r="DM261" s="205"/>
      <c r="DN261" s="205"/>
      <c r="DO261" s="205"/>
      <c r="DP261" s="205"/>
      <c r="DQ261" s="205"/>
      <c r="DR261" s="205"/>
      <c r="DS261" s="656">
        <f>+MEDIAN(CO261,CQ261,CU261)</f>
        <v>30000</v>
      </c>
      <c r="DT261" s="656">
        <f>+AVERAGE(CO261,CQ261,CU261)</f>
        <v>29333.333333333332</v>
      </c>
      <c r="DU261" s="656">
        <f>+STDEV(CO261,CQ261,CU261)</f>
        <v>1154.7005383792514</v>
      </c>
      <c r="DV261" s="657">
        <f t="shared" si="45"/>
        <v>3.9364791081110843E-2</v>
      </c>
      <c r="DW261" s="662">
        <f t="shared" si="54"/>
        <v>29334</v>
      </c>
      <c r="DX261" s="326">
        <f t="shared" si="44"/>
        <v>117336</v>
      </c>
      <c r="DY261" s="10" t="s">
        <v>328</v>
      </c>
    </row>
    <row r="262" spans="1:132" ht="39" hidden="1" x14ac:dyDescent="0.3">
      <c r="A262" s="70">
        <v>75</v>
      </c>
      <c r="B262" s="14" t="s">
        <v>55</v>
      </c>
      <c r="C262" s="14" t="s">
        <v>144</v>
      </c>
      <c r="D262" s="14" t="s">
        <v>283</v>
      </c>
      <c r="E262" s="90" t="s">
        <v>282</v>
      </c>
      <c r="F262" s="14" t="s">
        <v>19</v>
      </c>
      <c r="G262" s="15">
        <v>4</v>
      </c>
      <c r="H262" s="15">
        <v>1</v>
      </c>
      <c r="I262" s="194"/>
      <c r="J262" s="194"/>
      <c r="K262" s="194"/>
      <c r="L262" s="194"/>
      <c r="M262" s="194"/>
      <c r="N262" s="194"/>
      <c r="O262" s="213"/>
      <c r="P262" s="242"/>
      <c r="Q262" s="197"/>
      <c r="R262" s="197"/>
      <c r="S262" s="197"/>
      <c r="T262" s="197"/>
      <c r="U262" s="197"/>
      <c r="V262" s="197"/>
      <c r="W262" s="197"/>
      <c r="X262" s="197"/>
      <c r="Y262" s="197"/>
      <c r="Z262" s="197"/>
      <c r="AA262" s="197"/>
      <c r="AB262" s="197"/>
      <c r="AC262" s="197"/>
      <c r="AD262" s="197"/>
      <c r="AE262" s="197"/>
      <c r="AF262" s="197"/>
      <c r="AG262" s="197"/>
      <c r="AH262" s="197"/>
      <c r="AI262" s="197"/>
      <c r="AJ262" s="197"/>
      <c r="AK262" s="197"/>
      <c r="AL262" s="197"/>
      <c r="AM262" s="197"/>
      <c r="AN262" s="197"/>
      <c r="AO262" s="197"/>
      <c r="AP262" s="197"/>
      <c r="AQ262" s="197"/>
      <c r="AR262" s="197"/>
      <c r="AS262" s="197"/>
      <c r="AT262" s="197"/>
      <c r="AU262" s="197"/>
      <c r="AV262" s="197"/>
      <c r="AW262" s="197"/>
      <c r="AX262" s="197"/>
      <c r="AY262" s="197"/>
      <c r="AZ262" s="197"/>
      <c r="BA262" s="292">
        <f>45000+(45000*5.2%)</f>
        <v>47340</v>
      </c>
      <c r="BB262" s="197">
        <f>BA262*G262</f>
        <v>189360</v>
      </c>
      <c r="BC262" s="292">
        <v>32000</v>
      </c>
      <c r="BD262" s="197">
        <f>BC262*G262</f>
        <v>128000</v>
      </c>
      <c r="BE262" s="197"/>
      <c r="BF262" s="197"/>
      <c r="BG262" s="197"/>
      <c r="BH262" s="197"/>
      <c r="BI262" s="292">
        <f>43650+(43650*5.2%)</f>
        <v>45919.8</v>
      </c>
      <c r="BJ262" s="197">
        <f>BI262*G262</f>
        <v>183679.2</v>
      </c>
      <c r="BK262" s="195"/>
      <c r="BL262" s="197"/>
      <c r="BM262" s="195"/>
      <c r="BN262" s="197"/>
      <c r="BO262" s="197"/>
      <c r="BP262" s="197"/>
      <c r="BQ262" s="197"/>
      <c r="BR262" s="197"/>
      <c r="BS262" s="197"/>
      <c r="BT262" s="197"/>
      <c r="BU262" s="197"/>
      <c r="BV262" s="197"/>
      <c r="BW262" s="197"/>
      <c r="BX262" s="197"/>
      <c r="BY262" s="197"/>
      <c r="BZ262" s="197"/>
      <c r="CA262" s="197"/>
      <c r="CB262" s="197"/>
      <c r="CC262" s="197"/>
      <c r="CD262" s="197"/>
      <c r="CE262" s="197"/>
      <c r="CF262" s="197"/>
      <c r="CG262" s="197"/>
      <c r="CH262" s="197"/>
      <c r="CI262" s="197"/>
      <c r="CJ262" s="197"/>
      <c r="CK262" s="197"/>
      <c r="CL262" s="197"/>
      <c r="CM262" s="197"/>
      <c r="CN262" s="197"/>
      <c r="CO262" s="197"/>
      <c r="CP262" s="197"/>
      <c r="CQ262" s="197"/>
      <c r="CR262" s="197"/>
      <c r="CS262" s="197"/>
      <c r="CT262" s="197"/>
      <c r="CU262" s="197"/>
      <c r="CV262" s="197"/>
      <c r="CW262" s="197"/>
      <c r="CX262" s="197"/>
      <c r="CY262" s="197"/>
      <c r="CZ262" s="197"/>
      <c r="DA262" s="197"/>
      <c r="DB262" s="197"/>
      <c r="DC262" s="197"/>
      <c r="DD262" s="197"/>
      <c r="DE262" s="197"/>
      <c r="DF262" s="197"/>
      <c r="DG262" s="197"/>
      <c r="DH262" s="197"/>
      <c r="DI262" s="197"/>
      <c r="DJ262" s="197"/>
      <c r="DK262" s="197"/>
      <c r="DL262" s="197"/>
      <c r="DM262" s="197"/>
      <c r="DN262" s="197"/>
      <c r="DO262" s="197"/>
      <c r="DP262" s="197"/>
      <c r="DQ262" s="197"/>
      <c r="DR262" s="197"/>
      <c r="DS262" s="268">
        <f>MEDIAN(BA262,BC262,BI262)</f>
        <v>45919.8</v>
      </c>
      <c r="DT262" s="268">
        <f>AVERAGE(BA262,BC262,BI262)</f>
        <v>41753.26666666667</v>
      </c>
      <c r="DU262" s="268">
        <f>STDEV(BA262,BC262,BI262)</f>
        <v>8476.3730459043218</v>
      </c>
      <c r="DV262" s="79">
        <f t="shared" si="45"/>
        <v>0.20301101500811086</v>
      </c>
      <c r="DW262" s="378">
        <f>ROUNDUP(IF(DV262&lt;15%,DT262,DS262),0)</f>
        <v>45920</v>
      </c>
      <c r="DX262" s="331">
        <f t="shared" si="44"/>
        <v>183680</v>
      </c>
      <c r="DY262" s="39" t="s">
        <v>309</v>
      </c>
    </row>
    <row r="263" spans="1:132" s="63" customFormat="1" hidden="1" x14ac:dyDescent="0.3">
      <c r="A263" s="66" t="s">
        <v>405</v>
      </c>
      <c r="B263" s="66"/>
      <c r="C263" s="66"/>
      <c r="D263" s="66"/>
      <c r="E263" s="66"/>
      <c r="F263" s="67"/>
      <c r="G263" s="67"/>
      <c r="H263" s="67"/>
      <c r="I263" s="214"/>
      <c r="J263" s="214"/>
      <c r="K263" s="214"/>
      <c r="L263" s="214"/>
      <c r="M263" s="214"/>
      <c r="N263" s="214"/>
      <c r="O263" s="215"/>
      <c r="P263" s="215"/>
      <c r="Q263" s="215"/>
      <c r="R263" s="215"/>
      <c r="S263" s="215"/>
      <c r="T263" s="215"/>
      <c r="U263" s="215"/>
      <c r="V263" s="215"/>
      <c r="W263" s="215"/>
      <c r="X263" s="215"/>
      <c r="Y263" s="215"/>
      <c r="Z263" s="215"/>
      <c r="AA263" s="215"/>
      <c r="AB263" s="215"/>
      <c r="AC263" s="215"/>
      <c r="AD263" s="215"/>
      <c r="AE263" s="215"/>
      <c r="AF263" s="215"/>
      <c r="AG263" s="215"/>
      <c r="AH263" s="215"/>
      <c r="AI263" s="215"/>
      <c r="AJ263" s="215"/>
      <c r="AK263" s="215"/>
      <c r="AL263" s="215"/>
      <c r="AM263" s="215"/>
      <c r="AN263" s="215"/>
      <c r="AO263" s="215"/>
      <c r="AP263" s="215"/>
      <c r="AQ263" s="215"/>
      <c r="AR263" s="215"/>
      <c r="AS263" s="215"/>
      <c r="AT263" s="215"/>
      <c r="AU263" s="215"/>
      <c r="AV263" s="215"/>
      <c r="AW263" s="215"/>
      <c r="AX263" s="215"/>
      <c r="AY263" s="215"/>
      <c r="AZ263" s="215"/>
      <c r="BA263" s="215"/>
      <c r="BB263" s="215"/>
      <c r="BC263" s="215"/>
      <c r="BD263" s="215"/>
      <c r="BE263" s="215"/>
      <c r="BF263" s="215"/>
      <c r="BG263" s="215"/>
      <c r="BH263" s="215"/>
      <c r="BI263" s="215"/>
      <c r="BJ263" s="215"/>
      <c r="BK263" s="215"/>
      <c r="BL263" s="216"/>
      <c r="BM263" s="215"/>
      <c r="BN263" s="216"/>
      <c r="BO263" s="216"/>
      <c r="BP263" s="216"/>
      <c r="BQ263" s="216"/>
      <c r="BR263" s="216"/>
      <c r="BS263" s="216"/>
      <c r="BT263" s="216"/>
      <c r="BU263" s="216"/>
      <c r="BV263" s="216"/>
      <c r="BW263" s="216"/>
      <c r="BX263" s="216"/>
      <c r="BY263" s="216"/>
      <c r="BZ263" s="216"/>
      <c r="CA263" s="216"/>
      <c r="CB263" s="216"/>
      <c r="CC263" s="216"/>
      <c r="CD263" s="216"/>
      <c r="CE263" s="216"/>
      <c r="CF263" s="216"/>
      <c r="CG263" s="216"/>
      <c r="CH263" s="216"/>
      <c r="CI263" s="216"/>
      <c r="CJ263" s="216"/>
      <c r="CK263" s="216"/>
      <c r="CL263" s="216"/>
      <c r="CM263" s="216"/>
      <c r="CN263" s="216"/>
      <c r="CO263" s="216"/>
      <c r="CP263" s="216"/>
      <c r="CQ263" s="216"/>
      <c r="CR263" s="216"/>
      <c r="CS263" s="216"/>
      <c r="CT263" s="216"/>
      <c r="CU263" s="216"/>
      <c r="CV263" s="216"/>
      <c r="CW263" s="216"/>
      <c r="CX263" s="216"/>
      <c r="CY263" s="216"/>
      <c r="CZ263" s="216"/>
      <c r="DA263" s="216"/>
      <c r="DB263" s="216"/>
      <c r="DC263" s="216"/>
      <c r="DD263" s="216"/>
      <c r="DE263" s="216"/>
      <c r="DF263" s="216"/>
      <c r="DG263" s="216"/>
      <c r="DH263" s="216"/>
      <c r="DI263" s="216"/>
      <c r="DJ263" s="216"/>
      <c r="DK263" s="216"/>
      <c r="DL263" s="216"/>
      <c r="DM263" s="216"/>
      <c r="DN263" s="216"/>
      <c r="DO263" s="216"/>
      <c r="DP263" s="216"/>
      <c r="DQ263" s="216"/>
      <c r="DR263" s="216"/>
      <c r="DS263" s="215"/>
      <c r="DT263" s="215"/>
      <c r="DU263" s="215"/>
      <c r="DV263" s="68"/>
      <c r="DW263" s="69">
        <f>SUM(DW236:DW262)</f>
        <v>16487132</v>
      </c>
      <c r="DX263" s="69">
        <f>SUM(DX236:DX262)</f>
        <v>130188809</v>
      </c>
      <c r="DY263" s="165"/>
      <c r="DZ263" s="609"/>
      <c r="EA263" s="609"/>
      <c r="EB263" s="609"/>
    </row>
    <row r="264" spans="1:132" s="96" customFormat="1" ht="182" hidden="1" x14ac:dyDescent="0.3">
      <c r="A264" s="133">
        <v>76</v>
      </c>
      <c r="B264" s="134" t="s">
        <v>55</v>
      </c>
      <c r="C264" s="134" t="s">
        <v>406</v>
      </c>
      <c r="D264" s="134" t="s">
        <v>122</v>
      </c>
      <c r="E264" s="132" t="s">
        <v>1155</v>
      </c>
      <c r="F264" s="134" t="s">
        <v>19</v>
      </c>
      <c r="G264" s="136">
        <v>180</v>
      </c>
      <c r="H264" s="136">
        <v>1</v>
      </c>
      <c r="I264" s="229"/>
      <c r="J264" s="229"/>
      <c r="K264" s="229"/>
      <c r="L264" s="229"/>
      <c r="M264" s="229"/>
      <c r="N264" s="229"/>
      <c r="O264" s="230"/>
      <c r="P264" s="264"/>
      <c r="Q264" s="150"/>
      <c r="R264" s="150"/>
      <c r="S264" s="150"/>
      <c r="T264" s="150"/>
      <c r="U264" s="150"/>
      <c r="V264" s="150"/>
      <c r="W264" s="150"/>
      <c r="X264" s="150"/>
      <c r="Y264" s="150"/>
      <c r="Z264" s="150"/>
      <c r="AA264" s="150"/>
      <c r="AB264" s="150"/>
      <c r="AC264" s="150"/>
      <c r="AD264" s="150"/>
      <c r="AE264" s="150"/>
      <c r="AF264" s="150"/>
      <c r="AG264" s="150"/>
      <c r="AH264" s="150"/>
      <c r="AI264" s="150"/>
      <c r="AJ264" s="150"/>
      <c r="AK264" s="150"/>
      <c r="AL264" s="150"/>
      <c r="AM264" s="150"/>
      <c r="AN264" s="150"/>
      <c r="AO264" s="150"/>
      <c r="AP264" s="150"/>
      <c r="AQ264" s="150"/>
      <c r="AR264" s="150"/>
      <c r="AS264" s="150"/>
      <c r="AT264" s="150"/>
      <c r="AU264" s="150"/>
      <c r="AV264" s="150"/>
      <c r="AW264" s="150"/>
      <c r="AX264" s="150"/>
      <c r="AY264" s="150"/>
      <c r="AZ264" s="150"/>
      <c r="BA264" s="150"/>
      <c r="BB264" s="150"/>
      <c r="BC264" s="150"/>
      <c r="BD264" s="150"/>
      <c r="BE264" s="150"/>
      <c r="BF264" s="150"/>
      <c r="BG264" s="150"/>
      <c r="BH264" s="150"/>
      <c r="BI264" s="150"/>
      <c r="BJ264" s="150"/>
      <c r="BK264" s="232"/>
      <c r="BL264" s="150"/>
      <c r="BM264" s="232"/>
      <c r="BN264" s="150"/>
      <c r="BO264" s="150"/>
      <c r="BP264" s="150"/>
      <c r="BQ264" s="150"/>
      <c r="BR264" s="150"/>
      <c r="BS264" s="150"/>
      <c r="BT264" s="150"/>
      <c r="BU264" s="150"/>
      <c r="BV264" s="150"/>
      <c r="BW264" s="150"/>
      <c r="BX264" s="150"/>
      <c r="BY264" s="150"/>
      <c r="BZ264" s="150"/>
      <c r="CA264" s="150"/>
      <c r="CB264" s="150"/>
      <c r="CC264" s="150"/>
      <c r="CD264" s="150"/>
      <c r="CE264" s="150"/>
      <c r="CF264" s="150"/>
      <c r="CG264" s="150"/>
      <c r="CH264" s="150"/>
      <c r="CI264" s="150"/>
      <c r="CJ264" s="150"/>
      <c r="CK264" s="150"/>
      <c r="CL264" s="150"/>
      <c r="CM264" s="150"/>
      <c r="CN264" s="150"/>
      <c r="CO264" s="150"/>
      <c r="CP264" s="150"/>
      <c r="CQ264" s="150"/>
      <c r="CR264" s="150"/>
      <c r="CS264" s="150"/>
      <c r="CT264" s="150"/>
      <c r="CU264" s="150"/>
      <c r="CV264" s="150"/>
      <c r="CW264" s="150"/>
      <c r="CX264" s="150"/>
      <c r="CY264" s="150"/>
      <c r="CZ264" s="150"/>
      <c r="DA264" s="150"/>
      <c r="DB264" s="150"/>
      <c r="DC264" s="150"/>
      <c r="DD264" s="150"/>
      <c r="DE264" s="150"/>
      <c r="DF264" s="150"/>
      <c r="DG264" s="150"/>
      <c r="DH264" s="150"/>
      <c r="DI264" s="150"/>
      <c r="DJ264" s="150"/>
      <c r="DK264" s="150"/>
      <c r="DL264" s="150"/>
      <c r="DM264" s="150"/>
      <c r="DN264" s="150"/>
      <c r="DO264" s="150"/>
      <c r="DP264" s="150"/>
      <c r="DQ264" s="150"/>
      <c r="DR264" s="150"/>
      <c r="DS264" s="232"/>
      <c r="DT264" s="232"/>
      <c r="DU264" s="232"/>
      <c r="DV264" s="137"/>
      <c r="DW264" s="273">
        <f>+DZ264+EB264</f>
        <v>94029.850744199997</v>
      </c>
      <c r="DX264" s="146">
        <f>+ROUND(DW264*G264*H264,0)</f>
        <v>16925373</v>
      </c>
      <c r="DY264" s="139" t="s">
        <v>1156</v>
      </c>
      <c r="DZ264" s="613">
        <v>74626.865669999999</v>
      </c>
      <c r="EA264" s="604">
        <f>+DZ264*G264*H264</f>
        <v>13432835.820599999</v>
      </c>
      <c r="EB264" s="604">
        <f>+DZ264*26%</f>
        <v>19402.985074200002</v>
      </c>
    </row>
    <row r="265" spans="1:132" ht="182" hidden="1" x14ac:dyDescent="0.3">
      <c r="A265" s="133">
        <v>77</v>
      </c>
      <c r="B265" s="134" t="s">
        <v>55</v>
      </c>
      <c r="C265" s="134" t="s">
        <v>406</v>
      </c>
      <c r="D265" s="134" t="s">
        <v>122</v>
      </c>
      <c r="E265" s="132" t="s">
        <v>462</v>
      </c>
      <c r="F265" s="134" t="s">
        <v>19</v>
      </c>
      <c r="G265" s="136">
        <v>180</v>
      </c>
      <c r="H265" s="136">
        <v>1</v>
      </c>
      <c r="I265" s="229"/>
      <c r="J265" s="229"/>
      <c r="K265" s="229"/>
      <c r="L265" s="229"/>
      <c r="M265" s="229"/>
      <c r="N265" s="229"/>
      <c r="O265" s="230"/>
      <c r="P265" s="231"/>
      <c r="Q265" s="150"/>
      <c r="R265" s="150"/>
      <c r="S265" s="150"/>
      <c r="T265" s="150"/>
      <c r="U265" s="150"/>
      <c r="V265" s="150"/>
      <c r="W265" s="150"/>
      <c r="X265" s="150"/>
      <c r="Y265" s="150"/>
      <c r="Z265" s="150"/>
      <c r="AA265" s="150"/>
      <c r="AB265" s="150"/>
      <c r="AC265" s="150"/>
      <c r="AD265" s="150"/>
      <c r="AE265" s="150"/>
      <c r="AF265" s="150"/>
      <c r="AG265" s="150"/>
      <c r="AH265" s="150"/>
      <c r="AI265" s="150"/>
      <c r="AJ265" s="150"/>
      <c r="AK265" s="150"/>
      <c r="AL265" s="150"/>
      <c r="AM265" s="150"/>
      <c r="AN265" s="150"/>
      <c r="AO265" s="150"/>
      <c r="AP265" s="150"/>
      <c r="AQ265" s="150"/>
      <c r="AR265" s="150"/>
      <c r="AS265" s="150"/>
      <c r="AT265" s="150"/>
      <c r="AU265" s="150"/>
      <c r="AV265" s="150"/>
      <c r="AW265" s="150"/>
      <c r="AX265" s="150"/>
      <c r="AY265" s="150"/>
      <c r="AZ265" s="150"/>
      <c r="BA265" s="150"/>
      <c r="BB265" s="150"/>
      <c r="BC265" s="150"/>
      <c r="BD265" s="150"/>
      <c r="BE265" s="150"/>
      <c r="BF265" s="150"/>
      <c r="BG265" s="150"/>
      <c r="BH265" s="150"/>
      <c r="BI265" s="150"/>
      <c r="BJ265" s="150"/>
      <c r="BK265" s="232"/>
      <c r="BL265" s="150"/>
      <c r="BM265" s="232"/>
      <c r="BN265" s="150"/>
      <c r="BO265" s="150"/>
      <c r="BP265" s="150"/>
      <c r="BQ265" s="150"/>
      <c r="BR265" s="150"/>
      <c r="BS265" s="150"/>
      <c r="BT265" s="150"/>
      <c r="BU265" s="150"/>
      <c r="BV265" s="150"/>
      <c r="BW265" s="150"/>
      <c r="BX265" s="150"/>
      <c r="BY265" s="150"/>
      <c r="BZ265" s="150"/>
      <c r="CA265" s="150"/>
      <c r="CB265" s="150"/>
      <c r="CC265" s="150"/>
      <c r="CD265" s="150"/>
      <c r="CE265" s="150"/>
      <c r="CF265" s="150"/>
      <c r="CG265" s="150"/>
      <c r="CH265" s="150"/>
      <c r="CI265" s="150"/>
      <c r="CJ265" s="150"/>
      <c r="CK265" s="150"/>
      <c r="CL265" s="150"/>
      <c r="CM265" s="150"/>
      <c r="CN265" s="150"/>
      <c r="CO265" s="150"/>
      <c r="CP265" s="150"/>
      <c r="CQ265" s="150"/>
      <c r="CR265" s="150"/>
      <c r="CS265" s="150"/>
      <c r="CT265" s="150"/>
      <c r="CU265" s="150"/>
      <c r="CV265" s="150"/>
      <c r="CW265" s="150"/>
      <c r="CX265" s="150"/>
      <c r="CY265" s="150"/>
      <c r="CZ265" s="150"/>
      <c r="DA265" s="150"/>
      <c r="DB265" s="150"/>
      <c r="DC265" s="150"/>
      <c r="DD265" s="150"/>
      <c r="DE265" s="150"/>
      <c r="DF265" s="150"/>
      <c r="DG265" s="150"/>
      <c r="DH265" s="150"/>
      <c r="DI265" s="150"/>
      <c r="DJ265" s="150"/>
      <c r="DK265" s="150"/>
      <c r="DL265" s="150"/>
      <c r="DM265" s="150"/>
      <c r="DN265" s="150"/>
      <c r="DO265" s="150"/>
      <c r="DP265" s="150"/>
      <c r="DQ265" s="150"/>
      <c r="DR265" s="150"/>
      <c r="DS265" s="232"/>
      <c r="DT265" s="232"/>
      <c r="DU265" s="232"/>
      <c r="DV265" s="137"/>
      <c r="DW265" s="273">
        <f>+DZ265+EB265</f>
        <v>226800</v>
      </c>
      <c r="DX265" s="146">
        <f>+ROUND(DW265*G265*H265,0)</f>
        <v>40824000</v>
      </c>
      <c r="DY265" s="139" t="s">
        <v>1159</v>
      </c>
      <c r="DZ265" s="613">
        <v>180000</v>
      </c>
      <c r="EA265" s="604">
        <f>+DZ265*G265*H265</f>
        <v>32400000</v>
      </c>
      <c r="EB265" s="604">
        <f>+DZ265*26%</f>
        <v>46800</v>
      </c>
    </row>
    <row r="266" spans="1:132" ht="52" hidden="1" x14ac:dyDescent="0.3">
      <c r="A266" s="70">
        <v>78</v>
      </c>
      <c r="B266" s="9" t="s">
        <v>55</v>
      </c>
      <c r="C266" s="93" t="s">
        <v>406</v>
      </c>
      <c r="D266" s="9" t="s">
        <v>357</v>
      </c>
      <c r="E266" s="42" t="s">
        <v>1175</v>
      </c>
      <c r="F266" s="9" t="s">
        <v>14</v>
      </c>
      <c r="G266" s="11">
        <v>4</v>
      </c>
      <c r="H266" s="11">
        <v>4</v>
      </c>
      <c r="I266" s="303">
        <v>7688000</v>
      </c>
      <c r="J266" s="303">
        <f>I266*G266*H266</f>
        <v>123008000</v>
      </c>
      <c r="K266" s="303"/>
      <c r="L266" s="303"/>
      <c r="M266" s="303"/>
      <c r="N266" s="303"/>
      <c r="O266" s="304"/>
      <c r="P266" s="305"/>
      <c r="Q266" s="97"/>
      <c r="R266" s="97"/>
      <c r="S266" s="97"/>
      <c r="T266" s="97"/>
      <c r="U266" s="97"/>
      <c r="V266" s="97"/>
      <c r="W266" s="97"/>
      <c r="X266" s="97"/>
      <c r="Y266" s="97"/>
      <c r="Z266" s="97"/>
      <c r="AA266" s="97"/>
      <c r="AB266" s="97"/>
      <c r="AC266" s="97"/>
      <c r="AD266" s="97"/>
      <c r="AE266" s="97"/>
      <c r="AF266" s="97"/>
      <c r="AG266" s="97"/>
      <c r="AH266" s="97"/>
      <c r="AI266" s="97"/>
      <c r="AJ266" s="97"/>
      <c r="AK266" s="97"/>
      <c r="AL266" s="97"/>
      <c r="AM266" s="97"/>
      <c r="AN266" s="97"/>
      <c r="AO266" s="97"/>
      <c r="AP266" s="97"/>
      <c r="AQ266" s="97"/>
      <c r="AR266" s="97"/>
      <c r="AS266" s="97"/>
      <c r="AT266" s="97"/>
      <c r="AU266" s="97"/>
      <c r="AV266" s="97"/>
      <c r="AW266" s="97"/>
      <c r="AX266" s="97"/>
      <c r="AY266" s="97"/>
      <c r="AZ266" s="97"/>
      <c r="BA266" s="97"/>
      <c r="BB266" s="97"/>
      <c r="BC266" s="97"/>
      <c r="BD266" s="97"/>
      <c r="BE266" s="97"/>
      <c r="BF266" s="97"/>
      <c r="BG266" s="97"/>
      <c r="BH266" s="97"/>
      <c r="BI266" s="97"/>
      <c r="BJ266" s="97"/>
      <c r="BK266" s="306"/>
      <c r="BL266" s="97"/>
      <c r="BM266" s="306"/>
      <c r="BN266" s="97"/>
      <c r="BO266" s="97"/>
      <c r="BP266" s="97"/>
      <c r="BQ266" s="97"/>
      <c r="BR266" s="97"/>
      <c r="BS266" s="97"/>
      <c r="BT266" s="97"/>
      <c r="BU266" s="97"/>
      <c r="BV266" s="97"/>
      <c r="BW266" s="97"/>
      <c r="BX266" s="97"/>
      <c r="BY266" s="97"/>
      <c r="BZ266" s="97"/>
      <c r="CA266" s="97"/>
      <c r="CB266" s="97"/>
      <c r="CC266" s="97"/>
      <c r="CD266" s="97"/>
      <c r="CE266" s="97"/>
      <c r="CF266" s="97"/>
      <c r="CG266" s="97"/>
      <c r="CH266" s="97"/>
      <c r="CI266" s="97"/>
      <c r="CJ266" s="97"/>
      <c r="CK266" s="97"/>
      <c r="CL266" s="97"/>
      <c r="CM266" s="97"/>
      <c r="CN266" s="97"/>
      <c r="CO266" s="97"/>
      <c r="CP266" s="97"/>
      <c r="CQ266" s="97"/>
      <c r="CR266" s="97"/>
      <c r="CS266" s="97"/>
      <c r="CT266" s="97"/>
      <c r="CU266" s="97"/>
      <c r="CV266" s="97"/>
      <c r="CW266" s="97"/>
      <c r="CX266" s="97"/>
      <c r="CY266" s="97"/>
      <c r="CZ266" s="97"/>
      <c r="DA266" s="97"/>
      <c r="DB266" s="97"/>
      <c r="DC266" s="97"/>
      <c r="DD266" s="97"/>
      <c r="DE266" s="97"/>
      <c r="DF266" s="97"/>
      <c r="DG266" s="97"/>
      <c r="DH266" s="97"/>
      <c r="DI266" s="97"/>
      <c r="DJ266" s="97"/>
      <c r="DK266" s="97"/>
      <c r="DL266" s="97"/>
      <c r="DM266" s="97"/>
      <c r="DN266" s="97"/>
      <c r="DO266" s="97"/>
      <c r="DP266" s="97"/>
      <c r="DQ266" s="97"/>
      <c r="DR266" s="97"/>
      <c r="DS266" s="306"/>
      <c r="DT266" s="306"/>
      <c r="DU266" s="306"/>
      <c r="DV266" s="12"/>
      <c r="DW266" s="371">
        <f>I266</f>
        <v>7688000</v>
      </c>
      <c r="DX266" s="326">
        <f>+ROUND(DW266*G266*H266,0)</f>
        <v>123008000</v>
      </c>
      <c r="DY266" s="161" t="s">
        <v>323</v>
      </c>
    </row>
    <row r="267" spans="1:132" ht="52" hidden="1" x14ac:dyDescent="0.3">
      <c r="A267" s="19">
        <v>79</v>
      </c>
      <c r="B267" s="9" t="s">
        <v>55</v>
      </c>
      <c r="C267" s="93" t="s">
        <v>406</v>
      </c>
      <c r="D267" s="9" t="s">
        <v>357</v>
      </c>
      <c r="E267" s="42" t="s">
        <v>1175</v>
      </c>
      <c r="F267" s="9" t="s">
        <v>14</v>
      </c>
      <c r="G267" s="11">
        <v>4</v>
      </c>
      <c r="H267" s="11">
        <v>4</v>
      </c>
      <c r="I267" s="303">
        <v>7688000</v>
      </c>
      <c r="J267" s="303">
        <f>I267*G267*H267</f>
        <v>123008000</v>
      </c>
      <c r="K267" s="303"/>
      <c r="L267" s="303"/>
      <c r="M267" s="303"/>
      <c r="N267" s="303"/>
      <c r="O267" s="304"/>
      <c r="P267" s="305"/>
      <c r="Q267" s="97"/>
      <c r="R267" s="97"/>
      <c r="S267" s="97"/>
      <c r="T267" s="97"/>
      <c r="U267" s="97"/>
      <c r="V267" s="97"/>
      <c r="W267" s="97"/>
      <c r="X267" s="97"/>
      <c r="Y267" s="97"/>
      <c r="Z267" s="97"/>
      <c r="AA267" s="97"/>
      <c r="AB267" s="97"/>
      <c r="AC267" s="97"/>
      <c r="AD267" s="97"/>
      <c r="AE267" s="97"/>
      <c r="AF267" s="97"/>
      <c r="AG267" s="97"/>
      <c r="AH267" s="97"/>
      <c r="AI267" s="97"/>
      <c r="AJ267" s="97"/>
      <c r="AK267" s="97"/>
      <c r="AL267" s="97"/>
      <c r="AM267" s="97"/>
      <c r="AN267" s="97"/>
      <c r="AO267" s="97"/>
      <c r="AP267" s="97"/>
      <c r="AQ267" s="97"/>
      <c r="AR267" s="97"/>
      <c r="AS267" s="97"/>
      <c r="AT267" s="97"/>
      <c r="AU267" s="97"/>
      <c r="AV267" s="97"/>
      <c r="AW267" s="97"/>
      <c r="AX267" s="97"/>
      <c r="AY267" s="97"/>
      <c r="AZ267" s="97"/>
      <c r="BA267" s="97"/>
      <c r="BB267" s="97"/>
      <c r="BC267" s="97"/>
      <c r="BD267" s="97"/>
      <c r="BE267" s="97"/>
      <c r="BF267" s="97"/>
      <c r="BG267" s="97"/>
      <c r="BH267" s="97"/>
      <c r="BI267" s="97"/>
      <c r="BJ267" s="97"/>
      <c r="BK267" s="306"/>
      <c r="BL267" s="97"/>
      <c r="BM267" s="306"/>
      <c r="BN267" s="97"/>
      <c r="BO267" s="97"/>
      <c r="BP267" s="97"/>
      <c r="BQ267" s="97"/>
      <c r="BR267" s="97"/>
      <c r="BS267" s="97"/>
      <c r="BT267" s="97"/>
      <c r="BU267" s="97"/>
      <c r="BV267" s="97"/>
      <c r="BW267" s="97"/>
      <c r="BX267" s="97"/>
      <c r="BY267" s="97"/>
      <c r="BZ267" s="97"/>
      <c r="CA267" s="97"/>
      <c r="CB267" s="97"/>
      <c r="CC267" s="97"/>
      <c r="CD267" s="97"/>
      <c r="CE267" s="97"/>
      <c r="CF267" s="97"/>
      <c r="CG267" s="97"/>
      <c r="CH267" s="97"/>
      <c r="CI267" s="97"/>
      <c r="CJ267" s="97"/>
      <c r="CK267" s="97"/>
      <c r="CL267" s="97"/>
      <c r="CM267" s="97"/>
      <c r="CN267" s="97"/>
      <c r="CO267" s="97"/>
      <c r="CP267" s="97"/>
      <c r="CQ267" s="97"/>
      <c r="CR267" s="97"/>
      <c r="CS267" s="97"/>
      <c r="CT267" s="97"/>
      <c r="CU267" s="97"/>
      <c r="CV267" s="97"/>
      <c r="CW267" s="97"/>
      <c r="CX267" s="97"/>
      <c r="CY267" s="97"/>
      <c r="CZ267" s="97"/>
      <c r="DA267" s="97"/>
      <c r="DB267" s="97"/>
      <c r="DC267" s="97"/>
      <c r="DD267" s="97"/>
      <c r="DE267" s="97"/>
      <c r="DF267" s="97"/>
      <c r="DG267" s="97"/>
      <c r="DH267" s="97"/>
      <c r="DI267" s="97"/>
      <c r="DJ267" s="97"/>
      <c r="DK267" s="97"/>
      <c r="DL267" s="97"/>
      <c r="DM267" s="97"/>
      <c r="DN267" s="97"/>
      <c r="DO267" s="97"/>
      <c r="DP267" s="97"/>
      <c r="DQ267" s="97"/>
      <c r="DR267" s="97"/>
      <c r="DS267" s="306"/>
      <c r="DT267" s="306"/>
      <c r="DU267" s="306"/>
      <c r="DV267" s="12"/>
      <c r="DW267" s="371">
        <f>I267</f>
        <v>7688000</v>
      </c>
      <c r="DX267" s="326">
        <f>+ROUND(DW267*G267*H267,0)</f>
        <v>123008000</v>
      </c>
      <c r="DY267" s="161" t="s">
        <v>323</v>
      </c>
    </row>
    <row r="268" spans="1:132" ht="239.5" hidden="1" customHeight="1" x14ac:dyDescent="0.3">
      <c r="A268" s="70">
        <v>80</v>
      </c>
      <c r="B268" s="14" t="s">
        <v>55</v>
      </c>
      <c r="C268" s="14" t="s">
        <v>406</v>
      </c>
      <c r="D268" s="14" t="s">
        <v>395</v>
      </c>
      <c r="E268" s="77" t="s">
        <v>396</v>
      </c>
      <c r="F268" s="14" t="s">
        <v>14</v>
      </c>
      <c r="G268" s="15">
        <v>2</v>
      </c>
      <c r="H268" s="15">
        <v>4</v>
      </c>
      <c r="I268" s="293"/>
      <c r="J268" s="194"/>
      <c r="K268" s="194"/>
      <c r="L268" s="194"/>
      <c r="M268" s="194"/>
      <c r="N268" s="194"/>
      <c r="O268" s="213"/>
      <c r="P268" s="242"/>
      <c r="Q268" s="197"/>
      <c r="R268" s="197"/>
      <c r="S268" s="197"/>
      <c r="T268" s="197"/>
      <c r="U268" s="197"/>
      <c r="V268" s="197"/>
      <c r="W268" s="197"/>
      <c r="X268" s="197"/>
      <c r="Y268" s="195"/>
      <c r="Z268" s="195"/>
      <c r="AA268" s="58">
        <v>3000000</v>
      </c>
      <c r="AB268" s="58">
        <f>+AA268*G268*H268</f>
        <v>24000000</v>
      </c>
      <c r="AC268" s="195"/>
      <c r="AD268" s="195"/>
      <c r="AE268" s="197"/>
      <c r="AF268" s="197"/>
      <c r="AG268" s="197">
        <v>3200000</v>
      </c>
      <c r="AH268" s="58">
        <f>+AG268*G268*H268</f>
        <v>25600000</v>
      </c>
      <c r="AI268" s="197"/>
      <c r="AJ268" s="197"/>
      <c r="AK268" s="197"/>
      <c r="AL268" s="197"/>
      <c r="AM268" s="197"/>
      <c r="AN268" s="197"/>
      <c r="AO268" s="197"/>
      <c r="AP268" s="197"/>
      <c r="AQ268" s="197"/>
      <c r="AR268" s="197"/>
      <c r="AS268" s="197"/>
      <c r="AT268" s="197"/>
      <c r="AU268" s="197"/>
      <c r="AV268" s="197"/>
      <c r="AW268" s="197"/>
      <c r="AX268" s="197"/>
      <c r="AY268" s="197"/>
      <c r="AZ268" s="197"/>
      <c r="BA268" s="197"/>
      <c r="BB268" s="197"/>
      <c r="BC268" s="197"/>
      <c r="BD268" s="197"/>
      <c r="BE268" s="197"/>
      <c r="BF268" s="197"/>
      <c r="BG268" s="197"/>
      <c r="BH268" s="197"/>
      <c r="BI268" s="197"/>
      <c r="BJ268" s="197"/>
      <c r="BK268" s="195"/>
      <c r="BL268" s="197"/>
      <c r="BM268" s="195"/>
      <c r="BN268" s="197"/>
      <c r="BO268" s="197"/>
      <c r="BP268" s="197"/>
      <c r="BQ268" s="197"/>
      <c r="BR268" s="197"/>
      <c r="BS268" s="197"/>
      <c r="BT268" s="197"/>
      <c r="BU268" s="197"/>
      <c r="BV268" s="197"/>
      <c r="BW268" s="197"/>
      <c r="BX268" s="197"/>
      <c r="BY268" s="197"/>
      <c r="BZ268" s="197"/>
      <c r="CA268" s="197"/>
      <c r="CB268" s="197"/>
      <c r="CC268" s="197"/>
      <c r="CD268" s="197"/>
      <c r="CE268" s="197"/>
      <c r="CF268" s="197"/>
      <c r="CG268" s="197"/>
      <c r="CH268" s="197"/>
      <c r="CI268" s="197"/>
      <c r="CJ268" s="197"/>
      <c r="CK268" s="197"/>
      <c r="CL268" s="197"/>
      <c r="CM268" s="197"/>
      <c r="CN268" s="197"/>
      <c r="CO268" s="197"/>
      <c r="CP268" s="197"/>
      <c r="CQ268" s="197"/>
      <c r="CR268" s="197"/>
      <c r="CS268" s="197"/>
      <c r="CT268" s="197"/>
      <c r="CU268" s="197"/>
      <c r="CV268" s="197"/>
      <c r="CW268" s="197"/>
      <c r="CX268" s="197"/>
      <c r="CY268" s="197"/>
      <c r="CZ268" s="197"/>
      <c r="DA268" s="197"/>
      <c r="DB268" s="197"/>
      <c r="DC268" s="197"/>
      <c r="DD268" s="197"/>
      <c r="DE268" s="197"/>
      <c r="DF268" s="197"/>
      <c r="DG268" s="197"/>
      <c r="DH268" s="197"/>
      <c r="DI268" s="197"/>
      <c r="DJ268" s="197"/>
      <c r="DK268" s="197"/>
      <c r="DL268" s="197"/>
      <c r="DM268" s="197"/>
      <c r="DN268" s="197"/>
      <c r="DO268" s="197"/>
      <c r="DP268" s="197"/>
      <c r="DQ268" s="197"/>
      <c r="DR268" s="197"/>
      <c r="DS268" s="73">
        <f>+MEDIAN(AA268,AG268)</f>
        <v>3100000</v>
      </c>
      <c r="DT268" s="73">
        <f>+AVERAGE(AA268,AG268)</f>
        <v>3100000</v>
      </c>
      <c r="DU268" s="73">
        <f>+STDEV(AA268,AG268)</f>
        <v>141421.35623730952</v>
      </c>
      <c r="DV268" s="72">
        <f>DU268/DT268</f>
        <v>4.5619792334615973E-2</v>
      </c>
      <c r="DW268" s="372">
        <f>+DS268</f>
        <v>3100000</v>
      </c>
      <c r="DX268" s="331">
        <f>+ROUND(DW268*G268*H268,0)</f>
        <v>24800000</v>
      </c>
      <c r="DY268" s="162" t="s">
        <v>308</v>
      </c>
    </row>
    <row r="269" spans="1:132" s="63" customFormat="1" hidden="1" x14ac:dyDescent="0.3">
      <c r="A269" s="66" t="s">
        <v>407</v>
      </c>
      <c r="B269" s="66"/>
      <c r="C269" s="66"/>
      <c r="D269" s="66"/>
      <c r="E269" s="66"/>
      <c r="F269" s="67"/>
      <c r="G269" s="67"/>
      <c r="H269" s="67"/>
      <c r="I269" s="214"/>
      <c r="J269" s="214"/>
      <c r="K269" s="214"/>
      <c r="L269" s="214"/>
      <c r="M269" s="214"/>
      <c r="N269" s="214"/>
      <c r="O269" s="215"/>
      <c r="P269" s="215"/>
      <c r="Q269" s="215"/>
      <c r="R269" s="215"/>
      <c r="S269" s="215"/>
      <c r="T269" s="215"/>
      <c r="U269" s="215"/>
      <c r="V269" s="215"/>
      <c r="W269" s="215"/>
      <c r="X269" s="215"/>
      <c r="Y269" s="215"/>
      <c r="Z269" s="215"/>
      <c r="AA269" s="215"/>
      <c r="AB269" s="215"/>
      <c r="AC269" s="215"/>
      <c r="AD269" s="215"/>
      <c r="AE269" s="215"/>
      <c r="AF269" s="215"/>
      <c r="AG269" s="215"/>
      <c r="AH269" s="215"/>
      <c r="AI269" s="215"/>
      <c r="AJ269" s="215"/>
      <c r="AK269" s="215"/>
      <c r="AL269" s="215"/>
      <c r="AM269" s="215"/>
      <c r="AN269" s="215"/>
      <c r="AO269" s="215"/>
      <c r="AP269" s="215"/>
      <c r="AQ269" s="215"/>
      <c r="AR269" s="215"/>
      <c r="AS269" s="215"/>
      <c r="AT269" s="215"/>
      <c r="AU269" s="215"/>
      <c r="AV269" s="215"/>
      <c r="AW269" s="215"/>
      <c r="AX269" s="215"/>
      <c r="AY269" s="215"/>
      <c r="AZ269" s="215"/>
      <c r="BA269" s="215"/>
      <c r="BB269" s="215"/>
      <c r="BC269" s="215"/>
      <c r="BD269" s="215"/>
      <c r="BE269" s="215"/>
      <c r="BF269" s="215"/>
      <c r="BG269" s="215"/>
      <c r="BH269" s="215"/>
      <c r="BI269" s="215"/>
      <c r="BJ269" s="215"/>
      <c r="BK269" s="215"/>
      <c r="BL269" s="216"/>
      <c r="BM269" s="215"/>
      <c r="BN269" s="216"/>
      <c r="BO269" s="216"/>
      <c r="BP269" s="216"/>
      <c r="BQ269" s="216"/>
      <c r="BR269" s="216"/>
      <c r="BS269" s="216"/>
      <c r="BT269" s="216"/>
      <c r="BU269" s="216"/>
      <c r="BV269" s="216"/>
      <c r="BW269" s="216"/>
      <c r="BX269" s="216"/>
      <c r="BY269" s="216"/>
      <c r="BZ269" s="216"/>
      <c r="CA269" s="216"/>
      <c r="CB269" s="216"/>
      <c r="CC269" s="216"/>
      <c r="CD269" s="216"/>
      <c r="CE269" s="216"/>
      <c r="CF269" s="216"/>
      <c r="CG269" s="216"/>
      <c r="CH269" s="216"/>
      <c r="CI269" s="216"/>
      <c r="CJ269" s="216"/>
      <c r="CK269" s="216"/>
      <c r="CL269" s="216"/>
      <c r="CM269" s="216"/>
      <c r="CN269" s="216"/>
      <c r="CO269" s="216"/>
      <c r="CP269" s="216"/>
      <c r="CQ269" s="216"/>
      <c r="CR269" s="216"/>
      <c r="CS269" s="216"/>
      <c r="CT269" s="216"/>
      <c r="CU269" s="216"/>
      <c r="CV269" s="216"/>
      <c r="CW269" s="216"/>
      <c r="CX269" s="216"/>
      <c r="CY269" s="216"/>
      <c r="CZ269" s="216"/>
      <c r="DA269" s="216"/>
      <c r="DB269" s="216"/>
      <c r="DC269" s="216"/>
      <c r="DD269" s="216"/>
      <c r="DE269" s="216"/>
      <c r="DF269" s="216"/>
      <c r="DG269" s="216"/>
      <c r="DH269" s="216"/>
      <c r="DI269" s="216"/>
      <c r="DJ269" s="216"/>
      <c r="DK269" s="216"/>
      <c r="DL269" s="216"/>
      <c r="DM269" s="216"/>
      <c r="DN269" s="216"/>
      <c r="DO269" s="216"/>
      <c r="DP269" s="216"/>
      <c r="DQ269" s="216"/>
      <c r="DR269" s="216"/>
      <c r="DS269" s="215"/>
      <c r="DT269" s="215"/>
      <c r="DU269" s="215"/>
      <c r="DV269" s="68"/>
      <c r="DW269" s="69">
        <f>SUM(DW264:DW268)</f>
        <v>18796829.850744199</v>
      </c>
      <c r="DX269" s="69">
        <f>SUM(DX264:DX268)</f>
        <v>328565373</v>
      </c>
      <c r="DY269" s="165"/>
      <c r="DZ269" s="609"/>
      <c r="EA269" s="608"/>
      <c r="EB269" s="609"/>
    </row>
    <row r="270" spans="1:132" ht="52" hidden="1" x14ac:dyDescent="0.3">
      <c r="A270" s="19">
        <v>81</v>
      </c>
      <c r="B270" s="9" t="s">
        <v>55</v>
      </c>
      <c r="C270" s="93" t="s">
        <v>57</v>
      </c>
      <c r="D270" s="9" t="s">
        <v>357</v>
      </c>
      <c r="E270" s="42" t="s">
        <v>1175</v>
      </c>
      <c r="F270" s="368" t="s">
        <v>14</v>
      </c>
      <c r="G270" s="369">
        <v>4</v>
      </c>
      <c r="H270" s="369">
        <v>3</v>
      </c>
      <c r="I270" s="386">
        <v>7688000</v>
      </c>
      <c r="J270" s="386">
        <f>I270*G270*H270</f>
        <v>92256000</v>
      </c>
      <c r="K270" s="394"/>
      <c r="L270" s="394"/>
      <c r="M270" s="394"/>
      <c r="N270" s="394"/>
      <c r="O270" s="395"/>
      <c r="P270" s="396"/>
      <c r="Q270" s="397"/>
      <c r="R270" s="397"/>
      <c r="S270" s="397"/>
      <c r="T270" s="397"/>
      <c r="U270" s="397"/>
      <c r="V270" s="397"/>
      <c r="W270" s="397"/>
      <c r="X270" s="397"/>
      <c r="Y270" s="397"/>
      <c r="Z270" s="397"/>
      <c r="AA270" s="397"/>
      <c r="AB270" s="397"/>
      <c r="AC270" s="397"/>
      <c r="AD270" s="397"/>
      <c r="AE270" s="397"/>
      <c r="AF270" s="397"/>
      <c r="AG270" s="397"/>
      <c r="AH270" s="397"/>
      <c r="AI270" s="397"/>
      <c r="AJ270" s="397"/>
      <c r="AK270" s="397"/>
      <c r="AL270" s="397"/>
      <c r="AM270" s="397"/>
      <c r="AN270" s="397"/>
      <c r="AO270" s="397"/>
      <c r="AP270" s="397"/>
      <c r="AQ270" s="397"/>
      <c r="AR270" s="397"/>
      <c r="AS270" s="397"/>
      <c r="AT270" s="397"/>
      <c r="AU270" s="397"/>
      <c r="AV270" s="397"/>
      <c r="AW270" s="397"/>
      <c r="AX270" s="397"/>
      <c r="AY270" s="397"/>
      <c r="AZ270" s="397"/>
      <c r="BA270" s="397"/>
      <c r="BB270" s="397"/>
      <c r="BC270" s="397"/>
      <c r="BD270" s="397"/>
      <c r="BE270" s="397"/>
      <c r="BF270" s="397"/>
      <c r="BG270" s="397"/>
      <c r="BH270" s="397"/>
      <c r="BI270" s="397"/>
      <c r="BJ270" s="397"/>
      <c r="BK270" s="398"/>
      <c r="BL270" s="397"/>
      <c r="BM270" s="398"/>
      <c r="BN270" s="397"/>
      <c r="BO270" s="397"/>
      <c r="BP270" s="397"/>
      <c r="BQ270" s="397"/>
      <c r="BR270" s="397"/>
      <c r="BS270" s="397"/>
      <c r="BT270" s="397"/>
      <c r="BU270" s="397"/>
      <c r="BV270" s="397"/>
      <c r="BW270" s="397"/>
      <c r="BX270" s="397"/>
      <c r="BY270" s="397"/>
      <c r="BZ270" s="397"/>
      <c r="CA270" s="397"/>
      <c r="CB270" s="397"/>
      <c r="CC270" s="397"/>
      <c r="CD270" s="397"/>
      <c r="CE270" s="397"/>
      <c r="CF270" s="397"/>
      <c r="CG270" s="397"/>
      <c r="CH270" s="397"/>
      <c r="CI270" s="397"/>
      <c r="CJ270" s="397"/>
      <c r="CK270" s="397"/>
      <c r="CL270" s="397"/>
      <c r="CM270" s="397"/>
      <c r="CN270" s="397"/>
      <c r="CO270" s="397"/>
      <c r="CP270" s="397"/>
      <c r="CQ270" s="397"/>
      <c r="CR270" s="397"/>
      <c r="CS270" s="397"/>
      <c r="CT270" s="397"/>
      <c r="CU270" s="397"/>
      <c r="CV270" s="397"/>
      <c r="CW270" s="397"/>
      <c r="CX270" s="397"/>
      <c r="CY270" s="397"/>
      <c r="CZ270" s="397"/>
      <c r="DA270" s="397"/>
      <c r="DB270" s="397"/>
      <c r="DC270" s="397"/>
      <c r="DD270" s="397"/>
      <c r="DE270" s="397"/>
      <c r="DF270" s="397"/>
      <c r="DG270" s="397"/>
      <c r="DH270" s="397"/>
      <c r="DI270" s="397"/>
      <c r="DJ270" s="397"/>
      <c r="DK270" s="397"/>
      <c r="DL270" s="397"/>
      <c r="DM270" s="397"/>
      <c r="DN270" s="397"/>
      <c r="DO270" s="397"/>
      <c r="DP270" s="397"/>
      <c r="DQ270" s="397"/>
      <c r="DR270" s="397"/>
      <c r="DS270" s="390"/>
      <c r="DT270" s="390"/>
      <c r="DU270" s="390"/>
      <c r="DV270" s="380"/>
      <c r="DW270" s="374">
        <f>I270</f>
        <v>7688000</v>
      </c>
      <c r="DX270" s="330">
        <f t="shared" ref="DX270:DX292" si="56">+ROUND(DW270*G270*H270,0)</f>
        <v>92256000</v>
      </c>
      <c r="DY270" s="362" t="s">
        <v>323</v>
      </c>
      <c r="DZ270" s="619"/>
    </row>
    <row r="271" spans="1:132" ht="182" hidden="1" x14ac:dyDescent="0.3">
      <c r="A271" s="133">
        <v>82</v>
      </c>
      <c r="B271" s="134" t="s">
        <v>55</v>
      </c>
      <c r="C271" s="134" t="s">
        <v>57</v>
      </c>
      <c r="D271" s="134" t="s">
        <v>122</v>
      </c>
      <c r="E271" s="132" t="s">
        <v>177</v>
      </c>
      <c r="F271" s="134" t="s">
        <v>19</v>
      </c>
      <c r="G271" s="136">
        <v>4</v>
      </c>
      <c r="H271" s="136">
        <v>1</v>
      </c>
      <c r="I271" s="229"/>
      <c r="J271" s="229"/>
      <c r="K271" s="229"/>
      <c r="L271" s="229"/>
      <c r="M271" s="229"/>
      <c r="N271" s="229"/>
      <c r="O271" s="230"/>
      <c r="P271" s="264"/>
      <c r="Q271" s="150"/>
      <c r="R271" s="150"/>
      <c r="S271" s="150"/>
      <c r="T271" s="150"/>
      <c r="U271" s="150"/>
      <c r="V271" s="150"/>
      <c r="W271" s="150"/>
      <c r="X271" s="150"/>
      <c r="Y271" s="150"/>
      <c r="Z271" s="150"/>
      <c r="AA271" s="150"/>
      <c r="AB271" s="150"/>
      <c r="AC271" s="150"/>
      <c r="AD271" s="150"/>
      <c r="AE271" s="150"/>
      <c r="AF271" s="150"/>
      <c r="AG271" s="150"/>
      <c r="AH271" s="150"/>
      <c r="AI271" s="150"/>
      <c r="AJ271" s="150"/>
      <c r="AK271" s="150"/>
      <c r="AL271" s="150"/>
      <c r="AM271" s="150"/>
      <c r="AN271" s="150"/>
      <c r="AO271" s="150"/>
      <c r="AP271" s="150"/>
      <c r="AQ271" s="150"/>
      <c r="AR271" s="150"/>
      <c r="AS271" s="150"/>
      <c r="AT271" s="150"/>
      <c r="AU271" s="150"/>
      <c r="AV271" s="150"/>
      <c r="AW271" s="150"/>
      <c r="AX271" s="150"/>
      <c r="AY271" s="150"/>
      <c r="AZ271" s="150"/>
      <c r="BA271" s="150"/>
      <c r="BB271" s="150"/>
      <c r="BC271" s="150"/>
      <c r="BD271" s="150"/>
      <c r="BE271" s="150"/>
      <c r="BF271" s="150"/>
      <c r="BG271" s="150"/>
      <c r="BH271" s="150"/>
      <c r="BI271" s="150"/>
      <c r="BJ271" s="150"/>
      <c r="BK271" s="232"/>
      <c r="BL271" s="150"/>
      <c r="BM271" s="232"/>
      <c r="BN271" s="150"/>
      <c r="BO271" s="150"/>
      <c r="BP271" s="150"/>
      <c r="BQ271" s="150"/>
      <c r="BR271" s="150"/>
      <c r="BS271" s="150"/>
      <c r="BT271" s="150"/>
      <c r="BU271" s="150"/>
      <c r="BV271" s="150"/>
      <c r="BW271" s="150"/>
      <c r="BX271" s="150"/>
      <c r="BY271" s="150"/>
      <c r="BZ271" s="150"/>
      <c r="CA271" s="150"/>
      <c r="CB271" s="150"/>
      <c r="CC271" s="150"/>
      <c r="CD271" s="150"/>
      <c r="CE271" s="150"/>
      <c r="CF271" s="150"/>
      <c r="CG271" s="150"/>
      <c r="CH271" s="150"/>
      <c r="CI271" s="150"/>
      <c r="CJ271" s="150"/>
      <c r="CK271" s="150"/>
      <c r="CL271" s="150"/>
      <c r="CM271" s="150"/>
      <c r="CN271" s="150"/>
      <c r="CO271" s="150"/>
      <c r="CP271" s="150"/>
      <c r="CQ271" s="150"/>
      <c r="CR271" s="150"/>
      <c r="CS271" s="150"/>
      <c r="CT271" s="150"/>
      <c r="CU271" s="150"/>
      <c r="CV271" s="150"/>
      <c r="CW271" s="150"/>
      <c r="CX271" s="150"/>
      <c r="CY271" s="150"/>
      <c r="CZ271" s="150"/>
      <c r="DA271" s="150"/>
      <c r="DB271" s="150"/>
      <c r="DC271" s="150"/>
      <c r="DD271" s="150"/>
      <c r="DE271" s="150"/>
      <c r="DF271" s="150"/>
      <c r="DG271" s="150"/>
      <c r="DH271" s="150"/>
      <c r="DI271" s="150"/>
      <c r="DJ271" s="150"/>
      <c r="DK271" s="150"/>
      <c r="DL271" s="150"/>
      <c r="DM271" s="150"/>
      <c r="DN271" s="150"/>
      <c r="DO271" s="150"/>
      <c r="DP271" s="150"/>
      <c r="DQ271" s="150"/>
      <c r="DR271" s="150"/>
      <c r="DS271" s="232"/>
      <c r="DT271" s="232"/>
      <c r="DU271" s="232"/>
      <c r="DV271" s="137"/>
      <c r="DW271" s="273">
        <f>+DZ271+EB271</f>
        <v>630000</v>
      </c>
      <c r="DX271" s="146">
        <f t="shared" si="56"/>
        <v>2520000</v>
      </c>
      <c r="DY271" s="139" t="s">
        <v>1160</v>
      </c>
      <c r="DZ271" s="613">
        <v>500000</v>
      </c>
      <c r="EA271" s="604">
        <f>+DZ271*G271*H271</f>
        <v>2000000</v>
      </c>
      <c r="EB271" s="604">
        <f>+DZ271*26%</f>
        <v>130000</v>
      </c>
    </row>
    <row r="272" spans="1:132" ht="182" hidden="1" x14ac:dyDescent="0.3">
      <c r="A272" s="370">
        <v>83</v>
      </c>
      <c r="B272" s="134" t="s">
        <v>55</v>
      </c>
      <c r="C272" s="134" t="s">
        <v>57</v>
      </c>
      <c r="D272" s="134" t="s">
        <v>122</v>
      </c>
      <c r="E272" s="132" t="s">
        <v>178</v>
      </c>
      <c r="F272" s="134" t="s">
        <v>19</v>
      </c>
      <c r="G272" s="136">
        <v>4</v>
      </c>
      <c r="H272" s="136">
        <v>1</v>
      </c>
      <c r="I272" s="229"/>
      <c r="J272" s="229"/>
      <c r="K272" s="229"/>
      <c r="L272" s="229"/>
      <c r="M272" s="229"/>
      <c r="N272" s="229"/>
      <c r="O272" s="230"/>
      <c r="P272" s="264"/>
      <c r="Q272" s="150"/>
      <c r="R272" s="150"/>
      <c r="S272" s="150"/>
      <c r="T272" s="150"/>
      <c r="U272" s="150"/>
      <c r="V272" s="150"/>
      <c r="W272" s="150"/>
      <c r="X272" s="150"/>
      <c r="Y272" s="150"/>
      <c r="Z272" s="150"/>
      <c r="AA272" s="150"/>
      <c r="AB272" s="150"/>
      <c r="AC272" s="150"/>
      <c r="AD272" s="150"/>
      <c r="AE272" s="150"/>
      <c r="AF272" s="150"/>
      <c r="AG272" s="150"/>
      <c r="AH272" s="150"/>
      <c r="AI272" s="150"/>
      <c r="AJ272" s="150"/>
      <c r="AK272" s="150"/>
      <c r="AL272" s="150"/>
      <c r="AM272" s="150"/>
      <c r="AN272" s="150"/>
      <c r="AO272" s="150"/>
      <c r="AP272" s="150"/>
      <c r="AQ272" s="150"/>
      <c r="AR272" s="150"/>
      <c r="AS272" s="150"/>
      <c r="AT272" s="150"/>
      <c r="AU272" s="150"/>
      <c r="AV272" s="150"/>
      <c r="AW272" s="150"/>
      <c r="AX272" s="150"/>
      <c r="AY272" s="150"/>
      <c r="AZ272" s="150"/>
      <c r="BA272" s="150"/>
      <c r="BB272" s="150"/>
      <c r="BC272" s="150"/>
      <c r="BD272" s="150"/>
      <c r="BE272" s="150"/>
      <c r="BF272" s="150"/>
      <c r="BG272" s="150"/>
      <c r="BH272" s="150"/>
      <c r="BI272" s="150"/>
      <c r="BJ272" s="150"/>
      <c r="BK272" s="232"/>
      <c r="BL272" s="150"/>
      <c r="BM272" s="232"/>
      <c r="BN272" s="150"/>
      <c r="BO272" s="150"/>
      <c r="BP272" s="150"/>
      <c r="BQ272" s="150"/>
      <c r="BR272" s="150"/>
      <c r="BS272" s="150"/>
      <c r="BT272" s="150"/>
      <c r="BU272" s="150"/>
      <c r="BV272" s="150"/>
      <c r="BW272" s="150"/>
      <c r="BX272" s="150"/>
      <c r="BY272" s="150"/>
      <c r="BZ272" s="150"/>
      <c r="CA272" s="150"/>
      <c r="CB272" s="150"/>
      <c r="CC272" s="150"/>
      <c r="CD272" s="150"/>
      <c r="CE272" s="150"/>
      <c r="CF272" s="150"/>
      <c r="CG272" s="150"/>
      <c r="CH272" s="150"/>
      <c r="CI272" s="150"/>
      <c r="CJ272" s="150"/>
      <c r="CK272" s="150"/>
      <c r="CL272" s="150"/>
      <c r="CM272" s="150"/>
      <c r="CN272" s="150"/>
      <c r="CO272" s="150"/>
      <c r="CP272" s="150"/>
      <c r="CQ272" s="150"/>
      <c r="CR272" s="150"/>
      <c r="CS272" s="150"/>
      <c r="CT272" s="150"/>
      <c r="CU272" s="150"/>
      <c r="CV272" s="150"/>
      <c r="CW272" s="150"/>
      <c r="CX272" s="150"/>
      <c r="CY272" s="150"/>
      <c r="CZ272" s="150"/>
      <c r="DA272" s="150"/>
      <c r="DB272" s="150"/>
      <c r="DC272" s="150"/>
      <c r="DD272" s="150"/>
      <c r="DE272" s="150"/>
      <c r="DF272" s="150"/>
      <c r="DG272" s="150"/>
      <c r="DH272" s="150"/>
      <c r="DI272" s="150"/>
      <c r="DJ272" s="150"/>
      <c r="DK272" s="150"/>
      <c r="DL272" s="150"/>
      <c r="DM272" s="150"/>
      <c r="DN272" s="150"/>
      <c r="DO272" s="150"/>
      <c r="DP272" s="150"/>
      <c r="DQ272" s="150"/>
      <c r="DR272" s="150"/>
      <c r="DS272" s="232"/>
      <c r="DT272" s="232"/>
      <c r="DU272" s="232"/>
      <c r="DV272" s="137"/>
      <c r="DW272" s="273">
        <f>+DZ272+EB272</f>
        <v>378000</v>
      </c>
      <c r="DX272" s="146">
        <f t="shared" si="56"/>
        <v>1512000</v>
      </c>
      <c r="DY272" s="139" t="s">
        <v>1161</v>
      </c>
      <c r="DZ272" s="613">
        <v>300000</v>
      </c>
      <c r="EA272" s="604">
        <f>+DZ272*G272*H272</f>
        <v>1200000</v>
      </c>
      <c r="EB272" s="604">
        <f>+DZ272*26%</f>
        <v>78000</v>
      </c>
    </row>
    <row r="273" spans="1:132" ht="182" hidden="1" x14ac:dyDescent="0.3">
      <c r="A273" s="133">
        <v>84</v>
      </c>
      <c r="B273" s="134" t="s">
        <v>55</v>
      </c>
      <c r="C273" s="134" t="s">
        <v>57</v>
      </c>
      <c r="D273" s="134" t="s">
        <v>122</v>
      </c>
      <c r="E273" s="132" t="s">
        <v>179</v>
      </c>
      <c r="F273" s="134" t="s">
        <v>19</v>
      </c>
      <c r="G273" s="136">
        <v>4</v>
      </c>
      <c r="H273" s="136">
        <v>1</v>
      </c>
      <c r="I273" s="229"/>
      <c r="J273" s="229"/>
      <c r="K273" s="229"/>
      <c r="L273" s="229"/>
      <c r="M273" s="229"/>
      <c r="N273" s="229"/>
      <c r="O273" s="230"/>
      <c r="P273" s="264"/>
      <c r="Q273" s="150"/>
      <c r="R273" s="150"/>
      <c r="S273" s="150"/>
      <c r="T273" s="150"/>
      <c r="U273" s="150"/>
      <c r="V273" s="150"/>
      <c r="W273" s="150"/>
      <c r="X273" s="150"/>
      <c r="Y273" s="150"/>
      <c r="Z273" s="150"/>
      <c r="AA273" s="150"/>
      <c r="AB273" s="150"/>
      <c r="AC273" s="150"/>
      <c r="AD273" s="150"/>
      <c r="AE273" s="150"/>
      <c r="AF273" s="150"/>
      <c r="AG273" s="150"/>
      <c r="AH273" s="150"/>
      <c r="AI273" s="150"/>
      <c r="AJ273" s="150"/>
      <c r="AK273" s="150"/>
      <c r="AL273" s="150"/>
      <c r="AM273" s="150"/>
      <c r="AN273" s="150"/>
      <c r="AO273" s="150"/>
      <c r="AP273" s="150"/>
      <c r="AQ273" s="150"/>
      <c r="AR273" s="150"/>
      <c r="AS273" s="150"/>
      <c r="AT273" s="150"/>
      <c r="AU273" s="150"/>
      <c r="AV273" s="150"/>
      <c r="AW273" s="150"/>
      <c r="AX273" s="150"/>
      <c r="AY273" s="150"/>
      <c r="AZ273" s="150"/>
      <c r="BA273" s="150"/>
      <c r="BB273" s="150"/>
      <c r="BC273" s="150"/>
      <c r="BD273" s="150"/>
      <c r="BE273" s="150"/>
      <c r="BF273" s="150"/>
      <c r="BG273" s="150"/>
      <c r="BH273" s="150"/>
      <c r="BI273" s="150"/>
      <c r="BJ273" s="150"/>
      <c r="BK273" s="232"/>
      <c r="BL273" s="150"/>
      <c r="BM273" s="232"/>
      <c r="BN273" s="150"/>
      <c r="BO273" s="150"/>
      <c r="BP273" s="150"/>
      <c r="BQ273" s="150"/>
      <c r="BR273" s="150"/>
      <c r="BS273" s="150"/>
      <c r="BT273" s="150"/>
      <c r="BU273" s="150"/>
      <c r="BV273" s="150"/>
      <c r="BW273" s="150"/>
      <c r="BX273" s="150"/>
      <c r="BY273" s="150"/>
      <c r="BZ273" s="150"/>
      <c r="CA273" s="150"/>
      <c r="CB273" s="150"/>
      <c r="CC273" s="150"/>
      <c r="CD273" s="150"/>
      <c r="CE273" s="150"/>
      <c r="CF273" s="150"/>
      <c r="CG273" s="150"/>
      <c r="CH273" s="150"/>
      <c r="CI273" s="150"/>
      <c r="CJ273" s="150"/>
      <c r="CK273" s="150"/>
      <c r="CL273" s="150"/>
      <c r="CM273" s="150"/>
      <c r="CN273" s="150"/>
      <c r="CO273" s="150"/>
      <c r="CP273" s="150"/>
      <c r="CQ273" s="150"/>
      <c r="CR273" s="150"/>
      <c r="CS273" s="150"/>
      <c r="CT273" s="150"/>
      <c r="CU273" s="150"/>
      <c r="CV273" s="150"/>
      <c r="CW273" s="150"/>
      <c r="CX273" s="150"/>
      <c r="CY273" s="150"/>
      <c r="CZ273" s="150"/>
      <c r="DA273" s="150"/>
      <c r="DB273" s="150"/>
      <c r="DC273" s="150"/>
      <c r="DD273" s="150"/>
      <c r="DE273" s="150"/>
      <c r="DF273" s="150"/>
      <c r="DG273" s="150"/>
      <c r="DH273" s="150"/>
      <c r="DI273" s="150"/>
      <c r="DJ273" s="150"/>
      <c r="DK273" s="150"/>
      <c r="DL273" s="150"/>
      <c r="DM273" s="150"/>
      <c r="DN273" s="150"/>
      <c r="DO273" s="150"/>
      <c r="DP273" s="150"/>
      <c r="DQ273" s="150"/>
      <c r="DR273" s="150"/>
      <c r="DS273" s="232"/>
      <c r="DT273" s="232"/>
      <c r="DU273" s="232"/>
      <c r="DV273" s="137"/>
      <c r="DW273" s="273">
        <f>+DZ273+EB273</f>
        <v>252000</v>
      </c>
      <c r="DX273" s="146">
        <f t="shared" si="56"/>
        <v>1008000</v>
      </c>
      <c r="DY273" s="139" t="s">
        <v>1162</v>
      </c>
      <c r="DZ273" s="613">
        <v>200000</v>
      </c>
      <c r="EA273" s="604">
        <f>+DZ273*G273*H273</f>
        <v>800000</v>
      </c>
      <c r="EB273" s="604">
        <f>+DZ273*26%</f>
        <v>52000</v>
      </c>
    </row>
    <row r="274" spans="1:132" ht="182" hidden="1" x14ac:dyDescent="0.3">
      <c r="A274" s="370">
        <v>85</v>
      </c>
      <c r="B274" s="134" t="s">
        <v>55</v>
      </c>
      <c r="C274" s="134" t="s">
        <v>57</v>
      </c>
      <c r="D274" s="134" t="s">
        <v>122</v>
      </c>
      <c r="E274" s="132" t="s">
        <v>180</v>
      </c>
      <c r="F274" s="134" t="s">
        <v>19</v>
      </c>
      <c r="G274" s="136">
        <v>8</v>
      </c>
      <c r="H274" s="136">
        <v>1</v>
      </c>
      <c r="I274" s="229"/>
      <c r="J274" s="229"/>
      <c r="K274" s="229"/>
      <c r="L274" s="229"/>
      <c r="M274" s="229"/>
      <c r="N274" s="229"/>
      <c r="O274" s="230"/>
      <c r="P274" s="264"/>
      <c r="Q274" s="150"/>
      <c r="R274" s="150"/>
      <c r="S274" s="150"/>
      <c r="T274" s="150"/>
      <c r="U274" s="150"/>
      <c r="V274" s="150"/>
      <c r="W274" s="150"/>
      <c r="X274" s="150"/>
      <c r="Y274" s="150"/>
      <c r="Z274" s="150"/>
      <c r="AA274" s="150"/>
      <c r="AB274" s="150"/>
      <c r="AC274" s="150"/>
      <c r="AD274" s="150"/>
      <c r="AE274" s="150"/>
      <c r="AF274" s="150"/>
      <c r="AG274" s="150"/>
      <c r="AH274" s="150"/>
      <c r="AI274" s="150"/>
      <c r="AJ274" s="150"/>
      <c r="AK274" s="150"/>
      <c r="AL274" s="150"/>
      <c r="AM274" s="150"/>
      <c r="AN274" s="150"/>
      <c r="AO274" s="150"/>
      <c r="AP274" s="150"/>
      <c r="AQ274" s="150"/>
      <c r="AR274" s="150"/>
      <c r="AS274" s="150"/>
      <c r="AT274" s="150"/>
      <c r="AU274" s="150"/>
      <c r="AV274" s="150"/>
      <c r="AW274" s="150"/>
      <c r="AX274" s="150"/>
      <c r="AY274" s="150"/>
      <c r="AZ274" s="150"/>
      <c r="BA274" s="150"/>
      <c r="BB274" s="150"/>
      <c r="BC274" s="150"/>
      <c r="BD274" s="150"/>
      <c r="BE274" s="150"/>
      <c r="BF274" s="150"/>
      <c r="BG274" s="150"/>
      <c r="BH274" s="150"/>
      <c r="BI274" s="150"/>
      <c r="BJ274" s="150"/>
      <c r="BK274" s="232"/>
      <c r="BL274" s="150"/>
      <c r="BM274" s="232"/>
      <c r="BN274" s="150"/>
      <c r="BO274" s="150"/>
      <c r="BP274" s="150"/>
      <c r="BQ274" s="150"/>
      <c r="BR274" s="150"/>
      <c r="BS274" s="150"/>
      <c r="BT274" s="150"/>
      <c r="BU274" s="150"/>
      <c r="BV274" s="150"/>
      <c r="BW274" s="150"/>
      <c r="BX274" s="150"/>
      <c r="BY274" s="150"/>
      <c r="BZ274" s="150"/>
      <c r="CA274" s="150"/>
      <c r="CB274" s="150"/>
      <c r="CC274" s="150"/>
      <c r="CD274" s="150"/>
      <c r="CE274" s="150"/>
      <c r="CF274" s="150"/>
      <c r="CG274" s="150"/>
      <c r="CH274" s="150"/>
      <c r="CI274" s="150"/>
      <c r="CJ274" s="150"/>
      <c r="CK274" s="150"/>
      <c r="CL274" s="150"/>
      <c r="CM274" s="150"/>
      <c r="CN274" s="150"/>
      <c r="CO274" s="150"/>
      <c r="CP274" s="150"/>
      <c r="CQ274" s="150"/>
      <c r="CR274" s="150"/>
      <c r="CS274" s="150"/>
      <c r="CT274" s="150"/>
      <c r="CU274" s="150"/>
      <c r="CV274" s="150"/>
      <c r="CW274" s="150"/>
      <c r="CX274" s="150"/>
      <c r="CY274" s="150"/>
      <c r="CZ274" s="150"/>
      <c r="DA274" s="150"/>
      <c r="DB274" s="150"/>
      <c r="DC274" s="150"/>
      <c r="DD274" s="150"/>
      <c r="DE274" s="150"/>
      <c r="DF274" s="150"/>
      <c r="DG274" s="150"/>
      <c r="DH274" s="150"/>
      <c r="DI274" s="150"/>
      <c r="DJ274" s="150"/>
      <c r="DK274" s="150"/>
      <c r="DL274" s="150"/>
      <c r="DM274" s="150"/>
      <c r="DN274" s="150"/>
      <c r="DO274" s="150"/>
      <c r="DP274" s="150"/>
      <c r="DQ274" s="150"/>
      <c r="DR274" s="150"/>
      <c r="DS274" s="232"/>
      <c r="DT274" s="232"/>
      <c r="DU274" s="232"/>
      <c r="DV274" s="137"/>
      <c r="DW274" s="273">
        <f>+DZ274+EB274</f>
        <v>126000</v>
      </c>
      <c r="DX274" s="146">
        <f t="shared" si="56"/>
        <v>1008000</v>
      </c>
      <c r="DY274" s="139" t="s">
        <v>1163</v>
      </c>
      <c r="DZ274" s="613">
        <v>100000</v>
      </c>
      <c r="EA274" s="604">
        <f>+DZ274*G274*H274</f>
        <v>800000</v>
      </c>
      <c r="EB274" s="604">
        <f>+DZ274*26%</f>
        <v>26000</v>
      </c>
    </row>
    <row r="275" spans="1:132" ht="65" hidden="1" x14ac:dyDescent="0.3">
      <c r="A275" s="19">
        <v>86</v>
      </c>
      <c r="B275" s="9" t="s">
        <v>55</v>
      </c>
      <c r="C275" s="9" t="s">
        <v>57</v>
      </c>
      <c r="D275" s="9" t="s">
        <v>181</v>
      </c>
      <c r="E275" s="10" t="s">
        <v>182</v>
      </c>
      <c r="F275" s="9" t="s">
        <v>19</v>
      </c>
      <c r="G275" s="11">
        <v>4</v>
      </c>
      <c r="H275" s="11">
        <v>1</v>
      </c>
      <c r="I275" s="191"/>
      <c r="J275" s="191"/>
      <c r="K275" s="191"/>
      <c r="L275" s="191"/>
      <c r="M275" s="191"/>
      <c r="N275" s="191"/>
      <c r="O275" s="211"/>
      <c r="P275" s="212"/>
      <c r="Q275" s="32"/>
      <c r="R275" s="32"/>
      <c r="S275" s="32"/>
      <c r="T275" s="32"/>
      <c r="U275" s="32"/>
      <c r="V275" s="32"/>
      <c r="W275" s="32"/>
      <c r="X275" s="32"/>
      <c r="Y275" s="32"/>
      <c r="Z275" s="32"/>
      <c r="AA275" s="32"/>
      <c r="AB275" s="32"/>
      <c r="AC275" s="32"/>
      <c r="AD275" s="32"/>
      <c r="AE275" s="32"/>
      <c r="AF275" s="32"/>
      <c r="AG275" s="32"/>
      <c r="AH275" s="32"/>
      <c r="AI275" s="32"/>
      <c r="AJ275" s="32"/>
      <c r="AK275" s="32"/>
      <c r="AL275" s="32"/>
      <c r="AM275" s="32"/>
      <c r="AN275" s="32"/>
      <c r="AO275" s="32"/>
      <c r="AP275" s="32"/>
      <c r="AQ275" s="32"/>
      <c r="AR275" s="32"/>
      <c r="AS275" s="32"/>
      <c r="AT275" s="32"/>
      <c r="AU275" s="32"/>
      <c r="AV275" s="32"/>
      <c r="AW275" s="32"/>
      <c r="AX275" s="32"/>
      <c r="AY275" s="32"/>
      <c r="AZ275" s="32"/>
      <c r="BA275" s="246">
        <f>200000+(200000*5.2%)</f>
        <v>210400</v>
      </c>
      <c r="BB275" s="32">
        <f>BA275*G275</f>
        <v>841600</v>
      </c>
      <c r="BC275" s="32"/>
      <c r="BD275" s="32"/>
      <c r="BE275" s="32"/>
      <c r="BF275" s="32"/>
      <c r="BG275" s="32"/>
      <c r="BH275" s="32"/>
      <c r="BI275" s="32"/>
      <c r="BJ275" s="32"/>
      <c r="BK275" s="246"/>
      <c r="BL275" s="32"/>
      <c r="BM275" s="246">
        <v>180000</v>
      </c>
      <c r="BN275" s="32">
        <f>BM275*G275</f>
        <v>720000</v>
      </c>
      <c r="BO275" s="246">
        <v>249900</v>
      </c>
      <c r="BP275" s="32">
        <f>BO275*G275</f>
        <v>999600</v>
      </c>
      <c r="BQ275" s="32"/>
      <c r="BR275" s="32"/>
      <c r="BS275" s="32"/>
      <c r="BT275" s="32"/>
      <c r="BU275" s="32"/>
      <c r="BV275" s="32"/>
      <c r="BW275" s="32"/>
      <c r="BX275" s="32"/>
      <c r="BY275" s="32"/>
      <c r="BZ275" s="32"/>
      <c r="CA275" s="32"/>
      <c r="CB275" s="32"/>
      <c r="CC275" s="32"/>
      <c r="CD275" s="32"/>
      <c r="CE275" s="32"/>
      <c r="CF275" s="32"/>
      <c r="CG275" s="32"/>
      <c r="CH275" s="32"/>
      <c r="CI275" s="32"/>
      <c r="CJ275" s="32"/>
      <c r="CK275" s="32"/>
      <c r="CL275" s="32"/>
      <c r="CM275" s="32"/>
      <c r="CN275" s="32"/>
      <c r="CO275" s="32"/>
      <c r="CP275" s="32"/>
      <c r="CQ275" s="32"/>
      <c r="CR275" s="32"/>
      <c r="CS275" s="32"/>
      <c r="CT275" s="32"/>
      <c r="CU275" s="32"/>
      <c r="CV275" s="32"/>
      <c r="CW275" s="32"/>
      <c r="CX275" s="32"/>
      <c r="CY275" s="32"/>
      <c r="CZ275" s="32"/>
      <c r="DA275" s="32"/>
      <c r="DB275" s="32"/>
      <c r="DC275" s="32"/>
      <c r="DD275" s="32"/>
      <c r="DE275" s="32"/>
      <c r="DF275" s="32"/>
      <c r="DG275" s="25">
        <v>202300</v>
      </c>
      <c r="DH275" s="25">
        <f>DG275*G275*H275</f>
        <v>809200</v>
      </c>
      <c r="DI275" s="25"/>
      <c r="DJ275" s="25"/>
      <c r="DK275" s="25"/>
      <c r="DL275" s="25"/>
      <c r="DM275" s="25"/>
      <c r="DN275" s="25"/>
      <c r="DO275" s="25"/>
      <c r="DP275" s="25"/>
      <c r="DQ275" s="25"/>
      <c r="DR275" s="25"/>
      <c r="DS275" s="13">
        <f>+MEDIAN(BA275,BM275,BO275,DG275)</f>
        <v>206350</v>
      </c>
      <c r="DT275" s="13">
        <f>+AVERAGE(BA275,BM275,BO275,DG275)</f>
        <v>210650</v>
      </c>
      <c r="DU275" s="13">
        <f>+STDEV(BA275,BM275,BO275,DG275)</f>
        <v>29153.444622091116</v>
      </c>
      <c r="DV275" s="17">
        <f t="shared" ref="DV275" si="57">DU275/DT275</f>
        <v>0.13839755339231483</v>
      </c>
      <c r="DW275" s="373">
        <f t="shared" ref="DW275" si="58">+ROUNDUP(IF(DV275&lt;15%,DT275,DS275),0)</f>
        <v>210650</v>
      </c>
      <c r="DX275" s="326">
        <f t="shared" si="56"/>
        <v>842600</v>
      </c>
      <c r="DY275" s="10" t="s">
        <v>308</v>
      </c>
    </row>
    <row r="276" spans="1:132" ht="52" hidden="1" x14ac:dyDescent="0.3">
      <c r="A276" s="19">
        <v>87</v>
      </c>
      <c r="B276" s="9" t="s">
        <v>55</v>
      </c>
      <c r="C276" s="9" t="s">
        <v>57</v>
      </c>
      <c r="D276" s="9" t="s">
        <v>268</v>
      </c>
      <c r="E276" s="10" t="s">
        <v>58</v>
      </c>
      <c r="F276" s="9" t="s">
        <v>19</v>
      </c>
      <c r="G276" s="11">
        <v>400</v>
      </c>
      <c r="H276" s="11">
        <v>1</v>
      </c>
      <c r="I276" s="191"/>
      <c r="J276" s="191"/>
      <c r="K276" s="191"/>
      <c r="L276" s="191"/>
      <c r="M276" s="191"/>
      <c r="N276" s="191"/>
      <c r="O276" s="211"/>
      <c r="P276" s="212"/>
      <c r="Q276" s="32"/>
      <c r="R276" s="32"/>
      <c r="S276" s="32"/>
      <c r="T276" s="32"/>
      <c r="U276" s="32"/>
      <c r="V276" s="32"/>
      <c r="W276" s="32"/>
      <c r="X276" s="32"/>
      <c r="Y276" s="32"/>
      <c r="Z276" s="32"/>
      <c r="AA276" s="32"/>
      <c r="AB276" s="32"/>
      <c r="AC276" s="32"/>
      <c r="AD276" s="32"/>
      <c r="AE276" s="32"/>
      <c r="AF276" s="32"/>
      <c r="AG276" s="32"/>
      <c r="AH276" s="32"/>
      <c r="AI276" s="32"/>
      <c r="AJ276" s="32"/>
      <c r="AK276" s="32"/>
      <c r="AL276" s="32"/>
      <c r="AM276" s="32"/>
      <c r="AN276" s="32"/>
      <c r="AO276" s="32"/>
      <c r="AP276" s="32"/>
      <c r="AQ276" s="32"/>
      <c r="AR276" s="32"/>
      <c r="AS276" s="32"/>
      <c r="AT276" s="32"/>
      <c r="AU276" s="32"/>
      <c r="AV276" s="32"/>
      <c r="AW276" s="32"/>
      <c r="AX276" s="32"/>
      <c r="AY276" s="32"/>
      <c r="AZ276" s="32"/>
      <c r="BA276" s="32"/>
      <c r="BB276" s="32"/>
      <c r="BC276" s="32"/>
      <c r="BD276" s="32"/>
      <c r="BE276" s="32"/>
      <c r="BF276" s="32"/>
      <c r="BG276" s="32"/>
      <c r="BH276" s="32"/>
      <c r="BI276" s="32"/>
      <c r="BJ276" s="32"/>
      <c r="BK276" s="246"/>
      <c r="BL276" s="32"/>
      <c r="BM276" s="246">
        <v>2200</v>
      </c>
      <c r="BN276" s="32">
        <f>BM276*G276</f>
        <v>880000</v>
      </c>
      <c r="BO276" s="32"/>
      <c r="BP276" s="32"/>
      <c r="BQ276" s="246">
        <f>+ROUND(1200+(1200*19%),0)</f>
        <v>1428</v>
      </c>
      <c r="BR276" s="32">
        <f>BQ276*G276</f>
        <v>571200</v>
      </c>
      <c r="BS276" s="32"/>
      <c r="BT276" s="32"/>
      <c r="BU276" s="32"/>
      <c r="BV276" s="32"/>
      <c r="BW276" s="32"/>
      <c r="BX276" s="32"/>
      <c r="BY276" s="32"/>
      <c r="BZ276" s="32"/>
      <c r="CA276" s="32"/>
      <c r="CB276" s="32"/>
      <c r="CC276" s="32"/>
      <c r="CD276" s="32"/>
      <c r="CE276" s="32"/>
      <c r="CF276" s="32"/>
      <c r="CG276" s="32"/>
      <c r="CH276" s="32"/>
      <c r="CI276" s="32"/>
      <c r="CJ276" s="32"/>
      <c r="CK276" s="32"/>
      <c r="CL276" s="32"/>
      <c r="CM276" s="32"/>
      <c r="CN276" s="32"/>
      <c r="CO276" s="32"/>
      <c r="CP276" s="32"/>
      <c r="CQ276" s="32"/>
      <c r="CR276" s="32"/>
      <c r="CS276" s="32"/>
      <c r="CT276" s="32"/>
      <c r="CU276" s="32"/>
      <c r="CV276" s="32"/>
      <c r="CW276" s="32"/>
      <c r="CX276" s="32"/>
      <c r="CY276" s="32"/>
      <c r="CZ276" s="32"/>
      <c r="DA276" s="32"/>
      <c r="DB276" s="32"/>
      <c r="DC276" s="32"/>
      <c r="DD276" s="32"/>
      <c r="DE276" s="32"/>
      <c r="DF276" s="32"/>
      <c r="DG276" s="32"/>
      <c r="DH276" s="32"/>
      <c r="DI276" s="32"/>
      <c r="DJ276" s="32"/>
      <c r="DK276" s="32"/>
      <c r="DL276" s="32"/>
      <c r="DM276" s="32"/>
      <c r="DN276" s="32"/>
      <c r="DO276" s="32"/>
      <c r="DP276" s="32"/>
      <c r="DQ276" s="32"/>
      <c r="DR276" s="32"/>
      <c r="DS276" s="13">
        <f>+MEDIAN(BM276,BQ276)</f>
        <v>1814</v>
      </c>
      <c r="DT276" s="13">
        <f>+AVERAGE(BM276,BQ276)</f>
        <v>1814</v>
      </c>
      <c r="DU276" s="13">
        <f>+STDEV(BM276,BQ276)</f>
        <v>545.88643507601466</v>
      </c>
      <c r="DV276" s="17">
        <f>DU276/DT276</f>
        <v>0.30092967755017347</v>
      </c>
      <c r="DW276" s="373">
        <f>+ROUNDUP(IF(DV276&lt;15%,DT276,DS276),0)</f>
        <v>1814</v>
      </c>
      <c r="DX276" s="326">
        <f t="shared" si="56"/>
        <v>725600</v>
      </c>
      <c r="DY276" s="10" t="s">
        <v>309</v>
      </c>
    </row>
    <row r="277" spans="1:132" ht="208" hidden="1" x14ac:dyDescent="0.3">
      <c r="A277" s="415">
        <v>88</v>
      </c>
      <c r="B277" s="416" t="s">
        <v>55</v>
      </c>
      <c r="C277" s="416" t="s">
        <v>57</v>
      </c>
      <c r="D277" s="416" t="s">
        <v>408</v>
      </c>
      <c r="E277" s="418" t="s">
        <v>1169</v>
      </c>
      <c r="F277" s="416" t="s">
        <v>28</v>
      </c>
      <c r="G277" s="420">
        <v>1</v>
      </c>
      <c r="H277" s="420">
        <v>1</v>
      </c>
      <c r="I277" s="421"/>
      <c r="J277" s="421"/>
      <c r="K277" s="421"/>
      <c r="L277" s="421"/>
      <c r="M277" s="421"/>
      <c r="N277" s="421"/>
      <c r="O277" s="422"/>
      <c r="P277" s="423"/>
      <c r="Q277" s="424"/>
      <c r="R277" s="424"/>
      <c r="S277" s="424"/>
      <c r="T277" s="424"/>
      <c r="U277" s="424"/>
      <c r="V277" s="424"/>
      <c r="W277" s="424"/>
      <c r="X277" s="424"/>
      <c r="Y277" s="424"/>
      <c r="Z277" s="424"/>
      <c r="AA277" s="424"/>
      <c r="AB277" s="424"/>
      <c r="AC277" s="424"/>
      <c r="AD277" s="424"/>
      <c r="AE277" s="424"/>
      <c r="AF277" s="424"/>
      <c r="AG277" s="424"/>
      <c r="AH277" s="424"/>
      <c r="AI277" s="424"/>
      <c r="AJ277" s="424"/>
      <c r="AK277" s="424"/>
      <c r="AL277" s="424"/>
      <c r="AM277" s="424"/>
      <c r="AN277" s="424"/>
      <c r="AO277" s="424"/>
      <c r="AP277" s="424"/>
      <c r="AQ277" s="424"/>
      <c r="AR277" s="424"/>
      <c r="AS277" s="424"/>
      <c r="AT277" s="424"/>
      <c r="AU277" s="424"/>
      <c r="AV277" s="424"/>
      <c r="AW277" s="424"/>
      <c r="AX277" s="424"/>
      <c r="AY277" s="424"/>
      <c r="AZ277" s="424"/>
      <c r="BA277" s="424"/>
      <c r="BB277" s="424"/>
      <c r="BC277" s="424"/>
      <c r="BD277" s="424"/>
      <c r="BE277" s="424"/>
      <c r="BF277" s="424"/>
      <c r="BG277" s="424"/>
      <c r="BH277" s="424"/>
      <c r="BI277" s="424"/>
      <c r="BJ277" s="424"/>
      <c r="BK277" s="425"/>
      <c r="BL277" s="424"/>
      <c r="BM277" s="425"/>
      <c r="BN277" s="424"/>
      <c r="BO277" s="424"/>
      <c r="BP277" s="424"/>
      <c r="BQ277" s="424"/>
      <c r="BR277" s="424"/>
      <c r="BS277" s="424"/>
      <c r="BT277" s="424"/>
      <c r="BU277" s="424"/>
      <c r="BV277" s="424"/>
      <c r="BW277" s="424"/>
      <c r="BX277" s="424"/>
      <c r="BY277" s="424"/>
      <c r="BZ277" s="424"/>
      <c r="CA277" s="424"/>
      <c r="CB277" s="424"/>
      <c r="CC277" s="424"/>
      <c r="CD277" s="424"/>
      <c r="CE277" s="424"/>
      <c r="CF277" s="424"/>
      <c r="CG277" s="424"/>
      <c r="CH277" s="424"/>
      <c r="CI277" s="424"/>
      <c r="CJ277" s="424"/>
      <c r="CK277" s="424"/>
      <c r="CL277" s="424"/>
      <c r="CM277" s="424"/>
      <c r="CN277" s="424"/>
      <c r="CO277" s="424"/>
      <c r="CP277" s="424"/>
      <c r="CQ277" s="424"/>
      <c r="CR277" s="424"/>
      <c r="CS277" s="424"/>
      <c r="CT277" s="424"/>
      <c r="CU277" s="424"/>
      <c r="CV277" s="424"/>
      <c r="CW277" s="424"/>
      <c r="CX277" s="424"/>
      <c r="CY277" s="424"/>
      <c r="CZ277" s="424"/>
      <c r="DA277" s="424"/>
      <c r="DB277" s="424"/>
      <c r="DC277" s="424"/>
      <c r="DD277" s="424"/>
      <c r="DE277" s="424"/>
      <c r="DF277" s="424"/>
      <c r="DG277" s="424"/>
      <c r="DH277" s="424"/>
      <c r="DI277" s="424"/>
      <c r="DJ277" s="424"/>
      <c r="DK277" s="424"/>
      <c r="DL277" s="424"/>
      <c r="DM277" s="424"/>
      <c r="DN277" s="424"/>
      <c r="DO277" s="424"/>
      <c r="DP277" s="424"/>
      <c r="DQ277" s="424"/>
      <c r="DR277" s="424"/>
      <c r="DS277" s="425"/>
      <c r="DT277" s="425"/>
      <c r="DU277" s="425"/>
      <c r="DV277" s="569"/>
      <c r="DW277" s="428">
        <v>13400000</v>
      </c>
      <c r="DX277" s="426">
        <f t="shared" si="56"/>
        <v>13400000</v>
      </c>
      <c r="DY277" s="429" t="s">
        <v>1103</v>
      </c>
    </row>
    <row r="278" spans="1:132" ht="104" hidden="1" x14ac:dyDescent="0.3">
      <c r="A278" s="19">
        <v>89</v>
      </c>
      <c r="B278" s="9" t="s">
        <v>55</v>
      </c>
      <c r="C278" s="9" t="s">
        <v>57</v>
      </c>
      <c r="D278" s="9" t="s">
        <v>466</v>
      </c>
      <c r="E278" s="10" t="s">
        <v>465</v>
      </c>
      <c r="F278" s="9" t="s">
        <v>19</v>
      </c>
      <c r="G278" s="11">
        <v>400</v>
      </c>
      <c r="H278" s="11">
        <v>1</v>
      </c>
      <c r="I278" s="340"/>
      <c r="J278" s="340"/>
      <c r="K278" s="340"/>
      <c r="L278" s="340"/>
      <c r="M278" s="340"/>
      <c r="N278" s="340"/>
      <c r="O278" s="341"/>
      <c r="P278" s="342"/>
      <c r="Q278" s="25"/>
      <c r="R278" s="25"/>
      <c r="S278" s="25"/>
      <c r="T278" s="25"/>
      <c r="U278" s="25"/>
      <c r="V278" s="25"/>
      <c r="W278" s="25"/>
      <c r="X278" s="25"/>
      <c r="Y278" s="25"/>
      <c r="Z278" s="25"/>
      <c r="AA278" s="25"/>
      <c r="AB278" s="25"/>
      <c r="AC278" s="25"/>
      <c r="AD278" s="25"/>
      <c r="AE278" s="25"/>
      <c r="AF278" s="25"/>
      <c r="AG278" s="25"/>
      <c r="AH278" s="25"/>
      <c r="AI278" s="25"/>
      <c r="AJ278" s="25"/>
      <c r="AK278" s="25"/>
      <c r="AL278" s="25"/>
      <c r="AM278" s="25"/>
      <c r="AN278" s="25"/>
      <c r="AO278" s="25"/>
      <c r="AP278" s="25"/>
      <c r="AQ278" s="25"/>
      <c r="AR278" s="25"/>
      <c r="AS278" s="25"/>
      <c r="AT278" s="25"/>
      <c r="AU278" s="25"/>
      <c r="AV278" s="25"/>
      <c r="AW278" s="25"/>
      <c r="AX278" s="25"/>
      <c r="AY278" s="25"/>
      <c r="AZ278" s="25"/>
      <c r="BA278" s="25"/>
      <c r="BB278" s="25"/>
      <c r="BC278" s="25"/>
      <c r="BD278" s="25"/>
      <c r="BE278" s="25"/>
      <c r="BF278" s="25"/>
      <c r="BG278" s="25"/>
      <c r="BH278" s="25"/>
      <c r="BI278" s="25"/>
      <c r="BJ278" s="25"/>
      <c r="BK278" s="343"/>
      <c r="BL278" s="25"/>
      <c r="BM278" s="343"/>
      <c r="BN278" s="25"/>
      <c r="BO278" s="25"/>
      <c r="BP278" s="25"/>
      <c r="BQ278" s="25"/>
      <c r="BR278" s="25"/>
      <c r="BS278" s="25"/>
      <c r="BT278" s="25"/>
      <c r="BU278" s="25"/>
      <c r="BV278" s="25"/>
      <c r="BW278" s="25"/>
      <c r="BX278" s="25"/>
      <c r="BY278" s="25"/>
      <c r="BZ278" s="25"/>
      <c r="CA278" s="25"/>
      <c r="CB278" s="25"/>
      <c r="CC278" s="25"/>
      <c r="CD278" s="25"/>
      <c r="CE278" s="25"/>
      <c r="CF278" s="25"/>
      <c r="CG278" s="25"/>
      <c r="CH278" s="25"/>
      <c r="CI278" s="25"/>
      <c r="CJ278" s="25"/>
      <c r="CK278" s="25"/>
      <c r="CL278" s="25"/>
      <c r="CM278" s="25"/>
      <c r="CN278" s="25"/>
      <c r="CO278" s="28"/>
      <c r="CP278" s="25"/>
      <c r="CQ278" s="344"/>
      <c r="CR278" s="25"/>
      <c r="CS278" s="28"/>
      <c r="CT278" s="25"/>
      <c r="CU278" s="344"/>
      <c r="CV278" s="25"/>
      <c r="CW278" s="352"/>
      <c r="CX278" s="25"/>
      <c r="CY278" s="352"/>
      <c r="CZ278" s="25"/>
      <c r="DA278" s="25"/>
      <c r="DB278" s="25"/>
      <c r="DC278" s="352"/>
      <c r="DD278" s="25"/>
      <c r="DE278" s="25"/>
      <c r="DF278" s="25"/>
      <c r="DG278" s="25"/>
      <c r="DH278" s="25"/>
      <c r="DI278" s="355">
        <v>6500</v>
      </c>
      <c r="DJ278" s="25">
        <f>DI278*G278*H278</f>
        <v>2600000</v>
      </c>
      <c r="DK278" s="355">
        <v>6000</v>
      </c>
      <c r="DL278" s="25">
        <f>DK278*G278*H278</f>
        <v>2400000</v>
      </c>
      <c r="DM278" s="355">
        <v>6000</v>
      </c>
      <c r="DN278" s="25">
        <f>DM278*G278*H278</f>
        <v>2400000</v>
      </c>
      <c r="DO278" s="25"/>
      <c r="DP278" s="25"/>
      <c r="DQ278" s="25"/>
      <c r="DR278" s="25"/>
      <c r="DS278" s="13">
        <f>+MEDIAN(DI278,DK278,DM278)</f>
        <v>6000</v>
      </c>
      <c r="DT278" s="13">
        <f>+AVERAGE(DI278,DK278,DM278)</f>
        <v>6166.666666666667</v>
      </c>
      <c r="DU278" s="13">
        <f>+STDEV(DI278,DK278,DM278)</f>
        <v>288.67513459481285</v>
      </c>
      <c r="DV278" s="17">
        <f>DU278/DT278</f>
        <v>4.6812183988348029E-2</v>
      </c>
      <c r="DW278" s="373">
        <f>+ROUNDUP(IF(DV278&lt;15%,DT278,DS278),0)</f>
        <v>6167</v>
      </c>
      <c r="DX278" s="326">
        <f t="shared" si="56"/>
        <v>2466800</v>
      </c>
      <c r="DY278" s="10" t="s">
        <v>448</v>
      </c>
    </row>
    <row r="279" spans="1:132" ht="39" hidden="1" x14ac:dyDescent="0.3">
      <c r="A279" s="19">
        <v>90</v>
      </c>
      <c r="B279" s="9" t="s">
        <v>55</v>
      </c>
      <c r="C279" s="9" t="s">
        <v>57</v>
      </c>
      <c r="D279" s="9" t="s">
        <v>183</v>
      </c>
      <c r="E279" s="10" t="s">
        <v>184</v>
      </c>
      <c r="F279" s="9" t="s">
        <v>20</v>
      </c>
      <c r="G279" s="11">
        <v>1</v>
      </c>
      <c r="H279" s="11">
        <v>1</v>
      </c>
      <c r="I279" s="191"/>
      <c r="J279" s="191"/>
      <c r="K279" s="191"/>
      <c r="L279" s="191"/>
      <c r="M279" s="191"/>
      <c r="N279" s="191"/>
      <c r="O279" s="211"/>
      <c r="P279" s="212"/>
      <c r="Q279" s="32"/>
      <c r="R279" s="32"/>
      <c r="S279" s="32"/>
      <c r="T279" s="32"/>
      <c r="U279" s="32"/>
      <c r="V279" s="32"/>
      <c r="W279" s="32"/>
      <c r="X279" s="32"/>
      <c r="Y279" s="32"/>
      <c r="Z279" s="32"/>
      <c r="AA279" s="32"/>
      <c r="AB279" s="32"/>
      <c r="AC279" s="32"/>
      <c r="AD279" s="32"/>
      <c r="AE279" s="32"/>
      <c r="AF279" s="32"/>
      <c r="AG279" s="32"/>
      <c r="AH279" s="32"/>
      <c r="AI279" s="32"/>
      <c r="AJ279" s="32"/>
      <c r="AK279" s="32"/>
      <c r="AL279" s="32"/>
      <c r="AM279" s="32"/>
      <c r="AN279" s="32"/>
      <c r="AO279" s="32"/>
      <c r="AP279" s="32"/>
      <c r="AQ279" s="32"/>
      <c r="AR279" s="32"/>
      <c r="AS279" s="32"/>
      <c r="AT279" s="32"/>
      <c r="AU279" s="32"/>
      <c r="AV279" s="32"/>
      <c r="AW279" s="32"/>
      <c r="AX279" s="32"/>
      <c r="AY279" s="32"/>
      <c r="AZ279" s="32"/>
      <c r="BA279" s="32"/>
      <c r="BB279" s="32"/>
      <c r="BC279" s="32"/>
      <c r="BD279" s="32"/>
      <c r="BE279" s="32"/>
      <c r="BF279" s="32"/>
      <c r="BG279" s="32"/>
      <c r="BH279" s="32"/>
      <c r="BI279" s="32"/>
      <c r="BJ279" s="32"/>
      <c r="BK279" s="192"/>
      <c r="BL279" s="32"/>
      <c r="BM279" s="192"/>
      <c r="BN279" s="32"/>
      <c r="BO279" s="32"/>
      <c r="BP279" s="32"/>
      <c r="BQ279" s="32"/>
      <c r="BR279" s="32"/>
      <c r="BS279" s="32"/>
      <c r="BT279" s="32"/>
      <c r="BU279" s="32"/>
      <c r="BV279" s="32"/>
      <c r="BW279" s="32"/>
      <c r="BX279" s="32"/>
      <c r="BY279" s="32"/>
      <c r="BZ279" s="32"/>
      <c r="CA279" s="32"/>
      <c r="CB279" s="32"/>
      <c r="CC279" s="32"/>
      <c r="CD279" s="32"/>
      <c r="CE279" s="32"/>
      <c r="CF279" s="32"/>
      <c r="CG279" s="32"/>
      <c r="CH279" s="32"/>
      <c r="CI279" s="32"/>
      <c r="CJ279" s="32"/>
      <c r="CK279" s="32"/>
      <c r="CL279" s="32"/>
      <c r="CM279" s="32"/>
      <c r="CN279" s="32"/>
      <c r="CO279" s="224">
        <v>1500000</v>
      </c>
      <c r="CP279" s="32">
        <f>CO279*G279</f>
        <v>1500000</v>
      </c>
      <c r="CQ279" s="225"/>
      <c r="CR279" s="32"/>
      <c r="CS279" s="224">
        <v>1300000</v>
      </c>
      <c r="CT279" s="25">
        <f>CS279*G279</f>
        <v>1300000</v>
      </c>
      <c r="CU279" s="225"/>
      <c r="CV279" s="25"/>
      <c r="CW279" s="245"/>
      <c r="CX279" s="25"/>
      <c r="CY279" s="245">
        <v>1900000</v>
      </c>
      <c r="CZ279" s="25">
        <f>CY279*G279*H279</f>
        <v>1900000</v>
      </c>
      <c r="DA279" s="25"/>
      <c r="DB279" s="25"/>
      <c r="DC279" s="245"/>
      <c r="DD279" s="25"/>
      <c r="DE279" s="25"/>
      <c r="DF279" s="25"/>
      <c r="DG279" s="25"/>
      <c r="DH279" s="25"/>
      <c r="DI279" s="25"/>
      <c r="DJ279" s="25"/>
      <c r="DK279" s="25"/>
      <c r="DL279" s="25"/>
      <c r="DM279" s="25"/>
      <c r="DN279" s="25"/>
      <c r="DO279" s="25"/>
      <c r="DP279" s="25"/>
      <c r="DQ279" s="25"/>
      <c r="DR279" s="25"/>
      <c r="DS279" s="13">
        <f>+MEDIAN(CO279,CS279,CY279)</f>
        <v>1500000</v>
      </c>
      <c r="DT279" s="13">
        <f>+AVERAGE(CO279,CS279,CY279)</f>
        <v>1566666.6666666667</v>
      </c>
      <c r="DU279" s="13">
        <f>+STDEV(CO279,CS279,CY279)</f>
        <v>305505.04633038962</v>
      </c>
      <c r="DV279" s="17">
        <f>DU279/DT279</f>
        <v>0.19500322106195081</v>
      </c>
      <c r="DW279" s="373">
        <f>+ROUNDUP(IF(DV279&lt;15%,DT279,DS279),0)</f>
        <v>1500000</v>
      </c>
      <c r="DX279" s="326">
        <f t="shared" si="56"/>
        <v>1500000</v>
      </c>
      <c r="DY279" s="10" t="s">
        <v>322</v>
      </c>
    </row>
    <row r="280" spans="1:132" ht="104" hidden="1" x14ac:dyDescent="0.3">
      <c r="A280" s="19">
        <v>91</v>
      </c>
      <c r="B280" s="9" t="s">
        <v>55</v>
      </c>
      <c r="C280" s="9" t="s">
        <v>57</v>
      </c>
      <c r="D280" s="9" t="s">
        <v>219</v>
      </c>
      <c r="E280" s="10" t="s">
        <v>185</v>
      </c>
      <c r="F280" s="91" t="s">
        <v>287</v>
      </c>
      <c r="G280" s="92">
        <v>7</v>
      </c>
      <c r="H280" s="92">
        <v>1</v>
      </c>
      <c r="I280" s="191"/>
      <c r="J280" s="191"/>
      <c r="K280" s="191"/>
      <c r="L280" s="191"/>
      <c r="M280" s="191"/>
      <c r="N280" s="191"/>
      <c r="O280" s="211"/>
      <c r="P280" s="212"/>
      <c r="Q280" s="32"/>
      <c r="R280" s="32"/>
      <c r="S280" s="32"/>
      <c r="T280" s="32"/>
      <c r="U280" s="32"/>
      <c r="V280" s="32"/>
      <c r="W280" s="32"/>
      <c r="X280" s="32"/>
      <c r="Y280" s="32"/>
      <c r="Z280" s="32"/>
      <c r="AA280" s="32"/>
      <c r="AB280" s="32"/>
      <c r="AC280" s="32"/>
      <c r="AD280" s="32"/>
      <c r="AE280" s="32"/>
      <c r="AF280" s="32"/>
      <c r="AG280" s="32"/>
      <c r="AH280" s="32"/>
      <c r="AI280" s="32"/>
      <c r="AJ280" s="32"/>
      <c r="AK280" s="32"/>
      <c r="AL280" s="32"/>
      <c r="AM280" s="32"/>
      <c r="AN280" s="32"/>
      <c r="AO280" s="32"/>
      <c r="AP280" s="32"/>
      <c r="AQ280" s="32"/>
      <c r="AR280" s="32"/>
      <c r="AS280" s="32"/>
      <c r="AT280" s="32"/>
      <c r="AU280" s="32"/>
      <c r="AV280" s="32"/>
      <c r="AW280" s="32"/>
      <c r="AX280" s="32"/>
      <c r="AY280" s="32"/>
      <c r="AZ280" s="32"/>
      <c r="BA280" s="32"/>
      <c r="BB280" s="32"/>
      <c r="BC280" s="32"/>
      <c r="BD280" s="32"/>
      <c r="BE280" s="32"/>
      <c r="BF280" s="32"/>
      <c r="BG280" s="32"/>
      <c r="BH280" s="32"/>
      <c r="BI280" s="32"/>
      <c r="BJ280" s="32"/>
      <c r="BK280" s="192"/>
      <c r="BL280" s="32"/>
      <c r="BM280" s="192"/>
      <c r="BN280" s="32"/>
      <c r="BO280" s="32"/>
      <c r="BP280" s="32"/>
      <c r="BQ280" s="32"/>
      <c r="BR280" s="32"/>
      <c r="BS280" s="32"/>
      <c r="BT280" s="32"/>
      <c r="BU280" s="32"/>
      <c r="BV280" s="32"/>
      <c r="BW280" s="32"/>
      <c r="BX280" s="32"/>
      <c r="BY280" s="32"/>
      <c r="BZ280" s="32"/>
      <c r="CA280" s="32"/>
      <c r="CB280" s="32"/>
      <c r="CC280" s="32"/>
      <c r="CD280" s="32"/>
      <c r="CE280" s="246">
        <v>700000</v>
      </c>
      <c r="CF280" s="32">
        <f>CE280*G280</f>
        <v>4900000</v>
      </c>
      <c r="CG280" s="32"/>
      <c r="CH280" s="32"/>
      <c r="CI280" s="246">
        <f>950000+(950000*5.2%)</f>
        <v>999400</v>
      </c>
      <c r="CJ280" s="32">
        <f>CI280*G280</f>
        <v>6995800</v>
      </c>
      <c r="CK280" s="32"/>
      <c r="CL280" s="32"/>
      <c r="CM280" s="32"/>
      <c r="CN280" s="32"/>
      <c r="CO280" s="32"/>
      <c r="CP280" s="32"/>
      <c r="CQ280" s="32"/>
      <c r="CR280" s="32"/>
      <c r="CS280" s="32"/>
      <c r="CT280" s="32"/>
      <c r="CU280" s="32"/>
      <c r="CV280" s="32"/>
      <c r="CW280" s="32"/>
      <c r="CX280" s="32"/>
      <c r="CY280" s="32"/>
      <c r="CZ280" s="32"/>
      <c r="DA280" s="32"/>
      <c r="DB280" s="32"/>
      <c r="DC280" s="32"/>
      <c r="DD280" s="32"/>
      <c r="DE280" s="32"/>
      <c r="DF280" s="32"/>
      <c r="DG280" s="32"/>
      <c r="DH280" s="32"/>
      <c r="DI280" s="32"/>
      <c r="DJ280" s="32"/>
      <c r="DK280" s="32"/>
      <c r="DL280" s="32"/>
      <c r="DM280" s="32"/>
      <c r="DN280" s="32"/>
      <c r="DO280" s="32"/>
      <c r="DP280" s="32"/>
      <c r="DQ280" s="32"/>
      <c r="DR280" s="32"/>
      <c r="DS280" s="265">
        <f>MEDIAN(CE280,CI280)</f>
        <v>849700</v>
      </c>
      <c r="DT280" s="265">
        <f>AVERAGE(CE280,CI280)</f>
        <v>849700</v>
      </c>
      <c r="DU280" s="265">
        <f>STDEV(CE280,CI280)</f>
        <v>211707.77028725232</v>
      </c>
      <c r="DV280" s="48">
        <f>DU280/DT280</f>
        <v>0.24915590242115138</v>
      </c>
      <c r="DW280" s="377">
        <f>ROUNDUP(IF(DV280&lt;15%,DT280,DS280),0)</f>
        <v>849700</v>
      </c>
      <c r="DX280" s="326">
        <f t="shared" si="56"/>
        <v>5947900</v>
      </c>
      <c r="DY280" s="10" t="s">
        <v>310</v>
      </c>
    </row>
    <row r="281" spans="1:132" ht="52" hidden="1" x14ac:dyDescent="0.3">
      <c r="A281" s="19">
        <v>92</v>
      </c>
      <c r="B281" s="9" t="s">
        <v>55</v>
      </c>
      <c r="C281" s="9" t="s">
        <v>57</v>
      </c>
      <c r="D281" s="9" t="s">
        <v>186</v>
      </c>
      <c r="E281" s="51" t="s">
        <v>224</v>
      </c>
      <c r="F281" s="93" t="s">
        <v>19</v>
      </c>
      <c r="G281" s="92">
        <v>250</v>
      </c>
      <c r="H281" s="92">
        <v>1</v>
      </c>
      <c r="I281" s="191"/>
      <c r="J281" s="191"/>
      <c r="K281" s="191"/>
      <c r="L281" s="191"/>
      <c r="M281" s="191"/>
      <c r="N281" s="191"/>
      <c r="O281" s="211"/>
      <c r="P281" s="212"/>
      <c r="Q281" s="32"/>
      <c r="R281" s="32"/>
      <c r="S281" s="32"/>
      <c r="T281" s="32"/>
      <c r="U281" s="32"/>
      <c r="V281" s="32"/>
      <c r="W281" s="32"/>
      <c r="X281" s="32"/>
      <c r="Y281" s="32"/>
      <c r="Z281" s="32"/>
      <c r="AA281" s="32"/>
      <c r="AB281" s="32"/>
      <c r="AC281" s="32"/>
      <c r="AD281" s="32"/>
      <c r="AE281" s="32"/>
      <c r="AF281" s="32"/>
      <c r="AG281" s="32"/>
      <c r="AH281" s="32"/>
      <c r="AI281" s="32"/>
      <c r="AJ281" s="32"/>
      <c r="AK281" s="32"/>
      <c r="AL281" s="32"/>
      <c r="AM281" s="32"/>
      <c r="AN281" s="32"/>
      <c r="AO281" s="32"/>
      <c r="AP281" s="32"/>
      <c r="AQ281" s="32"/>
      <c r="AR281" s="32"/>
      <c r="AS281" s="32"/>
      <c r="AT281" s="32"/>
      <c r="AU281" s="32"/>
      <c r="AV281" s="32"/>
      <c r="AW281" s="32"/>
      <c r="AX281" s="32"/>
      <c r="AY281" s="32"/>
      <c r="AZ281" s="32"/>
      <c r="BA281" s="32"/>
      <c r="BB281" s="32"/>
      <c r="BC281" s="13">
        <v>3000</v>
      </c>
      <c r="BD281" s="32">
        <f>BC281*G281</f>
        <v>750000</v>
      </c>
      <c r="BE281" s="13">
        <v>2700</v>
      </c>
      <c r="BF281" s="32">
        <f>BE281*G281</f>
        <v>675000</v>
      </c>
      <c r="BG281" s="32"/>
      <c r="BH281" s="32"/>
      <c r="BI281" s="32"/>
      <c r="BJ281" s="32"/>
      <c r="BK281" s="192"/>
      <c r="BL281" s="32"/>
      <c r="BM281" s="192"/>
      <c r="BN281" s="32"/>
      <c r="BO281" s="32"/>
      <c r="BP281" s="32"/>
      <c r="BQ281" s="32"/>
      <c r="BR281" s="32"/>
      <c r="BS281" s="32"/>
      <c r="BT281" s="32"/>
      <c r="BU281" s="32"/>
      <c r="BV281" s="32"/>
      <c r="BW281" s="32"/>
      <c r="BX281" s="32"/>
      <c r="BY281" s="32"/>
      <c r="BZ281" s="32"/>
      <c r="CA281" s="32"/>
      <c r="CB281" s="32"/>
      <c r="CC281" s="32"/>
      <c r="CD281" s="32"/>
      <c r="CE281" s="32"/>
      <c r="CF281" s="32"/>
      <c r="CG281" s="32"/>
      <c r="CH281" s="32"/>
      <c r="CI281" s="32"/>
      <c r="CJ281" s="32"/>
      <c r="CK281" s="32"/>
      <c r="CL281" s="32"/>
      <c r="CM281" s="32"/>
      <c r="CN281" s="32"/>
      <c r="CO281" s="32"/>
      <c r="CP281" s="32"/>
      <c r="CQ281" s="32"/>
      <c r="CR281" s="32"/>
      <c r="CS281" s="32"/>
      <c r="CT281" s="32"/>
      <c r="CU281" s="32"/>
      <c r="CV281" s="32"/>
      <c r="CW281" s="32"/>
      <c r="CX281" s="32"/>
      <c r="CY281" s="32"/>
      <c r="CZ281" s="32"/>
      <c r="DA281" s="32"/>
      <c r="DB281" s="32"/>
      <c r="DC281" s="32"/>
      <c r="DD281" s="32"/>
      <c r="DE281" s="32"/>
      <c r="DF281" s="32"/>
      <c r="DG281" s="32"/>
      <c r="DH281" s="32"/>
      <c r="DI281" s="32"/>
      <c r="DJ281" s="32"/>
      <c r="DK281" s="32"/>
      <c r="DL281" s="32"/>
      <c r="DM281" s="32"/>
      <c r="DN281" s="32"/>
      <c r="DO281" s="32"/>
      <c r="DP281" s="32"/>
      <c r="DQ281" s="32"/>
      <c r="DR281" s="32"/>
      <c r="DS281" s="265">
        <f>MEDIAN(BC281,BE281)</f>
        <v>2850</v>
      </c>
      <c r="DT281" s="265">
        <f>AVERAGE(BC281,BE281)</f>
        <v>2850</v>
      </c>
      <c r="DU281" s="265">
        <f>STDEV(BC281,BE281)</f>
        <v>212.13203435596427</v>
      </c>
      <c r="DV281" s="48">
        <f>DU281/DT281</f>
        <v>7.4432292756478696E-2</v>
      </c>
      <c r="DW281" s="377">
        <f>ROUNDUP(IF(DV281&lt;15%,DT281,DS281),0)</f>
        <v>2850</v>
      </c>
      <c r="DX281" s="326">
        <f t="shared" si="56"/>
        <v>712500</v>
      </c>
      <c r="DY281" s="10" t="s">
        <v>315</v>
      </c>
    </row>
    <row r="282" spans="1:132" ht="77.5" hidden="1" customHeight="1" x14ac:dyDescent="0.3">
      <c r="A282" s="19">
        <v>93</v>
      </c>
      <c r="B282" s="9" t="s">
        <v>55</v>
      </c>
      <c r="C282" s="9" t="s">
        <v>57</v>
      </c>
      <c r="D282" s="9" t="s">
        <v>83</v>
      </c>
      <c r="E282" s="10" t="s">
        <v>187</v>
      </c>
      <c r="F282" s="93" t="s">
        <v>19</v>
      </c>
      <c r="G282" s="92">
        <v>250</v>
      </c>
      <c r="H282" s="92">
        <v>1</v>
      </c>
      <c r="I282" s="191"/>
      <c r="J282" s="191"/>
      <c r="K282" s="191"/>
      <c r="L282" s="191"/>
      <c r="M282" s="191"/>
      <c r="N282" s="191"/>
      <c r="O282" s="211"/>
      <c r="P282" s="212"/>
      <c r="Q282" s="32"/>
      <c r="R282" s="32"/>
      <c r="S282" s="32"/>
      <c r="T282" s="32"/>
      <c r="U282" s="32"/>
      <c r="V282" s="32"/>
      <c r="W282" s="32"/>
      <c r="X282" s="32"/>
      <c r="Y282" s="32"/>
      <c r="Z282" s="32"/>
      <c r="AA282" s="32"/>
      <c r="AB282" s="32"/>
      <c r="AC282" s="32"/>
      <c r="AD282" s="32"/>
      <c r="AE282" s="32"/>
      <c r="AF282" s="32"/>
      <c r="AG282" s="32"/>
      <c r="AH282" s="32"/>
      <c r="AI282" s="32"/>
      <c r="AJ282" s="32"/>
      <c r="AK282" s="32">
        <v>27000</v>
      </c>
      <c r="AL282" s="32">
        <v>6750000</v>
      </c>
      <c r="AM282" s="32">
        <v>18936</v>
      </c>
      <c r="AN282" s="32">
        <v>4734000</v>
      </c>
      <c r="AO282" s="32">
        <v>14096.8</v>
      </c>
      <c r="AP282" s="32">
        <v>3524200</v>
      </c>
      <c r="AQ282" s="32">
        <v>17778.8</v>
      </c>
      <c r="AR282" s="32">
        <v>4444700</v>
      </c>
      <c r="AS282" s="32"/>
      <c r="AT282" s="32"/>
      <c r="AU282" s="32"/>
      <c r="AV282" s="32"/>
      <c r="AW282" s="32"/>
      <c r="AX282" s="32"/>
      <c r="AY282" s="32"/>
      <c r="AZ282" s="32"/>
      <c r="BA282" s="32"/>
      <c r="BB282" s="32"/>
      <c r="BC282" s="32"/>
      <c r="BD282" s="32"/>
      <c r="BE282" s="32"/>
      <c r="BF282" s="32"/>
      <c r="BG282" s="32"/>
      <c r="BH282" s="32"/>
      <c r="BI282" s="32"/>
      <c r="BJ282" s="32"/>
      <c r="BK282" s="192"/>
      <c r="BL282" s="32"/>
      <c r="BM282" s="192"/>
      <c r="BN282" s="32"/>
      <c r="BO282" s="32"/>
      <c r="BP282" s="32"/>
      <c r="BQ282" s="32"/>
      <c r="BR282" s="32"/>
      <c r="BS282" s="32"/>
      <c r="BT282" s="32"/>
      <c r="BU282" s="32"/>
      <c r="BV282" s="32"/>
      <c r="BW282" s="32"/>
      <c r="BX282" s="32"/>
      <c r="BY282" s="32"/>
      <c r="BZ282" s="32"/>
      <c r="CA282" s="32"/>
      <c r="CB282" s="32"/>
      <c r="CC282" s="32"/>
      <c r="CD282" s="32"/>
      <c r="CE282" s="32"/>
      <c r="CF282" s="32"/>
      <c r="CG282" s="32"/>
      <c r="CH282" s="32"/>
      <c r="CI282" s="32"/>
      <c r="CJ282" s="32"/>
      <c r="CK282" s="32"/>
      <c r="CL282" s="32"/>
      <c r="CM282" s="32"/>
      <c r="CN282" s="32"/>
      <c r="CO282" s="32"/>
      <c r="CP282" s="32"/>
      <c r="CQ282" s="32"/>
      <c r="CR282" s="32"/>
      <c r="CS282" s="32"/>
      <c r="CT282" s="32"/>
      <c r="CU282" s="32"/>
      <c r="CV282" s="32"/>
      <c r="CW282" s="32"/>
      <c r="CX282" s="32"/>
      <c r="CY282" s="32"/>
      <c r="CZ282" s="32"/>
      <c r="DA282" s="32"/>
      <c r="DB282" s="32"/>
      <c r="DC282" s="32"/>
      <c r="DD282" s="32"/>
      <c r="DE282" s="32"/>
      <c r="DF282" s="32"/>
      <c r="DG282" s="32"/>
      <c r="DH282" s="32"/>
      <c r="DI282" s="32"/>
      <c r="DJ282" s="32"/>
      <c r="DK282" s="32"/>
      <c r="DL282" s="32"/>
      <c r="DM282" s="32"/>
      <c r="DN282" s="32"/>
      <c r="DO282" s="32"/>
      <c r="DP282" s="32"/>
      <c r="DQ282" s="32"/>
      <c r="DR282" s="32"/>
      <c r="DS282" s="13">
        <f>+MEDIAN(AK282,AM282,AO282,AQ282)</f>
        <v>18357.400000000001</v>
      </c>
      <c r="DT282" s="13">
        <f>+AVERAGE(AK282,AM282,AO282,AQ282)</f>
        <v>19452.900000000001</v>
      </c>
      <c r="DU282" s="13">
        <f>+STDEV(AK282,AM282,AO282,AQ282)</f>
        <v>5438.0242135049912</v>
      </c>
      <c r="DV282" s="17">
        <f>DU282/DT282</f>
        <v>0.27954825313989129</v>
      </c>
      <c r="DW282" s="373">
        <f>+ROUNDUP(IF(DV282&lt;15%,DT282,DS282),0)</f>
        <v>18358</v>
      </c>
      <c r="DX282" s="326">
        <f t="shared" si="56"/>
        <v>4589500</v>
      </c>
      <c r="DY282" s="10" t="s">
        <v>309</v>
      </c>
    </row>
    <row r="283" spans="1:132" ht="208" hidden="1" x14ac:dyDescent="0.3">
      <c r="A283" s="415">
        <v>94</v>
      </c>
      <c r="B283" s="416" t="s">
        <v>55</v>
      </c>
      <c r="C283" s="416" t="s">
        <v>57</v>
      </c>
      <c r="D283" s="416" t="s">
        <v>408</v>
      </c>
      <c r="E283" s="418" t="s">
        <v>1168</v>
      </c>
      <c r="F283" s="416" t="s">
        <v>28</v>
      </c>
      <c r="G283" s="420">
        <v>1</v>
      </c>
      <c r="H283" s="420">
        <v>1</v>
      </c>
      <c r="I283" s="421"/>
      <c r="J283" s="421"/>
      <c r="K283" s="421"/>
      <c r="L283" s="421"/>
      <c r="M283" s="421"/>
      <c r="N283" s="421"/>
      <c r="O283" s="422"/>
      <c r="P283" s="423"/>
      <c r="Q283" s="424"/>
      <c r="R283" s="424"/>
      <c r="S283" s="424"/>
      <c r="T283" s="424"/>
      <c r="U283" s="424"/>
      <c r="V283" s="424"/>
      <c r="W283" s="424"/>
      <c r="X283" s="424"/>
      <c r="Y283" s="424"/>
      <c r="Z283" s="424"/>
      <c r="AA283" s="424"/>
      <c r="AB283" s="424"/>
      <c r="AC283" s="424"/>
      <c r="AD283" s="424"/>
      <c r="AE283" s="424"/>
      <c r="AF283" s="424"/>
      <c r="AG283" s="424"/>
      <c r="AH283" s="424"/>
      <c r="AI283" s="424"/>
      <c r="AJ283" s="424"/>
      <c r="AK283" s="424"/>
      <c r="AL283" s="424"/>
      <c r="AM283" s="424"/>
      <c r="AN283" s="424"/>
      <c r="AO283" s="424"/>
      <c r="AP283" s="424"/>
      <c r="AQ283" s="424"/>
      <c r="AR283" s="424"/>
      <c r="AS283" s="424"/>
      <c r="AT283" s="424"/>
      <c r="AU283" s="424"/>
      <c r="AV283" s="424"/>
      <c r="AW283" s="424"/>
      <c r="AX283" s="424"/>
      <c r="AY283" s="424"/>
      <c r="AZ283" s="424"/>
      <c r="BA283" s="424"/>
      <c r="BB283" s="424"/>
      <c r="BC283" s="424"/>
      <c r="BD283" s="424"/>
      <c r="BE283" s="424"/>
      <c r="BF283" s="424"/>
      <c r="BG283" s="424"/>
      <c r="BH283" s="424"/>
      <c r="BI283" s="424"/>
      <c r="BJ283" s="424"/>
      <c r="BK283" s="425"/>
      <c r="BL283" s="424"/>
      <c r="BM283" s="425"/>
      <c r="BN283" s="424"/>
      <c r="BO283" s="424"/>
      <c r="BP283" s="424"/>
      <c r="BQ283" s="424"/>
      <c r="BR283" s="424"/>
      <c r="BS283" s="424"/>
      <c r="BT283" s="424"/>
      <c r="BU283" s="424"/>
      <c r="BV283" s="424"/>
      <c r="BW283" s="424"/>
      <c r="BX283" s="424"/>
      <c r="BY283" s="424"/>
      <c r="BZ283" s="424"/>
      <c r="CA283" s="424"/>
      <c r="CB283" s="424"/>
      <c r="CC283" s="424"/>
      <c r="CD283" s="424"/>
      <c r="CE283" s="424"/>
      <c r="CF283" s="424"/>
      <c r="CG283" s="424"/>
      <c r="CH283" s="424"/>
      <c r="CI283" s="424"/>
      <c r="CJ283" s="424"/>
      <c r="CK283" s="424"/>
      <c r="CL283" s="424"/>
      <c r="CM283" s="424"/>
      <c r="CN283" s="424"/>
      <c r="CO283" s="424"/>
      <c r="CP283" s="424"/>
      <c r="CQ283" s="424"/>
      <c r="CR283" s="424"/>
      <c r="CS283" s="424"/>
      <c r="CT283" s="424"/>
      <c r="CU283" s="424"/>
      <c r="CV283" s="424"/>
      <c r="CW283" s="424"/>
      <c r="CX283" s="424"/>
      <c r="CY283" s="424"/>
      <c r="CZ283" s="424"/>
      <c r="DA283" s="424"/>
      <c r="DB283" s="424"/>
      <c r="DC283" s="424"/>
      <c r="DD283" s="424"/>
      <c r="DE283" s="424"/>
      <c r="DF283" s="424"/>
      <c r="DG283" s="424"/>
      <c r="DH283" s="424"/>
      <c r="DI283" s="424"/>
      <c r="DJ283" s="424"/>
      <c r="DK283" s="424"/>
      <c r="DL283" s="424"/>
      <c r="DM283" s="424"/>
      <c r="DN283" s="424"/>
      <c r="DO283" s="424"/>
      <c r="DP283" s="424"/>
      <c r="DQ283" s="424"/>
      <c r="DR283" s="424"/>
      <c r="DS283" s="425"/>
      <c r="DT283" s="425"/>
      <c r="DU283" s="425"/>
      <c r="DV283" s="569"/>
      <c r="DW283" s="428">
        <f>10000000*1.34</f>
        <v>13400000</v>
      </c>
      <c r="DX283" s="426">
        <f t="shared" si="56"/>
        <v>13400000</v>
      </c>
      <c r="DY283" s="429" t="s">
        <v>1103</v>
      </c>
    </row>
    <row r="284" spans="1:132" ht="39" hidden="1" x14ac:dyDescent="0.3">
      <c r="A284" s="19">
        <v>95</v>
      </c>
      <c r="B284" s="9" t="s">
        <v>55</v>
      </c>
      <c r="C284" s="9" t="s">
        <v>57</v>
      </c>
      <c r="D284" s="26" t="s">
        <v>367</v>
      </c>
      <c r="E284" s="30" t="s">
        <v>266</v>
      </c>
      <c r="F284" s="34" t="s">
        <v>240</v>
      </c>
      <c r="G284" s="11">
        <v>8</v>
      </c>
      <c r="H284" s="11">
        <v>4</v>
      </c>
      <c r="I284" s="191"/>
      <c r="J284" s="191"/>
      <c r="K284" s="191"/>
      <c r="L284" s="191"/>
      <c r="M284" s="191"/>
      <c r="N284" s="191"/>
      <c r="O284" s="211"/>
      <c r="P284" s="212"/>
      <c r="Q284" s="32"/>
      <c r="R284" s="32"/>
      <c r="S284" s="32"/>
      <c r="T284" s="32"/>
      <c r="U284" s="32"/>
      <c r="V284" s="32"/>
      <c r="W284" s="32"/>
      <c r="X284" s="32"/>
      <c r="Y284" s="32">
        <f>108182+(108182*5.2%)</f>
        <v>113807.46400000001</v>
      </c>
      <c r="Z284" s="32">
        <f>Y284*G284</f>
        <v>910459.71200000006</v>
      </c>
      <c r="AA284" s="32"/>
      <c r="AB284" s="32"/>
      <c r="AC284" s="32">
        <f>100000+(100000*5.2%)</f>
        <v>105200</v>
      </c>
      <c r="AD284" s="32">
        <f>AC284*G284</f>
        <v>841600</v>
      </c>
      <c r="AE284" s="32"/>
      <c r="AF284" s="32"/>
      <c r="AG284" s="192"/>
      <c r="AH284" s="32"/>
      <c r="AI284" s="32"/>
      <c r="AJ284" s="32"/>
      <c r="AK284" s="32"/>
      <c r="AL284" s="32"/>
      <c r="AM284" s="32"/>
      <c r="AN284" s="32"/>
      <c r="AO284" s="32"/>
      <c r="AP284" s="32"/>
      <c r="AQ284" s="32"/>
      <c r="AR284" s="32"/>
      <c r="AS284" s="32"/>
      <c r="AT284" s="32"/>
      <c r="AU284" s="32"/>
      <c r="AV284" s="32"/>
      <c r="AW284" s="32"/>
      <c r="AX284" s="32"/>
      <c r="AY284" s="32"/>
      <c r="AZ284" s="32"/>
      <c r="BA284" s="32">
        <f>107000+(107000*5.2%)</f>
        <v>112564</v>
      </c>
      <c r="BB284" s="32">
        <f>BA284*G284</f>
        <v>900512</v>
      </c>
      <c r="BC284" s="32"/>
      <c r="BD284" s="32"/>
      <c r="BE284" s="32"/>
      <c r="BF284" s="32"/>
      <c r="BG284" s="32"/>
      <c r="BH284" s="32"/>
      <c r="BI284" s="32"/>
      <c r="BJ284" s="32"/>
      <c r="BK284" s="192"/>
      <c r="BL284" s="32"/>
      <c r="BM284" s="192"/>
      <c r="BN284" s="32"/>
      <c r="BO284" s="32"/>
      <c r="BP284" s="32"/>
      <c r="BQ284" s="32"/>
      <c r="BR284" s="32"/>
      <c r="BS284" s="32"/>
      <c r="BT284" s="32"/>
      <c r="BU284" s="32"/>
      <c r="BV284" s="32"/>
      <c r="BW284" s="32"/>
      <c r="BX284" s="32"/>
      <c r="BY284" s="32"/>
      <c r="BZ284" s="32"/>
      <c r="CA284" s="32"/>
      <c r="CB284" s="32"/>
      <c r="CC284" s="32"/>
      <c r="CD284" s="32"/>
      <c r="CE284" s="32"/>
      <c r="CF284" s="32"/>
      <c r="CG284" s="32"/>
      <c r="CH284" s="32"/>
      <c r="CI284" s="32"/>
      <c r="CJ284" s="32"/>
      <c r="CK284" s="32"/>
      <c r="CL284" s="32"/>
      <c r="CM284" s="32"/>
      <c r="CN284" s="32"/>
      <c r="CO284" s="32"/>
      <c r="CP284" s="32"/>
      <c r="CQ284" s="32"/>
      <c r="CR284" s="32"/>
      <c r="CS284" s="32"/>
      <c r="CT284" s="32"/>
      <c r="CU284" s="32"/>
      <c r="CV284" s="32"/>
      <c r="CW284" s="32"/>
      <c r="CX284" s="32"/>
      <c r="CY284" s="32"/>
      <c r="CZ284" s="32"/>
      <c r="DA284" s="32"/>
      <c r="DB284" s="32"/>
      <c r="DC284" s="32"/>
      <c r="DD284" s="32"/>
      <c r="DE284" s="32"/>
      <c r="DF284" s="32"/>
      <c r="DG284" s="32"/>
      <c r="DH284" s="32"/>
      <c r="DI284" s="32"/>
      <c r="DJ284" s="32"/>
      <c r="DK284" s="32"/>
      <c r="DL284" s="32"/>
      <c r="DM284" s="32"/>
      <c r="DN284" s="32"/>
      <c r="DO284" s="32"/>
      <c r="DP284" s="32"/>
      <c r="DQ284" s="32"/>
      <c r="DR284" s="32"/>
      <c r="DS284" s="13">
        <f>+MEDIAN(Y284,AC284,BA284)</f>
        <v>112564</v>
      </c>
      <c r="DT284" s="13">
        <f>+AVERAGE(Y284,AC284,BA284)</f>
        <v>110523.82133333334</v>
      </c>
      <c r="DU284" s="13">
        <f>+STDEV(Y284,AC284,BA284)</f>
        <v>4652.2957635736529</v>
      </c>
      <c r="DV284" s="17">
        <f>DU284/DT284</f>
        <v>4.2093149761286329E-2</v>
      </c>
      <c r="DW284" s="373">
        <f>+ROUNDUP(IF(DV284&lt;15%,DT284,DS284),0)</f>
        <v>110524</v>
      </c>
      <c r="DX284" s="326">
        <f t="shared" si="56"/>
        <v>3536768</v>
      </c>
      <c r="DY284" s="10" t="s">
        <v>308</v>
      </c>
    </row>
    <row r="285" spans="1:132" ht="52" hidden="1" x14ac:dyDescent="0.3">
      <c r="A285" s="19">
        <v>96</v>
      </c>
      <c r="B285" s="9" t="s">
        <v>55</v>
      </c>
      <c r="C285" s="9" t="s">
        <v>57</v>
      </c>
      <c r="D285" s="9" t="s">
        <v>221</v>
      </c>
      <c r="E285" s="44" t="s">
        <v>220</v>
      </c>
      <c r="F285" s="34" t="s">
        <v>240</v>
      </c>
      <c r="G285" s="11">
        <v>4</v>
      </c>
      <c r="H285" s="11">
        <v>1</v>
      </c>
      <c r="I285" s="340"/>
      <c r="J285" s="340"/>
      <c r="K285" s="340"/>
      <c r="L285" s="340"/>
      <c r="M285" s="340"/>
      <c r="N285" s="340"/>
      <c r="O285" s="341"/>
      <c r="P285" s="342"/>
      <c r="Q285" s="25"/>
      <c r="R285" s="25"/>
      <c r="S285" s="25"/>
      <c r="T285" s="25"/>
      <c r="U285" s="25"/>
      <c r="V285" s="25"/>
      <c r="W285" s="25"/>
      <c r="X285" s="25"/>
      <c r="Y285" s="25"/>
      <c r="Z285" s="25"/>
      <c r="AA285" s="25"/>
      <c r="AB285" s="25"/>
      <c r="AC285" s="25"/>
      <c r="AD285" s="25"/>
      <c r="AE285" s="25"/>
      <c r="AF285" s="25"/>
      <c r="AG285" s="343"/>
      <c r="AH285" s="25"/>
      <c r="AI285" s="25"/>
      <c r="AJ285" s="25"/>
      <c r="AK285" s="25"/>
      <c r="AL285" s="25"/>
      <c r="AM285" s="25"/>
      <c r="AN285" s="25"/>
      <c r="AO285" s="25"/>
      <c r="AP285" s="25"/>
      <c r="AQ285" s="25"/>
      <c r="AR285" s="25"/>
      <c r="AS285" s="25"/>
      <c r="AT285" s="25"/>
      <c r="AU285" s="25"/>
      <c r="AV285" s="25"/>
      <c r="AW285" s="25"/>
      <c r="AX285" s="25"/>
      <c r="AY285" s="25"/>
      <c r="AZ285" s="25"/>
      <c r="BA285" s="25"/>
      <c r="BB285" s="25"/>
      <c r="BC285" s="25"/>
      <c r="BD285" s="25"/>
      <c r="BE285" s="25"/>
      <c r="BF285" s="25"/>
      <c r="BG285" s="25">
        <f>500000+(500000*5.2%)</f>
        <v>526000</v>
      </c>
      <c r="BH285" s="25">
        <f>BG285*G285*H285</f>
        <v>2104000</v>
      </c>
      <c r="BI285" s="25">
        <f>485000+(485000*5.2%)</f>
        <v>510220</v>
      </c>
      <c r="BJ285" s="25">
        <f>BI285*G285*H285</f>
        <v>2040880</v>
      </c>
      <c r="BK285" s="343"/>
      <c r="BL285" s="25"/>
      <c r="BM285" s="343"/>
      <c r="BN285" s="25"/>
      <c r="BO285" s="25"/>
      <c r="BP285" s="25"/>
      <c r="BQ285" s="25"/>
      <c r="BR285" s="25"/>
      <c r="BS285" s="25"/>
      <c r="BT285" s="25"/>
      <c r="BU285" s="25"/>
      <c r="BV285" s="25"/>
      <c r="BW285" s="25"/>
      <c r="BX285" s="25"/>
      <c r="BY285" s="25"/>
      <c r="BZ285" s="25"/>
      <c r="CA285" s="25"/>
      <c r="CB285" s="25"/>
      <c r="CC285" s="25"/>
      <c r="CD285" s="25"/>
      <c r="CE285" s="25"/>
      <c r="CF285" s="25"/>
      <c r="CG285" s="25"/>
      <c r="CH285" s="25"/>
      <c r="CI285" s="25"/>
      <c r="CJ285" s="25"/>
      <c r="CK285" s="25"/>
      <c r="CL285" s="25"/>
      <c r="CM285" s="25"/>
      <c r="CN285" s="25"/>
      <c r="CO285" s="25"/>
      <c r="CP285" s="25"/>
      <c r="CQ285" s="25"/>
      <c r="CR285" s="25"/>
      <c r="CS285" s="25"/>
      <c r="CT285" s="25"/>
      <c r="CU285" s="25"/>
      <c r="CV285" s="25"/>
      <c r="CW285" s="25"/>
      <c r="CX285" s="25"/>
      <c r="CY285" s="25"/>
      <c r="CZ285" s="25"/>
      <c r="DA285" s="25"/>
      <c r="DB285" s="25"/>
      <c r="DC285" s="25"/>
      <c r="DD285" s="25"/>
      <c r="DE285" s="25"/>
      <c r="DF285" s="25"/>
      <c r="DG285" s="25"/>
      <c r="DH285" s="25"/>
      <c r="DI285" s="25"/>
      <c r="DJ285" s="25"/>
      <c r="DK285" s="25"/>
      <c r="DL285" s="25"/>
      <c r="DM285" s="25"/>
      <c r="DN285" s="25"/>
      <c r="DO285" s="25"/>
      <c r="DP285" s="25"/>
      <c r="DQ285" s="25"/>
      <c r="DR285" s="25"/>
      <c r="DS285" s="265">
        <f>MEDIAN(BG285,BI285)</f>
        <v>518110</v>
      </c>
      <c r="DT285" s="65">
        <f>+AVERAGE(BG285,BI285)</f>
        <v>518110</v>
      </c>
      <c r="DU285" s="265">
        <f>STDEV(BG285,BI285)</f>
        <v>11158.14500712372</v>
      </c>
      <c r="DV285" s="48">
        <f>DU285/DT285</f>
        <v>2.1536247142737486E-2</v>
      </c>
      <c r="DW285" s="377">
        <f>ROUNDUP(IF(DV285&lt;15%,DT285,DS285),0)</f>
        <v>518110</v>
      </c>
      <c r="DX285" s="326">
        <f t="shared" si="56"/>
        <v>2072440</v>
      </c>
      <c r="DY285" s="10" t="s">
        <v>316</v>
      </c>
    </row>
    <row r="286" spans="1:132" ht="195" hidden="1" x14ac:dyDescent="0.3">
      <c r="A286" s="415">
        <v>97</v>
      </c>
      <c r="B286" s="416" t="s">
        <v>55</v>
      </c>
      <c r="C286" s="416" t="s">
        <v>57</v>
      </c>
      <c r="D286" s="416" t="s">
        <v>408</v>
      </c>
      <c r="E286" s="418" t="s">
        <v>1137</v>
      </c>
      <c r="F286" s="416" t="s">
        <v>28</v>
      </c>
      <c r="G286" s="420">
        <v>1</v>
      </c>
      <c r="H286" s="420">
        <v>1</v>
      </c>
      <c r="I286" s="421"/>
      <c r="J286" s="421"/>
      <c r="K286" s="421"/>
      <c r="L286" s="421"/>
      <c r="M286" s="421"/>
      <c r="N286" s="421"/>
      <c r="O286" s="422"/>
      <c r="P286" s="423"/>
      <c r="Q286" s="424"/>
      <c r="R286" s="424"/>
      <c r="S286" s="424"/>
      <c r="T286" s="424"/>
      <c r="U286" s="424"/>
      <c r="V286" s="424"/>
      <c r="W286" s="424"/>
      <c r="X286" s="424"/>
      <c r="Y286" s="424"/>
      <c r="Z286" s="424"/>
      <c r="AA286" s="424"/>
      <c r="AB286" s="424"/>
      <c r="AC286" s="424"/>
      <c r="AD286" s="601"/>
      <c r="AE286" s="424"/>
      <c r="AF286" s="424"/>
      <c r="AG286" s="425"/>
      <c r="AH286" s="424"/>
      <c r="AI286" s="424"/>
      <c r="AJ286" s="424"/>
      <c r="AK286" s="424"/>
      <c r="AL286" s="424"/>
      <c r="AM286" s="424"/>
      <c r="AN286" s="424"/>
      <c r="AO286" s="424"/>
      <c r="AP286" s="424"/>
      <c r="AQ286" s="424"/>
      <c r="AR286" s="424"/>
      <c r="AS286" s="424"/>
      <c r="AT286" s="424"/>
      <c r="AU286" s="424"/>
      <c r="AV286" s="424"/>
      <c r="AW286" s="424"/>
      <c r="AX286" s="424"/>
      <c r="AY286" s="424"/>
      <c r="AZ286" s="424"/>
      <c r="BA286" s="424"/>
      <c r="BB286" s="424"/>
      <c r="BC286" s="424"/>
      <c r="BD286" s="424"/>
      <c r="BE286" s="424"/>
      <c r="BF286" s="424"/>
      <c r="BG286" s="424"/>
      <c r="BH286" s="424"/>
      <c r="BI286" s="424"/>
      <c r="BJ286" s="424"/>
      <c r="BK286" s="425"/>
      <c r="BL286" s="424"/>
      <c r="BM286" s="425"/>
      <c r="BN286" s="424"/>
      <c r="BO286" s="424"/>
      <c r="BP286" s="424"/>
      <c r="BQ286" s="424"/>
      <c r="BR286" s="424"/>
      <c r="BS286" s="424"/>
      <c r="BT286" s="424"/>
      <c r="BU286" s="424"/>
      <c r="BV286" s="424"/>
      <c r="BW286" s="424"/>
      <c r="BX286" s="424"/>
      <c r="BY286" s="424"/>
      <c r="BZ286" s="424"/>
      <c r="CA286" s="424"/>
      <c r="CB286" s="424"/>
      <c r="CC286" s="424"/>
      <c r="CD286" s="424"/>
      <c r="CE286" s="424"/>
      <c r="CF286" s="424"/>
      <c r="CG286" s="424"/>
      <c r="CH286" s="424"/>
      <c r="CI286" s="424"/>
      <c r="CJ286" s="424"/>
      <c r="CK286" s="424"/>
      <c r="CL286" s="424"/>
      <c r="CM286" s="424"/>
      <c r="CN286" s="424"/>
      <c r="CO286" s="424"/>
      <c r="CP286" s="424"/>
      <c r="CQ286" s="424"/>
      <c r="CR286" s="424"/>
      <c r="CS286" s="424"/>
      <c r="CT286" s="424"/>
      <c r="CU286" s="424"/>
      <c r="CV286" s="424"/>
      <c r="CW286" s="424"/>
      <c r="CX286" s="424"/>
      <c r="CY286" s="424"/>
      <c r="CZ286" s="424"/>
      <c r="DA286" s="424"/>
      <c r="DB286" s="424"/>
      <c r="DC286" s="424"/>
      <c r="DD286" s="424"/>
      <c r="DE286" s="424"/>
      <c r="DF286" s="424"/>
      <c r="DG286" s="424"/>
      <c r="DH286" s="424"/>
      <c r="DI286" s="424"/>
      <c r="DJ286" s="424"/>
      <c r="DK286" s="424"/>
      <c r="DL286" s="424"/>
      <c r="DM286" s="424"/>
      <c r="DN286" s="424"/>
      <c r="DO286" s="424"/>
      <c r="DP286" s="424"/>
      <c r="DQ286" s="424"/>
      <c r="DR286" s="424"/>
      <c r="DS286" s="425"/>
      <c r="DT286" s="425"/>
      <c r="DU286" s="425"/>
      <c r="DV286" s="569"/>
      <c r="DW286" s="532">
        <f>3000000*1.34</f>
        <v>4020000.0000000005</v>
      </c>
      <c r="DX286" s="602">
        <f t="shared" si="56"/>
        <v>4020000</v>
      </c>
      <c r="DY286" s="429" t="s">
        <v>1142</v>
      </c>
    </row>
    <row r="287" spans="1:132" ht="39" hidden="1" x14ac:dyDescent="0.3">
      <c r="A287" s="19">
        <v>98</v>
      </c>
      <c r="B287" s="9" t="s">
        <v>55</v>
      </c>
      <c r="C287" s="9" t="s">
        <v>57</v>
      </c>
      <c r="D287" s="26" t="s">
        <v>515</v>
      </c>
      <c r="E287" s="10" t="s">
        <v>59</v>
      </c>
      <c r="F287" s="27" t="s">
        <v>473</v>
      </c>
      <c r="G287" s="11">
        <v>4</v>
      </c>
      <c r="H287" s="11">
        <v>1</v>
      </c>
      <c r="I287" s="191"/>
      <c r="J287" s="191"/>
      <c r="K287" s="191"/>
      <c r="L287" s="191"/>
      <c r="M287" s="191"/>
      <c r="N287" s="191"/>
      <c r="O287" s="211"/>
      <c r="P287" s="212"/>
      <c r="Q287" s="32"/>
      <c r="R287" s="32"/>
      <c r="S287" s="32"/>
      <c r="T287" s="32"/>
      <c r="U287" s="32"/>
      <c r="V287" s="32"/>
      <c r="W287" s="32"/>
      <c r="X287" s="32"/>
      <c r="Y287" s="32"/>
      <c r="Z287" s="32"/>
      <c r="AA287" s="32">
        <v>4500000</v>
      </c>
      <c r="AB287" s="32">
        <f>AA287*G287</f>
        <v>18000000</v>
      </c>
      <c r="AC287" s="32"/>
      <c r="AD287" s="192"/>
      <c r="AE287" s="192"/>
      <c r="AF287" s="192"/>
      <c r="AG287" s="32">
        <v>4200000</v>
      </c>
      <c r="AH287" s="32">
        <f>AG287*G287</f>
        <v>16800000</v>
      </c>
      <c r="AI287" s="32"/>
      <c r="AJ287" s="32"/>
      <c r="AK287" s="32"/>
      <c r="AL287" s="32"/>
      <c r="AM287" s="32"/>
      <c r="AN287" s="32"/>
      <c r="AO287" s="32"/>
      <c r="AP287" s="32"/>
      <c r="AQ287" s="32"/>
      <c r="AR287" s="32"/>
      <c r="AS287" s="32"/>
      <c r="AT287" s="32"/>
      <c r="AU287" s="32"/>
      <c r="AV287" s="32"/>
      <c r="AW287" s="32"/>
      <c r="AX287" s="32"/>
      <c r="AY287" s="32"/>
      <c r="AZ287" s="32"/>
      <c r="BA287" s="32"/>
      <c r="BB287" s="32"/>
      <c r="BC287" s="32"/>
      <c r="BD287" s="32"/>
      <c r="BE287" s="32"/>
      <c r="BF287" s="32"/>
      <c r="BG287" s="32"/>
      <c r="BH287" s="32"/>
      <c r="BI287" s="32"/>
      <c r="BJ287" s="32"/>
      <c r="BK287" s="192"/>
      <c r="BL287" s="32"/>
      <c r="BM287" s="192"/>
      <c r="BN287" s="32"/>
      <c r="BO287" s="32"/>
      <c r="BP287" s="32"/>
      <c r="BQ287" s="32"/>
      <c r="BR287" s="32"/>
      <c r="BS287" s="32"/>
      <c r="BT287" s="32"/>
      <c r="BU287" s="32"/>
      <c r="BV287" s="32"/>
      <c r="BW287" s="32"/>
      <c r="BX287" s="32"/>
      <c r="BY287" s="32"/>
      <c r="BZ287" s="32"/>
      <c r="CA287" s="32"/>
      <c r="CB287" s="32"/>
      <c r="CC287" s="32"/>
      <c r="CD287" s="32"/>
      <c r="CE287" s="32"/>
      <c r="CF287" s="32"/>
      <c r="CG287" s="32"/>
      <c r="CH287" s="32"/>
      <c r="CI287" s="32"/>
      <c r="CJ287" s="32"/>
      <c r="CK287" s="32"/>
      <c r="CL287" s="32"/>
      <c r="CM287" s="32"/>
      <c r="CN287" s="32"/>
      <c r="CO287" s="32"/>
      <c r="CP287" s="32"/>
      <c r="CQ287" s="32"/>
      <c r="CR287" s="32"/>
      <c r="CS287" s="32"/>
      <c r="CT287" s="32"/>
      <c r="CU287" s="32"/>
      <c r="CV287" s="32"/>
      <c r="CW287" s="32"/>
      <c r="CX287" s="32"/>
      <c r="CY287" s="32"/>
      <c r="CZ287" s="32"/>
      <c r="DA287" s="32"/>
      <c r="DB287" s="32"/>
      <c r="DC287" s="32"/>
      <c r="DD287" s="32"/>
      <c r="DE287" s="32"/>
      <c r="DF287" s="32"/>
      <c r="DG287" s="32"/>
      <c r="DH287" s="32"/>
      <c r="DI287" s="32"/>
      <c r="DJ287" s="32"/>
      <c r="DK287" s="32"/>
      <c r="DL287" s="32"/>
      <c r="DM287" s="32"/>
      <c r="DN287" s="32"/>
      <c r="DO287" s="32"/>
      <c r="DP287" s="32"/>
      <c r="DQ287" s="32"/>
      <c r="DR287" s="32"/>
      <c r="DS287" s="13">
        <f>+MEDIAN(AA287,AG287)</f>
        <v>4350000</v>
      </c>
      <c r="DT287" s="13">
        <f>+AVERAGE(AA287,AG287)</f>
        <v>4350000</v>
      </c>
      <c r="DU287" s="13">
        <f>+STDEV(AA287,AG287)</f>
        <v>212132.03435596425</v>
      </c>
      <c r="DV287" s="17">
        <f t="shared" ref="DV287:DV292" si="59">DU287/DT287</f>
        <v>4.8765984909417068E-2</v>
      </c>
      <c r="DW287" s="373">
        <f>+ROUNDUP(IF(DV287&lt;15%,DT287,DS287),0)</f>
        <v>4350000</v>
      </c>
      <c r="DX287" s="326">
        <f t="shared" si="56"/>
        <v>17400000</v>
      </c>
      <c r="DY287" s="10" t="s">
        <v>308</v>
      </c>
    </row>
    <row r="288" spans="1:132" ht="117" hidden="1" x14ac:dyDescent="0.3">
      <c r="A288" s="19">
        <v>99</v>
      </c>
      <c r="B288" s="9" t="s">
        <v>55</v>
      </c>
      <c r="C288" s="9" t="s">
        <v>57</v>
      </c>
      <c r="D288" s="9" t="s">
        <v>373</v>
      </c>
      <c r="E288" s="10" t="s">
        <v>23</v>
      </c>
      <c r="F288" s="59" t="s">
        <v>473</v>
      </c>
      <c r="G288" s="21">
        <v>4</v>
      </c>
      <c r="H288" s="11">
        <v>1</v>
      </c>
      <c r="I288" s="191"/>
      <c r="J288" s="191"/>
      <c r="K288" s="191"/>
      <c r="L288" s="191"/>
      <c r="M288" s="191"/>
      <c r="N288" s="191"/>
      <c r="O288" s="211"/>
      <c r="P288" s="212"/>
      <c r="Q288" s="32"/>
      <c r="R288" s="32"/>
      <c r="S288" s="32"/>
      <c r="T288" s="32"/>
      <c r="U288" s="32"/>
      <c r="V288" s="32"/>
      <c r="W288" s="32"/>
      <c r="X288" s="32"/>
      <c r="Y288" s="32"/>
      <c r="Z288" s="32"/>
      <c r="AA288" s="32">
        <v>3500000</v>
      </c>
      <c r="AB288" s="32">
        <f>AA288*H288</f>
        <v>3500000</v>
      </c>
      <c r="AC288" s="32"/>
      <c r="AD288" s="32"/>
      <c r="AE288" s="32"/>
      <c r="AF288" s="32"/>
      <c r="AG288" s="32">
        <v>3700000</v>
      </c>
      <c r="AH288" s="32">
        <f>AG288*G288*H288</f>
        <v>14800000</v>
      </c>
      <c r="AI288" s="32"/>
      <c r="AJ288" s="32"/>
      <c r="AK288" s="32"/>
      <c r="AL288" s="32"/>
      <c r="AM288" s="32"/>
      <c r="AN288" s="32"/>
      <c r="AO288" s="32"/>
      <c r="AP288" s="32"/>
      <c r="AQ288" s="32"/>
      <c r="AR288" s="32"/>
      <c r="AS288" s="32"/>
      <c r="AT288" s="32"/>
      <c r="AU288" s="32"/>
      <c r="AV288" s="32"/>
      <c r="AW288" s="32"/>
      <c r="AX288" s="32"/>
      <c r="AY288" s="32"/>
      <c r="AZ288" s="32"/>
      <c r="BA288" s="32"/>
      <c r="BB288" s="32"/>
      <c r="BC288" s="32"/>
      <c r="BD288" s="32"/>
      <c r="BE288" s="32"/>
      <c r="BF288" s="32"/>
      <c r="BG288" s="32"/>
      <c r="BH288" s="32"/>
      <c r="BI288" s="32"/>
      <c r="BJ288" s="32"/>
      <c r="BK288" s="192"/>
      <c r="BL288" s="32"/>
      <c r="BM288" s="192"/>
      <c r="BN288" s="32"/>
      <c r="BO288" s="32"/>
      <c r="BP288" s="32"/>
      <c r="BQ288" s="32"/>
      <c r="BR288" s="32"/>
      <c r="BS288" s="32"/>
      <c r="BT288" s="32"/>
      <c r="BU288" s="32"/>
      <c r="BV288" s="32"/>
      <c r="BW288" s="32"/>
      <c r="BX288" s="32"/>
      <c r="BY288" s="32"/>
      <c r="BZ288" s="32"/>
      <c r="CA288" s="32"/>
      <c r="CB288" s="32"/>
      <c r="CC288" s="32"/>
      <c r="CD288" s="32"/>
      <c r="CE288" s="32"/>
      <c r="CF288" s="32"/>
      <c r="CG288" s="32"/>
      <c r="CH288" s="32"/>
      <c r="CI288" s="32"/>
      <c r="CJ288" s="32"/>
      <c r="CK288" s="32"/>
      <c r="CL288" s="32"/>
      <c r="CM288" s="32"/>
      <c r="CN288" s="32"/>
      <c r="CO288" s="32"/>
      <c r="CP288" s="32"/>
      <c r="CQ288" s="32"/>
      <c r="CR288" s="32"/>
      <c r="CS288" s="32"/>
      <c r="CT288" s="32"/>
      <c r="CU288" s="32"/>
      <c r="CV288" s="32"/>
      <c r="CW288" s="32"/>
      <c r="CX288" s="32"/>
      <c r="CY288" s="32"/>
      <c r="CZ288" s="32"/>
      <c r="DA288" s="32"/>
      <c r="DB288" s="32"/>
      <c r="DC288" s="32"/>
      <c r="DD288" s="32"/>
      <c r="DE288" s="32"/>
      <c r="DF288" s="32"/>
      <c r="DG288" s="32"/>
      <c r="DH288" s="32"/>
      <c r="DI288" s="32"/>
      <c r="DJ288" s="32"/>
      <c r="DK288" s="32"/>
      <c r="DL288" s="32"/>
      <c r="DM288" s="32"/>
      <c r="DN288" s="32"/>
      <c r="DO288" s="32"/>
      <c r="DP288" s="32"/>
      <c r="DQ288" s="32"/>
      <c r="DR288" s="32"/>
      <c r="DS288" s="13">
        <f>+MEDIAN(AA288,AG288)</f>
        <v>3600000</v>
      </c>
      <c r="DT288" s="13">
        <f>+AVERAGE(AA288,AG288)</f>
        <v>3600000</v>
      </c>
      <c r="DU288" s="13">
        <f>+STDEV(AA288,AG288)</f>
        <v>141421.35623730952</v>
      </c>
      <c r="DV288" s="17">
        <f t="shared" si="59"/>
        <v>3.9283710065919311E-2</v>
      </c>
      <c r="DW288" s="373">
        <f>+ROUNDUP(IF(DV288&lt;15%,DT288,DS288),0)</f>
        <v>3600000</v>
      </c>
      <c r="DX288" s="326">
        <f t="shared" si="56"/>
        <v>14400000</v>
      </c>
      <c r="DY288" s="10" t="s">
        <v>308</v>
      </c>
    </row>
    <row r="289" spans="1:132" ht="52" hidden="1" x14ac:dyDescent="0.3">
      <c r="A289" s="19">
        <v>100</v>
      </c>
      <c r="B289" s="9" t="s">
        <v>55</v>
      </c>
      <c r="C289" s="647" t="s">
        <v>57</v>
      </c>
      <c r="D289" s="9" t="s">
        <v>188</v>
      </c>
      <c r="E289" s="10" t="s">
        <v>189</v>
      </c>
      <c r="F289" s="9" t="s">
        <v>20</v>
      </c>
      <c r="G289" s="11">
        <v>4</v>
      </c>
      <c r="H289" s="11">
        <v>1</v>
      </c>
      <c r="I289" s="340"/>
      <c r="J289" s="340"/>
      <c r="K289" s="340"/>
      <c r="L289" s="340"/>
      <c r="M289" s="340"/>
      <c r="N289" s="340"/>
      <c r="O289" s="341"/>
      <c r="P289" s="342"/>
      <c r="Q289" s="25"/>
      <c r="R289" s="25"/>
      <c r="S289" s="25"/>
      <c r="T289" s="25"/>
      <c r="U289" s="25"/>
      <c r="V289" s="25"/>
      <c r="W289" s="25"/>
      <c r="X289" s="25"/>
      <c r="Y289" s="25"/>
      <c r="Z289" s="25"/>
      <c r="AA289" s="25"/>
      <c r="AB289" s="25"/>
      <c r="AC289" s="25"/>
      <c r="AD289" s="343"/>
      <c r="AE289" s="343"/>
      <c r="AF289" s="343"/>
      <c r="AG289" s="25"/>
      <c r="AH289" s="25"/>
      <c r="AI289" s="25"/>
      <c r="AJ289" s="25"/>
      <c r="AK289" s="25"/>
      <c r="AL289" s="25"/>
      <c r="AM289" s="25"/>
      <c r="AN289" s="25"/>
      <c r="AO289" s="25"/>
      <c r="AP289" s="25"/>
      <c r="AQ289" s="25"/>
      <c r="AR289" s="25"/>
      <c r="AS289" s="25"/>
      <c r="AT289" s="25"/>
      <c r="AU289" s="25"/>
      <c r="AV289" s="25"/>
      <c r="AW289" s="25"/>
      <c r="AX289" s="25"/>
      <c r="AY289" s="25"/>
      <c r="AZ289" s="25"/>
      <c r="BA289" s="25"/>
      <c r="BB289" s="25"/>
      <c r="BC289" s="25"/>
      <c r="BD289" s="25"/>
      <c r="BE289" s="25"/>
      <c r="BF289" s="25"/>
      <c r="BG289" s="25"/>
      <c r="BH289" s="25"/>
      <c r="BI289" s="25"/>
      <c r="BJ289" s="25"/>
      <c r="BK289" s="343"/>
      <c r="BL289" s="25"/>
      <c r="BM289" s="343"/>
      <c r="BN289" s="25"/>
      <c r="BO289" s="25"/>
      <c r="BP289" s="25"/>
      <c r="BQ289" s="25"/>
      <c r="BR289" s="25"/>
      <c r="BS289" s="25"/>
      <c r="BT289" s="25"/>
      <c r="BU289" s="25"/>
      <c r="BV289" s="25"/>
      <c r="BW289" s="25"/>
      <c r="BX289" s="25"/>
      <c r="BY289" s="25"/>
      <c r="BZ289" s="25"/>
      <c r="CA289" s="25"/>
      <c r="CB289" s="25"/>
      <c r="CC289" s="25"/>
      <c r="CD289" s="25"/>
      <c r="CE289" s="25"/>
      <c r="CF289" s="25"/>
      <c r="CG289" s="25"/>
      <c r="CH289" s="25"/>
      <c r="CI289" s="25"/>
      <c r="CJ289" s="25"/>
      <c r="CK289" s="25"/>
      <c r="CL289" s="25"/>
      <c r="CM289" s="25"/>
      <c r="CN289" s="25"/>
      <c r="CO289" s="28">
        <v>2400000</v>
      </c>
      <c r="CP289" s="25">
        <f>CO289*G289</f>
        <v>9600000</v>
      </c>
      <c r="CQ289" s="344">
        <v>3500000</v>
      </c>
      <c r="CR289" s="25">
        <f>CQ289*G289</f>
        <v>14000000</v>
      </c>
      <c r="CS289" s="28"/>
      <c r="CT289" s="25"/>
      <c r="CU289" s="344">
        <v>3500000</v>
      </c>
      <c r="CV289" s="25">
        <f>CU289*G289</f>
        <v>14000000</v>
      </c>
      <c r="CW289" s="352"/>
      <c r="CX289" s="25"/>
      <c r="CY289" s="352"/>
      <c r="CZ289" s="25"/>
      <c r="DA289" s="25"/>
      <c r="DB289" s="25"/>
      <c r="DC289" s="352"/>
      <c r="DD289" s="25"/>
      <c r="DE289" s="25"/>
      <c r="DF289" s="25"/>
      <c r="DG289" s="25"/>
      <c r="DH289" s="25"/>
      <c r="DI289" s="25"/>
      <c r="DJ289" s="25"/>
      <c r="DK289" s="25"/>
      <c r="DL289" s="25"/>
      <c r="DM289" s="25"/>
      <c r="DN289" s="25"/>
      <c r="DO289" s="25"/>
      <c r="DP289" s="25"/>
      <c r="DQ289" s="25"/>
      <c r="DR289" s="25"/>
      <c r="DS289" s="13">
        <f>+MEDIAN(CO289,CQ289,CU289)</f>
        <v>3500000</v>
      </c>
      <c r="DT289" s="13">
        <f>+AVERAGE(CO289,CQ289,CU289)</f>
        <v>3133333.3333333335</v>
      </c>
      <c r="DU289" s="13">
        <f>+STDEV(CO289,CQ289,CU289)</f>
        <v>635085.29610858881</v>
      </c>
      <c r="DV289" s="17">
        <f t="shared" si="59"/>
        <v>0.20268679663040068</v>
      </c>
      <c r="DW289" s="662">
        <f>+ROUNDUP(IF(DV289&lt;15%,DT289,DS289),0)</f>
        <v>3500000</v>
      </c>
      <c r="DX289" s="326">
        <f t="shared" si="56"/>
        <v>14000000</v>
      </c>
      <c r="DY289" s="10" t="s">
        <v>322</v>
      </c>
    </row>
    <row r="290" spans="1:132" s="111" customFormat="1" ht="39" hidden="1" x14ac:dyDescent="0.3">
      <c r="A290" s="19">
        <v>101</v>
      </c>
      <c r="B290" s="106" t="s">
        <v>55</v>
      </c>
      <c r="C290" s="106" t="s">
        <v>57</v>
      </c>
      <c r="D290" s="106" t="s">
        <v>190</v>
      </c>
      <c r="E290" s="107" t="s">
        <v>191</v>
      </c>
      <c r="F290" s="106" t="s">
        <v>19</v>
      </c>
      <c r="G290" s="108">
        <v>1000</v>
      </c>
      <c r="H290" s="108">
        <v>4</v>
      </c>
      <c r="I290" s="244"/>
      <c r="J290" s="244"/>
      <c r="K290" s="244"/>
      <c r="L290" s="244"/>
      <c r="M290" s="244"/>
      <c r="N290" s="244"/>
      <c r="O290" s="294"/>
      <c r="P290" s="295"/>
      <c r="Q290" s="109"/>
      <c r="R290" s="109"/>
      <c r="S290" s="109"/>
      <c r="T290" s="109"/>
      <c r="U290" s="109"/>
      <c r="V290" s="109"/>
      <c r="W290" s="109"/>
      <c r="X290" s="109"/>
      <c r="Y290" s="109"/>
      <c r="Z290" s="109"/>
      <c r="AA290" s="109"/>
      <c r="AB290" s="109"/>
      <c r="AC290" s="109"/>
      <c r="AD290" s="296"/>
      <c r="AE290" s="296"/>
      <c r="AF290" s="296"/>
      <c r="AG290" s="109"/>
      <c r="AH290" s="109"/>
      <c r="AI290" s="109"/>
      <c r="AJ290" s="109"/>
      <c r="AK290" s="109"/>
      <c r="AL290" s="109"/>
      <c r="AM290" s="109"/>
      <c r="AN290" s="109"/>
      <c r="AO290" s="109"/>
      <c r="AP290" s="109"/>
      <c r="AQ290" s="109"/>
      <c r="AR290" s="109"/>
      <c r="AS290" s="109"/>
      <c r="AT290" s="109"/>
      <c r="AU290" s="109"/>
      <c r="AV290" s="109"/>
      <c r="AW290" s="109"/>
      <c r="AX290" s="109"/>
      <c r="AY290" s="109"/>
      <c r="AZ290" s="109"/>
      <c r="BA290" s="109"/>
      <c r="BB290" s="109"/>
      <c r="BC290" s="109"/>
      <c r="BD290" s="109"/>
      <c r="BE290" s="109"/>
      <c r="BF290" s="109"/>
      <c r="BG290" s="109"/>
      <c r="BH290" s="109"/>
      <c r="BI290" s="109"/>
      <c r="BJ290" s="109"/>
      <c r="BK290" s="296"/>
      <c r="BL290" s="109"/>
      <c r="BM290" s="296"/>
      <c r="BN290" s="109"/>
      <c r="BO290" s="109"/>
      <c r="BP290" s="109"/>
      <c r="BQ290" s="109"/>
      <c r="BR290" s="109"/>
      <c r="BS290" s="109"/>
      <c r="BT290" s="109"/>
      <c r="BU290" s="109"/>
      <c r="BV290" s="109"/>
      <c r="BW290" s="109"/>
      <c r="BX290" s="109"/>
      <c r="BY290" s="109"/>
      <c r="BZ290" s="109"/>
      <c r="CA290" s="109"/>
      <c r="CB290" s="109"/>
      <c r="CC290" s="109"/>
      <c r="CD290" s="109"/>
      <c r="CE290" s="109"/>
      <c r="CF290" s="109"/>
      <c r="CG290" s="109"/>
      <c r="CH290" s="109"/>
      <c r="CI290" s="109"/>
      <c r="CJ290" s="109"/>
      <c r="CK290" s="109"/>
      <c r="CL290" s="109"/>
      <c r="CM290" s="109"/>
      <c r="CN290" s="109"/>
      <c r="CO290" s="294">
        <v>8000</v>
      </c>
      <c r="CP290" s="109">
        <f>CO290*G290*H291</f>
        <v>8000000</v>
      </c>
      <c r="CQ290" s="297"/>
      <c r="CR290" s="109"/>
      <c r="CS290" s="298">
        <v>7000</v>
      </c>
      <c r="CT290" s="109">
        <f>CS290*G290</f>
        <v>7000000</v>
      </c>
      <c r="CU290" s="297"/>
      <c r="CV290" s="109"/>
      <c r="CW290" s="299"/>
      <c r="CX290" s="109"/>
      <c r="CY290" s="299"/>
      <c r="CZ290" s="109"/>
      <c r="DA290" s="109"/>
      <c r="DB290" s="109"/>
      <c r="DC290" s="299"/>
      <c r="DD290" s="109"/>
      <c r="DE290" s="109"/>
      <c r="DF290" s="109"/>
      <c r="DG290" s="109"/>
      <c r="DH290" s="109"/>
      <c r="DI290" s="109"/>
      <c r="DJ290" s="109"/>
      <c r="DK290" s="109"/>
      <c r="DL290" s="109"/>
      <c r="DM290" s="109"/>
      <c r="DN290" s="109"/>
      <c r="DO290" s="109"/>
      <c r="DP290" s="109"/>
      <c r="DQ290" s="109"/>
      <c r="DR290" s="109"/>
      <c r="DS290" s="115">
        <f>+MEDIAN(CO290,CS290)</f>
        <v>7500</v>
      </c>
      <c r="DT290" s="115">
        <f>+AVERAGE(CO290,CS290)</f>
        <v>7500</v>
      </c>
      <c r="DU290" s="115">
        <f>+STDEV(CO290,CS290)</f>
        <v>707.10678118654755</v>
      </c>
      <c r="DV290" s="110">
        <f t="shared" si="59"/>
        <v>9.4280904158206336E-2</v>
      </c>
      <c r="DW290" s="373">
        <f>+ROUNDUP(IF(DV290&lt;15%,DT290,DS290),0)</f>
        <v>7500</v>
      </c>
      <c r="DX290" s="329">
        <f t="shared" si="56"/>
        <v>30000000</v>
      </c>
      <c r="DY290" s="107" t="s">
        <v>322</v>
      </c>
      <c r="DZ290" s="612"/>
      <c r="EA290" s="612"/>
      <c r="EB290" s="612"/>
    </row>
    <row r="291" spans="1:132" ht="78" hidden="1" x14ac:dyDescent="0.3">
      <c r="A291" s="19">
        <v>102</v>
      </c>
      <c r="B291" s="9" t="s">
        <v>55</v>
      </c>
      <c r="C291" s="9" t="s">
        <v>57</v>
      </c>
      <c r="D291" s="9" t="s">
        <v>496</v>
      </c>
      <c r="E291" s="10" t="s">
        <v>497</v>
      </c>
      <c r="F291" s="9" t="s">
        <v>19</v>
      </c>
      <c r="G291" s="11">
        <v>400</v>
      </c>
      <c r="H291" s="11">
        <v>1</v>
      </c>
      <c r="I291" s="191"/>
      <c r="J291" s="191"/>
      <c r="K291" s="191"/>
      <c r="L291" s="191"/>
      <c r="M291" s="191"/>
      <c r="N291" s="191"/>
      <c r="O291" s="211"/>
      <c r="P291" s="212"/>
      <c r="Q291" s="32"/>
      <c r="R291" s="32"/>
      <c r="S291" s="32"/>
      <c r="T291" s="32"/>
      <c r="U291" s="32"/>
      <c r="V291" s="32"/>
      <c r="W291" s="32"/>
      <c r="X291" s="32"/>
      <c r="Y291" s="32"/>
      <c r="Z291" s="32"/>
      <c r="AA291" s="32"/>
      <c r="AB291" s="32"/>
      <c r="AC291" s="32"/>
      <c r="AD291" s="192"/>
      <c r="AE291" s="192"/>
      <c r="AF291" s="192"/>
      <c r="AG291" s="32"/>
      <c r="AH291" s="32"/>
      <c r="AI291" s="32"/>
      <c r="AJ291" s="32"/>
      <c r="AK291" s="32">
        <v>29000</v>
      </c>
      <c r="AL291" s="32">
        <f>AK291*G291</f>
        <v>11600000</v>
      </c>
      <c r="AM291" s="32">
        <f>32800+(32800*5.2%)</f>
        <v>34505.599999999999</v>
      </c>
      <c r="AN291" s="32">
        <f>AM291*G291</f>
        <v>13802240</v>
      </c>
      <c r="AO291" s="32">
        <f>25000+(25000*5.2%)</f>
        <v>26300</v>
      </c>
      <c r="AP291" s="32">
        <f>AO291*G291</f>
        <v>10520000</v>
      </c>
      <c r="AQ291" s="32"/>
      <c r="AR291" s="32"/>
      <c r="AS291" s="32"/>
      <c r="AT291" s="32"/>
      <c r="AU291" s="32"/>
      <c r="AV291" s="32"/>
      <c r="AW291" s="32"/>
      <c r="AX291" s="32"/>
      <c r="AY291" s="32"/>
      <c r="AZ291" s="32"/>
      <c r="BA291" s="32"/>
      <c r="BB291" s="32"/>
      <c r="BC291" s="32"/>
      <c r="BD291" s="32"/>
      <c r="BE291" s="32"/>
      <c r="BF291" s="32"/>
      <c r="BG291" s="32"/>
      <c r="BH291" s="32"/>
      <c r="BI291" s="32"/>
      <c r="BJ291" s="32"/>
      <c r="BK291" s="192"/>
      <c r="BL291" s="32"/>
      <c r="BM291" s="192"/>
      <c r="BN291" s="32"/>
      <c r="BO291" s="32"/>
      <c r="BP291" s="32"/>
      <c r="BQ291" s="32"/>
      <c r="BR291" s="32"/>
      <c r="BS291" s="32"/>
      <c r="BT291" s="32"/>
      <c r="BU291" s="32"/>
      <c r="BV291" s="32"/>
      <c r="BW291" s="32"/>
      <c r="BX291" s="32"/>
      <c r="BY291" s="32"/>
      <c r="BZ291" s="32"/>
      <c r="CA291" s="32"/>
      <c r="CB291" s="32"/>
      <c r="CC291" s="32"/>
      <c r="CD291" s="32"/>
      <c r="CE291" s="32"/>
      <c r="CF291" s="32"/>
      <c r="CG291" s="32"/>
      <c r="CH291" s="32"/>
      <c r="CI291" s="32"/>
      <c r="CJ291" s="32"/>
      <c r="CK291" s="32"/>
      <c r="CL291" s="32"/>
      <c r="CM291" s="32"/>
      <c r="CN291" s="32"/>
      <c r="CO291" s="32"/>
      <c r="CP291" s="32"/>
      <c r="CQ291" s="32"/>
      <c r="CR291" s="32"/>
      <c r="CS291" s="32"/>
      <c r="CT291" s="32"/>
      <c r="CU291" s="32"/>
      <c r="CV291" s="32"/>
      <c r="CW291" s="32"/>
      <c r="CX291" s="32"/>
      <c r="CY291" s="32"/>
      <c r="CZ291" s="32"/>
      <c r="DA291" s="32"/>
      <c r="DB291" s="32"/>
      <c r="DC291" s="32"/>
      <c r="DD291" s="32"/>
      <c r="DE291" s="32"/>
      <c r="DF291" s="32"/>
      <c r="DG291" s="32"/>
      <c r="DH291" s="32"/>
      <c r="DI291" s="32"/>
      <c r="DJ291" s="32"/>
      <c r="DK291" s="32"/>
      <c r="DL291" s="32"/>
      <c r="DM291" s="32"/>
      <c r="DN291" s="32"/>
      <c r="DO291" s="32"/>
      <c r="DP291" s="32"/>
      <c r="DQ291" s="32"/>
      <c r="DR291" s="32"/>
      <c r="DS291" s="13">
        <f>+MEDIAN(AK291,AM291,AO291)</f>
        <v>29000</v>
      </c>
      <c r="DT291" s="13">
        <f>+AVERAGE(AK291,AM291,AO291)</f>
        <v>29935.200000000001</v>
      </c>
      <c r="DU291" s="13">
        <f>+STDEV(AK291,AM291,AO291)</f>
        <v>4181.9752653500527</v>
      </c>
      <c r="DV291" s="17">
        <f t="shared" si="59"/>
        <v>0.13970092951943039</v>
      </c>
      <c r="DW291" s="373">
        <f>+ROUNDUP(IF(DV291&lt;15%,DT291,DS291),0)</f>
        <v>29936</v>
      </c>
      <c r="DX291" s="326">
        <f t="shared" si="56"/>
        <v>11974400</v>
      </c>
      <c r="DY291" s="10" t="s">
        <v>308</v>
      </c>
    </row>
    <row r="292" spans="1:132" ht="104" hidden="1" x14ac:dyDescent="0.3">
      <c r="A292" s="19">
        <v>103</v>
      </c>
      <c r="B292" s="9" t="s">
        <v>55</v>
      </c>
      <c r="C292" s="9" t="s">
        <v>57</v>
      </c>
      <c r="D292" s="9" t="s">
        <v>226</v>
      </c>
      <c r="E292" s="10" t="s">
        <v>210</v>
      </c>
      <c r="F292" s="9" t="s">
        <v>476</v>
      </c>
      <c r="G292" s="11">
        <v>4</v>
      </c>
      <c r="H292" s="11">
        <v>1</v>
      </c>
      <c r="I292" s="191"/>
      <c r="J292" s="191"/>
      <c r="K292" s="191"/>
      <c r="L292" s="191"/>
      <c r="M292" s="191"/>
      <c r="N292" s="191"/>
      <c r="O292" s="211"/>
      <c r="P292" s="212"/>
      <c r="Q292" s="32"/>
      <c r="R292" s="32"/>
      <c r="S292" s="32"/>
      <c r="T292" s="32"/>
      <c r="U292" s="32"/>
      <c r="V292" s="32"/>
      <c r="W292" s="32"/>
      <c r="X292" s="32"/>
      <c r="Y292" s="32"/>
      <c r="Z292" s="32"/>
      <c r="AA292" s="32"/>
      <c r="AB292" s="32"/>
      <c r="AC292" s="32"/>
      <c r="AD292" s="192"/>
      <c r="AE292" s="192"/>
      <c r="AF292" s="192"/>
      <c r="AG292" s="32"/>
      <c r="AH292" s="32"/>
      <c r="AI292" s="32"/>
      <c r="AJ292" s="32"/>
      <c r="AK292" s="32"/>
      <c r="AL292" s="32"/>
      <c r="AM292" s="32"/>
      <c r="AN292" s="32"/>
      <c r="AO292" s="32"/>
      <c r="AP292" s="32"/>
      <c r="AQ292" s="32"/>
      <c r="AR292" s="32"/>
      <c r="AS292" s="32"/>
      <c r="AT292" s="32"/>
      <c r="AU292" s="32"/>
      <c r="AV292" s="32"/>
      <c r="AW292" s="32"/>
      <c r="AX292" s="32"/>
      <c r="AY292" s="32"/>
      <c r="AZ292" s="32"/>
      <c r="BA292" s="32"/>
      <c r="BB292" s="32"/>
      <c r="BC292" s="32"/>
      <c r="BD292" s="32"/>
      <c r="BE292" s="32"/>
      <c r="BF292" s="32"/>
      <c r="BG292" s="32"/>
      <c r="BH292" s="32"/>
      <c r="BI292" s="32"/>
      <c r="BJ292" s="32"/>
      <c r="BK292" s="192"/>
      <c r="BL292" s="32"/>
      <c r="BM292" s="192"/>
      <c r="BN292" s="32"/>
      <c r="BO292" s="32"/>
      <c r="BP292" s="32"/>
      <c r="BQ292" s="32"/>
      <c r="BR292" s="32"/>
      <c r="BS292" s="32"/>
      <c r="BT292" s="32"/>
      <c r="BU292" s="32"/>
      <c r="BV292" s="32"/>
      <c r="BW292" s="32"/>
      <c r="BX292" s="32"/>
      <c r="BY292" s="32"/>
      <c r="BZ292" s="32"/>
      <c r="CA292" s="32"/>
      <c r="CB292" s="32"/>
      <c r="CC292" s="32"/>
      <c r="CD292" s="32"/>
      <c r="CE292" s="32"/>
      <c r="CF292" s="32"/>
      <c r="CG292" s="32"/>
      <c r="CH292" s="32"/>
      <c r="CI292" s="32"/>
      <c r="CJ292" s="32"/>
      <c r="CK292" s="246">
        <f>1138011+(1138011*5.2%)</f>
        <v>1197187.5719999999</v>
      </c>
      <c r="CL292" s="32">
        <f>CK292*G292</f>
        <v>4788750.2879999997</v>
      </c>
      <c r="CM292" s="246">
        <f>1200000+(1200000*5.2%)</f>
        <v>1262400</v>
      </c>
      <c r="CN292" s="32">
        <f>CM292*G292</f>
        <v>5049600</v>
      </c>
      <c r="CO292" s="32"/>
      <c r="CP292" s="32"/>
      <c r="CQ292" s="32"/>
      <c r="CR292" s="32"/>
      <c r="CS292" s="32"/>
      <c r="CT292" s="32"/>
      <c r="CU292" s="32"/>
      <c r="CV292" s="32"/>
      <c r="CW292" s="32"/>
      <c r="CX292" s="32"/>
      <c r="CY292" s="32"/>
      <c r="CZ292" s="32"/>
      <c r="DA292" s="32"/>
      <c r="DB292" s="32"/>
      <c r="DC292" s="32"/>
      <c r="DD292" s="32"/>
      <c r="DE292" s="32"/>
      <c r="DF292" s="32"/>
      <c r="DG292" s="32"/>
      <c r="DH292" s="32"/>
      <c r="DI292" s="32"/>
      <c r="DJ292" s="32"/>
      <c r="DK292" s="32"/>
      <c r="DL292" s="32"/>
      <c r="DM292" s="32"/>
      <c r="DN292" s="32"/>
      <c r="DO292" s="32"/>
      <c r="DP292" s="32"/>
      <c r="DQ292" s="32"/>
      <c r="DR292" s="32"/>
      <c r="DS292" s="265">
        <f>MEDIAN(CK292,CM292)</f>
        <v>1229793.7859999998</v>
      </c>
      <c r="DT292" s="265">
        <f>AVERAGE(CK292,CM292)</f>
        <v>1229793.7859999998</v>
      </c>
      <c r="DU292" s="265">
        <f>STDEV(CK292,CM292)</f>
        <v>46112.150056439539</v>
      </c>
      <c r="DV292" s="48">
        <f t="shared" si="59"/>
        <v>3.7495839206037058E-2</v>
      </c>
      <c r="DW292" s="377">
        <f>ROUNDUP(IF(DV292&lt;15%,DT292,DS292),0)</f>
        <v>1229794</v>
      </c>
      <c r="DX292" s="326">
        <f t="shared" si="56"/>
        <v>4919176</v>
      </c>
      <c r="DY292" s="10" t="s">
        <v>308</v>
      </c>
    </row>
    <row r="293" spans="1:132" s="23" customFormat="1" hidden="1" x14ac:dyDescent="0.3">
      <c r="A293" s="156" t="s">
        <v>409</v>
      </c>
      <c r="B293" s="157"/>
      <c r="C293" s="157"/>
      <c r="D293" s="157"/>
      <c r="E293" s="158"/>
      <c r="F293" s="22"/>
      <c r="G293" s="22"/>
      <c r="H293" s="22"/>
      <c r="I293" s="288"/>
      <c r="J293" s="288"/>
      <c r="K293" s="288"/>
      <c r="L293" s="288"/>
      <c r="M293" s="288"/>
      <c r="N293" s="288"/>
      <c r="O293" s="289"/>
      <c r="P293" s="289"/>
      <c r="Q293" s="289"/>
      <c r="R293" s="289"/>
      <c r="S293" s="289"/>
      <c r="T293" s="289"/>
      <c r="U293" s="289"/>
      <c r="V293" s="289"/>
      <c r="W293" s="289"/>
      <c r="X293" s="289"/>
      <c r="Y293" s="289"/>
      <c r="Z293" s="289"/>
      <c r="AA293" s="289"/>
      <c r="AB293" s="289"/>
      <c r="AC293" s="289"/>
      <c r="AD293" s="289"/>
      <c r="AE293" s="289"/>
      <c r="AF293" s="289"/>
      <c r="AG293" s="289"/>
      <c r="AH293" s="289"/>
      <c r="AI293" s="289"/>
      <c r="AJ293" s="289"/>
      <c r="AK293" s="289"/>
      <c r="AL293" s="289"/>
      <c r="AM293" s="289"/>
      <c r="AN293" s="289"/>
      <c r="AO293" s="289"/>
      <c r="AP293" s="289"/>
      <c r="AQ293" s="289"/>
      <c r="AR293" s="289"/>
      <c r="AS293" s="289"/>
      <c r="AT293" s="289"/>
      <c r="AU293" s="289"/>
      <c r="AV293" s="289"/>
      <c r="AW293" s="289"/>
      <c r="AX293" s="289"/>
      <c r="AY293" s="289"/>
      <c r="AZ293" s="289"/>
      <c r="BA293" s="289"/>
      <c r="BB293" s="289"/>
      <c r="BC293" s="289"/>
      <c r="BD293" s="289"/>
      <c r="BE293" s="289"/>
      <c r="BF293" s="289"/>
      <c r="BG293" s="289"/>
      <c r="BH293" s="289"/>
      <c r="BI293" s="289"/>
      <c r="BJ293" s="289"/>
      <c r="BK293" s="290"/>
      <c r="BL293" s="291"/>
      <c r="BM293" s="290"/>
      <c r="BN293" s="291"/>
      <c r="BO293" s="291"/>
      <c r="BP293" s="291"/>
      <c r="BQ293" s="291"/>
      <c r="BR293" s="291"/>
      <c r="BS293" s="291"/>
      <c r="BT293" s="291"/>
      <c r="BU293" s="291"/>
      <c r="BV293" s="291"/>
      <c r="BW293" s="291"/>
      <c r="BX293" s="291"/>
      <c r="BY293" s="291"/>
      <c r="BZ293" s="291"/>
      <c r="CA293" s="291"/>
      <c r="CB293" s="291"/>
      <c r="CC293" s="291"/>
      <c r="CD293" s="291"/>
      <c r="CE293" s="291"/>
      <c r="CF293" s="291"/>
      <c r="CG293" s="291"/>
      <c r="CH293" s="291"/>
      <c r="CI293" s="291"/>
      <c r="CJ293" s="291"/>
      <c r="CK293" s="291"/>
      <c r="CL293" s="291"/>
      <c r="CM293" s="291"/>
      <c r="CN293" s="291"/>
      <c r="CO293" s="291"/>
      <c r="CP293" s="291"/>
      <c r="CQ293" s="291"/>
      <c r="CR293" s="291"/>
      <c r="CS293" s="291"/>
      <c r="CT293" s="291"/>
      <c r="CU293" s="291"/>
      <c r="CV293" s="291"/>
      <c r="CW293" s="291"/>
      <c r="CX293" s="291"/>
      <c r="CY293" s="291"/>
      <c r="CZ293" s="291"/>
      <c r="DA293" s="291"/>
      <c r="DB293" s="291"/>
      <c r="DC293" s="291"/>
      <c r="DD293" s="291"/>
      <c r="DE293" s="291"/>
      <c r="DF293" s="291"/>
      <c r="DG293" s="291"/>
      <c r="DH293" s="291"/>
      <c r="DI293" s="291"/>
      <c r="DJ293" s="291"/>
      <c r="DK293" s="291"/>
      <c r="DL293" s="291"/>
      <c r="DM293" s="291"/>
      <c r="DN293" s="291"/>
      <c r="DO293" s="291"/>
      <c r="DP293" s="291"/>
      <c r="DQ293" s="291"/>
      <c r="DR293" s="291"/>
      <c r="DS293" s="290"/>
      <c r="DT293" s="290"/>
      <c r="DU293" s="290"/>
      <c r="DW293" s="24">
        <f>SUM(DW270:DW292)</f>
        <v>55829403</v>
      </c>
      <c r="DX293" s="24">
        <f>SUM(DX270:DX292)</f>
        <v>244211684</v>
      </c>
      <c r="DY293" s="170"/>
      <c r="DZ293" s="618"/>
      <c r="EA293" s="618"/>
      <c r="EB293" s="618"/>
    </row>
    <row r="294" spans="1:132" ht="39" hidden="1" x14ac:dyDescent="0.3">
      <c r="A294" s="19">
        <v>104</v>
      </c>
      <c r="B294" s="9" t="s">
        <v>55</v>
      </c>
      <c r="C294" s="9" t="s">
        <v>194</v>
      </c>
      <c r="D294" s="26" t="s">
        <v>515</v>
      </c>
      <c r="E294" s="10" t="s">
        <v>59</v>
      </c>
      <c r="F294" s="27" t="s">
        <v>473</v>
      </c>
      <c r="G294" s="11">
        <v>1</v>
      </c>
      <c r="H294" s="11">
        <v>1</v>
      </c>
      <c r="I294" s="191"/>
      <c r="J294" s="191"/>
      <c r="K294" s="191"/>
      <c r="L294" s="191"/>
      <c r="M294" s="191"/>
      <c r="N294" s="191"/>
      <c r="O294" s="211"/>
      <c r="P294" s="212"/>
      <c r="Q294" s="32"/>
      <c r="R294" s="32"/>
      <c r="S294" s="32"/>
      <c r="T294" s="32"/>
      <c r="U294" s="32"/>
      <c r="V294" s="32"/>
      <c r="W294" s="32"/>
      <c r="X294" s="32"/>
      <c r="Y294" s="32"/>
      <c r="Z294" s="32"/>
      <c r="AA294" s="32">
        <v>4500000</v>
      </c>
      <c r="AB294" s="32">
        <f>AA294*G294</f>
        <v>4500000</v>
      </c>
      <c r="AC294" s="32"/>
      <c r="AD294" s="192"/>
      <c r="AE294" s="192"/>
      <c r="AF294" s="192"/>
      <c r="AG294" s="32">
        <v>4200000</v>
      </c>
      <c r="AH294" s="32">
        <f>AG294*G294</f>
        <v>4200000</v>
      </c>
      <c r="AI294" s="32"/>
      <c r="AJ294" s="32"/>
      <c r="AK294" s="32"/>
      <c r="AL294" s="32"/>
      <c r="AM294" s="32"/>
      <c r="AN294" s="32"/>
      <c r="AO294" s="32"/>
      <c r="AP294" s="32"/>
      <c r="AQ294" s="32"/>
      <c r="AR294" s="32"/>
      <c r="AS294" s="32"/>
      <c r="AT294" s="32"/>
      <c r="AU294" s="32"/>
      <c r="AV294" s="32"/>
      <c r="AW294" s="32"/>
      <c r="AX294" s="32"/>
      <c r="AY294" s="32"/>
      <c r="AZ294" s="32"/>
      <c r="BA294" s="32"/>
      <c r="BB294" s="32"/>
      <c r="BC294" s="32"/>
      <c r="BD294" s="32"/>
      <c r="BE294" s="32"/>
      <c r="BF294" s="32"/>
      <c r="BG294" s="32"/>
      <c r="BH294" s="32"/>
      <c r="BI294" s="32"/>
      <c r="BJ294" s="32"/>
      <c r="BK294" s="192"/>
      <c r="BL294" s="32"/>
      <c r="BM294" s="192"/>
      <c r="BN294" s="32"/>
      <c r="BO294" s="32"/>
      <c r="BP294" s="32"/>
      <c r="BQ294" s="32"/>
      <c r="BR294" s="32"/>
      <c r="BS294" s="32"/>
      <c r="BT294" s="32"/>
      <c r="BU294" s="32"/>
      <c r="BV294" s="32"/>
      <c r="BW294" s="32"/>
      <c r="BX294" s="32"/>
      <c r="BY294" s="32"/>
      <c r="BZ294" s="32"/>
      <c r="CA294" s="32"/>
      <c r="CB294" s="32"/>
      <c r="CC294" s="32"/>
      <c r="CD294" s="32"/>
      <c r="CE294" s="32"/>
      <c r="CF294" s="32"/>
      <c r="CG294" s="32"/>
      <c r="CH294" s="32"/>
      <c r="CI294" s="32"/>
      <c r="CJ294" s="32"/>
      <c r="CK294" s="32"/>
      <c r="CL294" s="32"/>
      <c r="CM294" s="32"/>
      <c r="CN294" s="32"/>
      <c r="CO294" s="32"/>
      <c r="CP294" s="32"/>
      <c r="CQ294" s="32"/>
      <c r="CR294" s="32"/>
      <c r="CS294" s="32"/>
      <c r="CT294" s="32"/>
      <c r="CU294" s="32"/>
      <c r="CV294" s="32"/>
      <c r="CW294" s="32"/>
      <c r="CX294" s="32"/>
      <c r="CY294" s="32"/>
      <c r="CZ294" s="32"/>
      <c r="DA294" s="32"/>
      <c r="DB294" s="32"/>
      <c r="DC294" s="32"/>
      <c r="DD294" s="32"/>
      <c r="DE294" s="32"/>
      <c r="DF294" s="32"/>
      <c r="DG294" s="32"/>
      <c r="DH294" s="32"/>
      <c r="DI294" s="32"/>
      <c r="DJ294" s="32"/>
      <c r="DK294" s="32"/>
      <c r="DL294" s="32"/>
      <c r="DM294" s="32"/>
      <c r="DN294" s="32"/>
      <c r="DO294" s="32"/>
      <c r="DP294" s="32"/>
      <c r="DQ294" s="32"/>
      <c r="DR294" s="32"/>
      <c r="DS294" s="13">
        <f>+MEDIAN(AA294,AG294)</f>
        <v>4350000</v>
      </c>
      <c r="DT294" s="13">
        <f>+AVERAGE(AA294,AG294)</f>
        <v>4350000</v>
      </c>
      <c r="DU294" s="13">
        <f>+STDEV(AA294,AG294)</f>
        <v>212132.03435596425</v>
      </c>
      <c r="DV294" s="17">
        <f>DU294/DT294</f>
        <v>4.8765984909417068E-2</v>
      </c>
      <c r="DW294" s="373">
        <f>+ROUNDUP(IF(DV294&lt;15%,DT294,DS294),0)</f>
        <v>4350000</v>
      </c>
      <c r="DX294" s="326">
        <f t="shared" ref="DX294:DX324" si="60">+ROUND(DW294*G294*H294,0)</f>
        <v>4350000</v>
      </c>
      <c r="DY294" s="10" t="s">
        <v>308</v>
      </c>
    </row>
    <row r="295" spans="1:132" ht="39" hidden="1" x14ac:dyDescent="0.3">
      <c r="A295" s="19">
        <v>105</v>
      </c>
      <c r="B295" s="9" t="s">
        <v>55</v>
      </c>
      <c r="C295" s="9" t="s">
        <v>194</v>
      </c>
      <c r="D295" s="9" t="s">
        <v>221</v>
      </c>
      <c r="E295" s="44" t="s">
        <v>294</v>
      </c>
      <c r="F295" s="34" t="s">
        <v>240</v>
      </c>
      <c r="G295" s="11">
        <v>1</v>
      </c>
      <c r="H295" s="11">
        <v>1</v>
      </c>
      <c r="I295" s="340"/>
      <c r="J295" s="340"/>
      <c r="K295" s="340"/>
      <c r="L295" s="340"/>
      <c r="M295" s="340"/>
      <c r="N295" s="340"/>
      <c r="O295" s="341"/>
      <c r="P295" s="342"/>
      <c r="Q295" s="25"/>
      <c r="R295" s="25"/>
      <c r="S295" s="25"/>
      <c r="T295" s="25"/>
      <c r="U295" s="25"/>
      <c r="V295" s="25"/>
      <c r="W295" s="25"/>
      <c r="X295" s="25"/>
      <c r="Y295" s="25"/>
      <c r="Z295" s="25"/>
      <c r="AA295" s="25"/>
      <c r="AB295" s="25"/>
      <c r="AC295" s="25"/>
      <c r="AD295" s="46"/>
      <c r="AE295" s="25"/>
      <c r="AF295" s="25"/>
      <c r="AG295" s="343"/>
      <c r="AH295" s="25"/>
      <c r="AI295" s="25"/>
      <c r="AJ295" s="25"/>
      <c r="AK295" s="25"/>
      <c r="AL295" s="25"/>
      <c r="AM295" s="25"/>
      <c r="AN295" s="25"/>
      <c r="AO295" s="25"/>
      <c r="AP295" s="25"/>
      <c r="AQ295" s="25"/>
      <c r="AR295" s="25"/>
      <c r="AS295" s="25"/>
      <c r="AT295" s="25"/>
      <c r="AU295" s="25"/>
      <c r="AV295" s="25"/>
      <c r="AW295" s="25"/>
      <c r="AX295" s="25"/>
      <c r="AY295" s="25"/>
      <c r="AZ295" s="25"/>
      <c r="BA295" s="25"/>
      <c r="BB295" s="25"/>
      <c r="BC295" s="25"/>
      <c r="BD295" s="25"/>
      <c r="BE295" s="25"/>
      <c r="BF295" s="25"/>
      <c r="BG295" s="25">
        <f>500000+(500000*5.2%)</f>
        <v>526000</v>
      </c>
      <c r="BH295" s="25">
        <f>BG295*G295</f>
        <v>526000</v>
      </c>
      <c r="BI295" s="25">
        <f>485000+(485000*5.2%)</f>
        <v>510220</v>
      </c>
      <c r="BJ295" s="25">
        <f>BI295*G295</f>
        <v>510220</v>
      </c>
      <c r="BK295" s="343"/>
      <c r="BL295" s="25"/>
      <c r="BM295" s="343"/>
      <c r="BN295" s="25"/>
      <c r="BO295" s="25"/>
      <c r="BP295" s="25"/>
      <c r="BQ295" s="25"/>
      <c r="BR295" s="25"/>
      <c r="BS295" s="25"/>
      <c r="BT295" s="25"/>
      <c r="BU295" s="25"/>
      <c r="BV295" s="25"/>
      <c r="BW295" s="25"/>
      <c r="BX295" s="25"/>
      <c r="BY295" s="25"/>
      <c r="BZ295" s="25"/>
      <c r="CA295" s="25"/>
      <c r="CB295" s="25"/>
      <c r="CC295" s="25"/>
      <c r="CD295" s="25"/>
      <c r="CE295" s="25"/>
      <c r="CF295" s="25"/>
      <c r="CG295" s="25"/>
      <c r="CH295" s="25"/>
      <c r="CI295" s="25"/>
      <c r="CJ295" s="25"/>
      <c r="CK295" s="25"/>
      <c r="CL295" s="25"/>
      <c r="CM295" s="25"/>
      <c r="CN295" s="25"/>
      <c r="CO295" s="25"/>
      <c r="CP295" s="25"/>
      <c r="CQ295" s="25"/>
      <c r="CR295" s="25"/>
      <c r="CS295" s="25"/>
      <c r="CT295" s="25"/>
      <c r="CU295" s="25"/>
      <c r="CV295" s="25"/>
      <c r="CW295" s="25"/>
      <c r="CX295" s="25"/>
      <c r="CY295" s="25"/>
      <c r="CZ295" s="25"/>
      <c r="DA295" s="25"/>
      <c r="DB295" s="25"/>
      <c r="DC295" s="25"/>
      <c r="DD295" s="25"/>
      <c r="DE295" s="25"/>
      <c r="DF295" s="25"/>
      <c r="DG295" s="25"/>
      <c r="DH295" s="25"/>
      <c r="DI295" s="25"/>
      <c r="DJ295" s="25"/>
      <c r="DK295" s="25"/>
      <c r="DL295" s="25"/>
      <c r="DM295" s="25"/>
      <c r="DN295" s="25"/>
      <c r="DO295" s="25"/>
      <c r="DP295" s="25"/>
      <c r="DQ295" s="25"/>
      <c r="DR295" s="25"/>
      <c r="DS295" s="265">
        <f>MEDIAN(BG295,BI295)</f>
        <v>518110</v>
      </c>
      <c r="DT295" s="65">
        <f>+AVERAGE(BG295,BI295)</f>
        <v>518110</v>
      </c>
      <c r="DU295" s="265">
        <f>STDEV(BG295,BI295)</f>
        <v>11158.14500712372</v>
      </c>
      <c r="DV295" s="48">
        <f>DU295/DT295</f>
        <v>2.1536247142737486E-2</v>
      </c>
      <c r="DW295" s="377">
        <f>ROUNDUP(IF(DV295&lt;15%,DT295,DS295),0)</f>
        <v>518110</v>
      </c>
      <c r="DX295" s="326">
        <f t="shared" si="60"/>
        <v>518110</v>
      </c>
      <c r="DY295" s="10" t="s">
        <v>316</v>
      </c>
    </row>
    <row r="296" spans="1:132" ht="179.5" hidden="1" customHeight="1" x14ac:dyDescent="0.3">
      <c r="A296" s="133">
        <v>106</v>
      </c>
      <c r="B296" s="134" t="s">
        <v>55</v>
      </c>
      <c r="C296" s="134" t="s">
        <v>194</v>
      </c>
      <c r="D296" s="134" t="s">
        <v>1140</v>
      </c>
      <c r="E296" s="132" t="s">
        <v>1171</v>
      </c>
      <c r="F296" s="134" t="s">
        <v>1138</v>
      </c>
      <c r="G296" s="136">
        <v>3</v>
      </c>
      <c r="H296" s="136">
        <v>1</v>
      </c>
      <c r="I296" s="229"/>
      <c r="J296" s="229"/>
      <c r="K296" s="229"/>
      <c r="L296" s="229"/>
      <c r="M296" s="229"/>
      <c r="N296" s="229"/>
      <c r="O296" s="230"/>
      <c r="P296" s="231"/>
      <c r="Q296" s="150"/>
      <c r="R296" s="150"/>
      <c r="S296" s="150"/>
      <c r="T296" s="150"/>
      <c r="U296" s="150"/>
      <c r="V296" s="150"/>
      <c r="W296" s="150"/>
      <c r="X296" s="150"/>
      <c r="Y296" s="150"/>
      <c r="Z296" s="150"/>
      <c r="AA296" s="150"/>
      <c r="AB296" s="150"/>
      <c r="AC296" s="150"/>
      <c r="AD296" s="237"/>
      <c r="AE296" s="150"/>
      <c r="AF296" s="150"/>
      <c r="AG296" s="232"/>
      <c r="AH296" s="150"/>
      <c r="AI296" s="150"/>
      <c r="AJ296" s="150"/>
      <c r="AK296" s="150"/>
      <c r="AL296" s="150"/>
      <c r="AM296" s="150"/>
      <c r="AN296" s="150"/>
      <c r="AO296" s="150"/>
      <c r="AP296" s="150"/>
      <c r="AQ296" s="150"/>
      <c r="AR296" s="150"/>
      <c r="AS296" s="150"/>
      <c r="AT296" s="150"/>
      <c r="AU296" s="150"/>
      <c r="AV296" s="150"/>
      <c r="AW296" s="150"/>
      <c r="AX296" s="150"/>
      <c r="AY296" s="150"/>
      <c r="AZ296" s="150"/>
      <c r="BA296" s="150"/>
      <c r="BB296" s="150"/>
      <c r="BC296" s="150"/>
      <c r="BD296" s="150"/>
      <c r="BE296" s="150"/>
      <c r="BF296" s="150"/>
      <c r="BG296" s="150"/>
      <c r="BH296" s="150"/>
      <c r="BI296" s="150"/>
      <c r="BJ296" s="150"/>
      <c r="BK296" s="232"/>
      <c r="BL296" s="150"/>
      <c r="BM296" s="232"/>
      <c r="BN296" s="150"/>
      <c r="BO296" s="150"/>
      <c r="BP296" s="150"/>
      <c r="BQ296" s="150"/>
      <c r="BR296" s="150"/>
      <c r="BS296" s="150"/>
      <c r="BT296" s="150"/>
      <c r="BU296" s="150"/>
      <c r="BV296" s="150"/>
      <c r="BW296" s="150"/>
      <c r="BX296" s="150"/>
      <c r="BY296" s="150"/>
      <c r="BZ296" s="150"/>
      <c r="CA296" s="150"/>
      <c r="CB296" s="150"/>
      <c r="CC296" s="150"/>
      <c r="CD296" s="150"/>
      <c r="CE296" s="150"/>
      <c r="CF296" s="150"/>
      <c r="CG296" s="150"/>
      <c r="CH296" s="150"/>
      <c r="CI296" s="150"/>
      <c r="CJ296" s="150"/>
      <c r="CK296" s="150"/>
      <c r="CL296" s="150"/>
      <c r="CM296" s="150"/>
      <c r="CN296" s="150"/>
      <c r="CO296" s="230"/>
      <c r="CP296" s="150"/>
      <c r="CQ296" s="150"/>
      <c r="CR296" s="150"/>
      <c r="CS296" s="276"/>
      <c r="CT296" s="150"/>
      <c r="CU296" s="150"/>
      <c r="CV296" s="150"/>
      <c r="CW296" s="300"/>
      <c r="CX296" s="150"/>
      <c r="CY296" s="300"/>
      <c r="CZ296" s="150"/>
      <c r="DA296" s="150"/>
      <c r="DB296" s="150"/>
      <c r="DC296" s="300"/>
      <c r="DD296" s="150"/>
      <c r="DE296" s="150"/>
      <c r="DF296" s="150"/>
      <c r="DG296" s="150"/>
      <c r="DH296" s="150"/>
      <c r="DI296" s="150"/>
      <c r="DJ296" s="150"/>
      <c r="DK296" s="150"/>
      <c r="DL296" s="150"/>
      <c r="DM296" s="150"/>
      <c r="DN296" s="150"/>
      <c r="DO296" s="150"/>
      <c r="DP296" s="150"/>
      <c r="DQ296" s="150"/>
      <c r="DR296" s="150"/>
      <c r="DS296" s="232"/>
      <c r="DT296" s="232"/>
      <c r="DU296" s="232"/>
      <c r="DV296" s="137"/>
      <c r="DW296" s="321">
        <f>+DZ296+EB296</f>
        <v>4788000</v>
      </c>
      <c r="DX296" s="146">
        <f t="shared" si="60"/>
        <v>14364000</v>
      </c>
      <c r="DY296" s="139" t="s">
        <v>1164</v>
      </c>
      <c r="DZ296" s="604">
        <v>3800000</v>
      </c>
      <c r="EA296" s="604">
        <f>+DZ296*G296*H296</f>
        <v>11400000</v>
      </c>
      <c r="EB296" s="604">
        <f>+DZ296*26%</f>
        <v>988000</v>
      </c>
    </row>
    <row r="297" spans="1:132" ht="143" hidden="1" x14ac:dyDescent="0.3">
      <c r="A297" s="19">
        <v>107</v>
      </c>
      <c r="B297" s="9" t="s">
        <v>55</v>
      </c>
      <c r="C297" s="9" t="s">
        <v>194</v>
      </c>
      <c r="D297" s="9" t="s">
        <v>372</v>
      </c>
      <c r="E297" s="10" t="s">
        <v>192</v>
      </c>
      <c r="F297" s="19" t="s">
        <v>31</v>
      </c>
      <c r="G297" s="11">
        <v>1</v>
      </c>
      <c r="H297" s="11">
        <v>1</v>
      </c>
      <c r="I297" s="191"/>
      <c r="J297" s="191"/>
      <c r="K297" s="191"/>
      <c r="L297" s="191"/>
      <c r="M297" s="191"/>
      <c r="N297" s="191"/>
      <c r="O297" s="211"/>
      <c r="P297" s="212"/>
      <c r="Q297" s="32"/>
      <c r="R297" s="32"/>
      <c r="S297" s="32"/>
      <c r="T297" s="32"/>
      <c r="U297" s="32"/>
      <c r="V297" s="32"/>
      <c r="W297" s="32"/>
      <c r="X297" s="32"/>
      <c r="Y297" s="32"/>
      <c r="Z297" s="32"/>
      <c r="AA297" s="32">
        <v>5000000</v>
      </c>
      <c r="AB297" s="32">
        <f>AA297*H297</f>
        <v>5000000</v>
      </c>
      <c r="AC297" s="32"/>
      <c r="AD297" s="192"/>
      <c r="AE297" s="192"/>
      <c r="AF297" s="192"/>
      <c r="AG297" s="241">
        <v>5200000</v>
      </c>
      <c r="AH297" s="32">
        <f>AG297*G297</f>
        <v>5200000</v>
      </c>
      <c r="AI297" s="32"/>
      <c r="AJ297" s="32"/>
      <c r="AK297" s="32"/>
      <c r="AL297" s="32"/>
      <c r="AM297" s="32"/>
      <c r="AN297" s="32"/>
      <c r="AO297" s="32"/>
      <c r="AP297" s="32"/>
      <c r="AQ297" s="32"/>
      <c r="AR297" s="32"/>
      <c r="AS297" s="32"/>
      <c r="AT297" s="32"/>
      <c r="AU297" s="32"/>
      <c r="AV297" s="32"/>
      <c r="AW297" s="32"/>
      <c r="AX297" s="32"/>
      <c r="AY297" s="32"/>
      <c r="AZ297" s="32"/>
      <c r="BA297" s="32"/>
      <c r="BB297" s="32"/>
      <c r="BC297" s="32"/>
      <c r="BD297" s="32"/>
      <c r="BE297" s="32"/>
      <c r="BF297" s="32"/>
      <c r="BG297" s="32"/>
      <c r="BH297" s="32"/>
      <c r="BI297" s="32"/>
      <c r="BJ297" s="32"/>
      <c r="BK297" s="192"/>
      <c r="BL297" s="32"/>
      <c r="BM297" s="192"/>
      <c r="BN297" s="32"/>
      <c r="BO297" s="32"/>
      <c r="BP297" s="32"/>
      <c r="BQ297" s="32"/>
      <c r="BR297" s="32"/>
      <c r="BS297" s="32"/>
      <c r="BT297" s="32"/>
      <c r="BU297" s="32"/>
      <c r="BV297" s="32"/>
      <c r="BW297" s="32"/>
      <c r="BX297" s="32"/>
      <c r="BY297" s="32"/>
      <c r="BZ297" s="32"/>
      <c r="CA297" s="32"/>
      <c r="CB297" s="32"/>
      <c r="CC297" s="32"/>
      <c r="CD297" s="32"/>
      <c r="CE297" s="32"/>
      <c r="CF297" s="32"/>
      <c r="CG297" s="32"/>
      <c r="CH297" s="32"/>
      <c r="CI297" s="32"/>
      <c r="CJ297" s="32"/>
      <c r="CK297" s="32"/>
      <c r="CL297" s="32"/>
      <c r="CM297" s="32"/>
      <c r="CN297" s="32"/>
      <c r="CO297" s="32"/>
      <c r="CP297" s="32"/>
      <c r="CQ297" s="32"/>
      <c r="CR297" s="32"/>
      <c r="CS297" s="32"/>
      <c r="CT297" s="32"/>
      <c r="CU297" s="32"/>
      <c r="CV297" s="32"/>
      <c r="CW297" s="32"/>
      <c r="CX297" s="32"/>
      <c r="CY297" s="32"/>
      <c r="CZ297" s="32"/>
      <c r="DA297" s="32"/>
      <c r="DB297" s="32"/>
      <c r="DC297" s="32"/>
      <c r="DD297" s="32"/>
      <c r="DE297" s="32"/>
      <c r="DF297" s="32"/>
      <c r="DG297" s="32"/>
      <c r="DH297" s="32"/>
      <c r="DI297" s="32"/>
      <c r="DJ297" s="32"/>
      <c r="DK297" s="32"/>
      <c r="DL297" s="32"/>
      <c r="DM297" s="32"/>
      <c r="DN297" s="32"/>
      <c r="DO297" s="32"/>
      <c r="DP297" s="32"/>
      <c r="DQ297" s="32"/>
      <c r="DR297" s="32"/>
      <c r="DS297" s="13">
        <f>+MEDIAN(AA297,AG297)</f>
        <v>5100000</v>
      </c>
      <c r="DT297" s="13">
        <f>+AVERAGE(AA297,AG297)</f>
        <v>5100000</v>
      </c>
      <c r="DU297" s="13">
        <f>+STDEV(AA297,AG297)</f>
        <v>141421.35623730952</v>
      </c>
      <c r="DV297" s="17">
        <f t="shared" ref="DV297:DV310" si="61">DU297/DT297</f>
        <v>2.7729677693590103E-2</v>
      </c>
      <c r="DW297" s="373">
        <f t="shared" ref="DW297:DW307" si="62">+ROUNDUP(IF(DV297&lt;15%,DT297,DS297),0)</f>
        <v>5100000</v>
      </c>
      <c r="DX297" s="326">
        <f t="shared" si="60"/>
        <v>5100000</v>
      </c>
      <c r="DY297" s="10" t="s">
        <v>308</v>
      </c>
    </row>
    <row r="298" spans="1:132" ht="39" hidden="1" x14ac:dyDescent="0.3">
      <c r="A298" s="19">
        <v>108</v>
      </c>
      <c r="B298" s="9" t="s">
        <v>55</v>
      </c>
      <c r="C298" s="9" t="s">
        <v>194</v>
      </c>
      <c r="D298" s="9" t="s">
        <v>432</v>
      </c>
      <c r="E298" s="10" t="s">
        <v>33</v>
      </c>
      <c r="F298" s="9" t="s">
        <v>19</v>
      </c>
      <c r="G298" s="11">
        <v>2</v>
      </c>
      <c r="H298" s="11">
        <v>1</v>
      </c>
      <c r="I298" s="191"/>
      <c r="J298" s="191"/>
      <c r="K298" s="191"/>
      <c r="L298" s="191"/>
      <c r="M298" s="191"/>
      <c r="N298" s="191"/>
      <c r="O298" s="211"/>
      <c r="P298" s="212"/>
      <c r="Q298" s="32"/>
      <c r="R298" s="32"/>
      <c r="S298" s="32"/>
      <c r="T298" s="32"/>
      <c r="U298" s="32"/>
      <c r="V298" s="32"/>
      <c r="W298" s="32"/>
      <c r="X298" s="32"/>
      <c r="Y298" s="32"/>
      <c r="Z298" s="32"/>
      <c r="AA298" s="32"/>
      <c r="AB298" s="32"/>
      <c r="AC298" s="32"/>
      <c r="AD298" s="32"/>
      <c r="AE298" s="32"/>
      <c r="AF298" s="32"/>
      <c r="AG298" s="192"/>
      <c r="AH298" s="32"/>
      <c r="AI298" s="32"/>
      <c r="AJ298" s="32"/>
      <c r="AK298" s="32"/>
      <c r="AL298" s="32"/>
      <c r="AM298" s="32"/>
      <c r="AN298" s="32"/>
      <c r="AO298" s="32"/>
      <c r="AP298" s="32"/>
      <c r="AQ298" s="32"/>
      <c r="AR298" s="32"/>
      <c r="AS298" s="32"/>
      <c r="AT298" s="32"/>
      <c r="AU298" s="32"/>
      <c r="AV298" s="32"/>
      <c r="AW298" s="32"/>
      <c r="AX298" s="32"/>
      <c r="AY298" s="32"/>
      <c r="AZ298" s="32"/>
      <c r="BA298" s="32"/>
      <c r="BB298" s="32"/>
      <c r="BC298" s="32"/>
      <c r="BD298" s="32"/>
      <c r="BE298" s="32"/>
      <c r="BF298" s="32"/>
      <c r="BG298" s="32"/>
      <c r="BH298" s="32"/>
      <c r="BI298" s="32"/>
      <c r="BJ298" s="32"/>
      <c r="BK298" s="192"/>
      <c r="BL298" s="32"/>
      <c r="BM298" s="192"/>
      <c r="BN298" s="32"/>
      <c r="BO298" s="32"/>
      <c r="BP298" s="32"/>
      <c r="BQ298" s="32"/>
      <c r="BR298" s="32"/>
      <c r="BS298" s="258">
        <v>354900</v>
      </c>
      <c r="BT298" s="32">
        <f>BS298*G298</f>
        <v>709800</v>
      </c>
      <c r="BU298" s="32"/>
      <c r="BV298" s="32"/>
      <c r="BW298" s="258">
        <v>301990</v>
      </c>
      <c r="BX298" s="32">
        <f>BW298*G298</f>
        <v>603980</v>
      </c>
      <c r="BY298" s="258">
        <v>265000</v>
      </c>
      <c r="BZ298" s="32">
        <f>BY298*G298</f>
        <v>530000</v>
      </c>
      <c r="CA298" s="32"/>
      <c r="CB298" s="32"/>
      <c r="CC298" s="32"/>
      <c r="CD298" s="32"/>
      <c r="CE298" s="32"/>
      <c r="CF298" s="32"/>
      <c r="CG298" s="32"/>
      <c r="CH298" s="32"/>
      <c r="CI298" s="32"/>
      <c r="CJ298" s="32"/>
      <c r="CK298" s="32"/>
      <c r="CL298" s="32"/>
      <c r="CM298" s="32"/>
      <c r="CN298" s="32"/>
      <c r="CO298" s="32"/>
      <c r="CP298" s="32"/>
      <c r="CQ298" s="32"/>
      <c r="CR298" s="32"/>
      <c r="CS298" s="32"/>
      <c r="CT298" s="32"/>
      <c r="CU298" s="32"/>
      <c r="CV298" s="32"/>
      <c r="CW298" s="32"/>
      <c r="CX298" s="32"/>
      <c r="CY298" s="32"/>
      <c r="CZ298" s="32"/>
      <c r="DA298" s="32"/>
      <c r="DB298" s="32"/>
      <c r="DC298" s="32"/>
      <c r="DD298" s="32"/>
      <c r="DE298" s="32"/>
      <c r="DF298" s="32"/>
      <c r="DG298" s="32"/>
      <c r="DH298" s="32"/>
      <c r="DI298" s="32"/>
      <c r="DJ298" s="32"/>
      <c r="DK298" s="32"/>
      <c r="DL298" s="32"/>
      <c r="DM298" s="32"/>
      <c r="DN298" s="32"/>
      <c r="DO298" s="32"/>
      <c r="DP298" s="32"/>
      <c r="DQ298" s="32"/>
      <c r="DR298" s="32"/>
      <c r="DS298" s="13">
        <f>+MEDIAN(BS298,BW298,BY298)</f>
        <v>301990</v>
      </c>
      <c r="DT298" s="13">
        <f>+AVERAGE(BS298,BW298,BY298)</f>
        <v>307296.66666666669</v>
      </c>
      <c r="DU298" s="13">
        <f>+STDEV(BS298,BW298,BY298)</f>
        <v>45184.322871249751</v>
      </c>
      <c r="DV298" s="17">
        <f t="shared" si="61"/>
        <v>0.1470381158421821</v>
      </c>
      <c r="DW298" s="373">
        <f t="shared" si="62"/>
        <v>307297</v>
      </c>
      <c r="DX298" s="326">
        <f t="shared" si="60"/>
        <v>614594</v>
      </c>
      <c r="DY298" s="10" t="s">
        <v>308</v>
      </c>
    </row>
    <row r="299" spans="1:132" ht="39" hidden="1" x14ac:dyDescent="0.3">
      <c r="A299" s="19">
        <v>109</v>
      </c>
      <c r="B299" s="9" t="s">
        <v>55</v>
      </c>
      <c r="C299" s="9" t="s">
        <v>194</v>
      </c>
      <c r="D299" s="9" t="s">
        <v>503</v>
      </c>
      <c r="E299" s="10" t="s">
        <v>193</v>
      </c>
      <c r="F299" s="9" t="s">
        <v>19</v>
      </c>
      <c r="G299" s="11">
        <v>2</v>
      </c>
      <c r="H299" s="11">
        <v>1</v>
      </c>
      <c r="I299" s="191"/>
      <c r="J299" s="191"/>
      <c r="K299" s="191"/>
      <c r="L299" s="191"/>
      <c r="M299" s="191"/>
      <c r="N299" s="191"/>
      <c r="O299" s="211"/>
      <c r="P299" s="212"/>
      <c r="Q299" s="32"/>
      <c r="R299" s="32"/>
      <c r="S299" s="32"/>
      <c r="T299" s="32"/>
      <c r="U299" s="32"/>
      <c r="V299" s="32"/>
      <c r="W299" s="32"/>
      <c r="X299" s="32"/>
      <c r="Y299" s="32"/>
      <c r="Z299" s="32"/>
      <c r="AA299" s="32"/>
      <c r="AB299" s="32"/>
      <c r="AC299" s="32"/>
      <c r="AD299" s="32"/>
      <c r="AE299" s="32"/>
      <c r="AF299" s="32"/>
      <c r="AG299" s="192"/>
      <c r="AH299" s="32"/>
      <c r="AI299" s="32"/>
      <c r="AJ299" s="32"/>
      <c r="AK299" s="32"/>
      <c r="AL299" s="32"/>
      <c r="AM299" s="32"/>
      <c r="AN299" s="32"/>
      <c r="AO299" s="32"/>
      <c r="AP299" s="32"/>
      <c r="AQ299" s="32"/>
      <c r="AR299" s="32"/>
      <c r="AS299" s="32"/>
      <c r="AT299" s="32"/>
      <c r="AU299" s="32"/>
      <c r="AV299" s="32"/>
      <c r="AW299" s="32"/>
      <c r="AX299" s="32"/>
      <c r="AY299" s="32"/>
      <c r="AZ299" s="32"/>
      <c r="BA299" s="32"/>
      <c r="BB299" s="32"/>
      <c r="BC299" s="32"/>
      <c r="BD299" s="32"/>
      <c r="BE299" s="32"/>
      <c r="BF299" s="32"/>
      <c r="BG299" s="32"/>
      <c r="BH299" s="32"/>
      <c r="BI299" s="32"/>
      <c r="BJ299" s="32"/>
      <c r="BK299" s="192"/>
      <c r="BL299" s="32"/>
      <c r="BM299" s="192"/>
      <c r="BN299" s="32"/>
      <c r="BO299" s="32"/>
      <c r="BP299" s="32"/>
      <c r="BQ299" s="32"/>
      <c r="BR299" s="32"/>
      <c r="BS299" s="32"/>
      <c r="BT299" s="32"/>
      <c r="BU299" s="32"/>
      <c r="BV299" s="32"/>
      <c r="BW299" s="32"/>
      <c r="BX299" s="32"/>
      <c r="BY299" s="32"/>
      <c r="BZ299" s="32"/>
      <c r="CA299" s="32"/>
      <c r="CB299" s="32"/>
      <c r="CC299" s="32"/>
      <c r="CD299" s="32"/>
      <c r="CE299" s="32"/>
      <c r="CF299" s="32"/>
      <c r="CG299" s="32"/>
      <c r="CH299" s="32"/>
      <c r="CI299" s="32"/>
      <c r="CJ299" s="32"/>
      <c r="CK299" s="32"/>
      <c r="CL299" s="32"/>
      <c r="CM299" s="32"/>
      <c r="CN299" s="32"/>
      <c r="CO299" s="224">
        <v>80000</v>
      </c>
      <c r="CP299" s="32">
        <f>CO299*G299</f>
        <v>160000</v>
      </c>
      <c r="CQ299" s="225">
        <v>75000</v>
      </c>
      <c r="CR299" s="32">
        <f>CQ299*G299</f>
        <v>150000</v>
      </c>
      <c r="CS299" s="28"/>
      <c r="CT299" s="25"/>
      <c r="CU299" s="225">
        <v>75000</v>
      </c>
      <c r="CV299" s="25">
        <f>CU299*G299</f>
        <v>150000</v>
      </c>
      <c r="CW299" s="245"/>
      <c r="CX299" s="25"/>
      <c r="CY299" s="245"/>
      <c r="CZ299" s="25"/>
      <c r="DA299" s="25"/>
      <c r="DB299" s="25"/>
      <c r="DC299" s="245"/>
      <c r="DD299" s="25"/>
      <c r="DE299" s="25"/>
      <c r="DF299" s="25"/>
      <c r="DG299" s="25"/>
      <c r="DH299" s="25"/>
      <c r="DI299" s="25"/>
      <c r="DJ299" s="25"/>
      <c r="DK299" s="25"/>
      <c r="DL299" s="25"/>
      <c r="DM299" s="25"/>
      <c r="DN299" s="25"/>
      <c r="DO299" s="25"/>
      <c r="DP299" s="25"/>
      <c r="DQ299" s="25"/>
      <c r="DR299" s="25"/>
      <c r="DS299" s="13">
        <f>+MEDIAN(CO299,CQ299,CU299)</f>
        <v>75000</v>
      </c>
      <c r="DT299" s="13">
        <f>+AVERAGE(CO299,CQ299,CU299)</f>
        <v>76666.666666666672</v>
      </c>
      <c r="DU299" s="13">
        <f>+STDEV(CO299,CQ299,CU299)</f>
        <v>2886.7513459481288</v>
      </c>
      <c r="DV299" s="17">
        <f t="shared" si="61"/>
        <v>3.7653278425410372E-2</v>
      </c>
      <c r="DW299" s="373">
        <f t="shared" si="62"/>
        <v>76667</v>
      </c>
      <c r="DX299" s="326">
        <f t="shared" si="60"/>
        <v>153334</v>
      </c>
      <c r="DY299" s="10" t="s">
        <v>321</v>
      </c>
    </row>
    <row r="300" spans="1:132" s="111" customFormat="1" ht="39" hidden="1" x14ac:dyDescent="0.3">
      <c r="A300" s="19">
        <v>110</v>
      </c>
      <c r="B300" s="106" t="s">
        <v>55</v>
      </c>
      <c r="C300" s="106" t="s">
        <v>194</v>
      </c>
      <c r="D300" s="106" t="s">
        <v>510</v>
      </c>
      <c r="E300" s="107" t="s">
        <v>60</v>
      </c>
      <c r="F300" s="106" t="s">
        <v>19</v>
      </c>
      <c r="G300" s="108">
        <v>7</v>
      </c>
      <c r="H300" s="108">
        <v>1</v>
      </c>
      <c r="I300" s="244"/>
      <c r="J300" s="244"/>
      <c r="K300" s="244"/>
      <c r="L300" s="244"/>
      <c r="M300" s="244"/>
      <c r="N300" s="244"/>
      <c r="O300" s="294"/>
      <c r="P300" s="295"/>
      <c r="Q300" s="109"/>
      <c r="R300" s="109"/>
      <c r="S300" s="109"/>
      <c r="T300" s="109"/>
      <c r="U300" s="109"/>
      <c r="V300" s="109"/>
      <c r="W300" s="109"/>
      <c r="X300" s="109"/>
      <c r="Y300" s="109"/>
      <c r="Z300" s="109"/>
      <c r="AA300" s="109"/>
      <c r="AB300" s="109"/>
      <c r="AC300" s="109"/>
      <c r="AD300" s="109"/>
      <c r="AE300" s="109"/>
      <c r="AF300" s="109"/>
      <c r="AG300" s="296"/>
      <c r="AH300" s="109"/>
      <c r="AI300" s="109"/>
      <c r="AJ300" s="109"/>
      <c r="AK300" s="109"/>
      <c r="AL300" s="109"/>
      <c r="AM300" s="109"/>
      <c r="AN300" s="109"/>
      <c r="AO300" s="109"/>
      <c r="AP300" s="109"/>
      <c r="AQ300" s="109"/>
      <c r="AR300" s="109"/>
      <c r="AS300" s="109"/>
      <c r="AT300" s="109"/>
      <c r="AU300" s="109"/>
      <c r="AV300" s="109"/>
      <c r="AW300" s="109"/>
      <c r="AX300" s="109"/>
      <c r="AY300" s="109"/>
      <c r="AZ300" s="109"/>
      <c r="BA300" s="109"/>
      <c r="BB300" s="109"/>
      <c r="BC300" s="109"/>
      <c r="BD300" s="109"/>
      <c r="BE300" s="109"/>
      <c r="BF300" s="109"/>
      <c r="BG300" s="109"/>
      <c r="BH300" s="109"/>
      <c r="BI300" s="109"/>
      <c r="BJ300" s="109"/>
      <c r="BK300" s="296"/>
      <c r="BL300" s="109"/>
      <c r="BM300" s="296"/>
      <c r="BN300" s="109"/>
      <c r="BO300" s="109"/>
      <c r="BP300" s="109"/>
      <c r="BQ300" s="109"/>
      <c r="BR300" s="109"/>
      <c r="BS300" s="301">
        <v>15500</v>
      </c>
      <c r="BT300" s="109">
        <f>BS300*G300</f>
        <v>108500</v>
      </c>
      <c r="BU300" s="109"/>
      <c r="BV300" s="109"/>
      <c r="BW300" s="301">
        <v>13490</v>
      </c>
      <c r="BX300" s="109">
        <f>BW300*G300</f>
        <v>94430</v>
      </c>
      <c r="BY300" s="109"/>
      <c r="BZ300" s="109"/>
      <c r="CA300" s="109"/>
      <c r="CB300" s="109"/>
      <c r="CC300" s="301">
        <v>12000</v>
      </c>
      <c r="CD300" s="109">
        <f>CC300*230</f>
        <v>2760000</v>
      </c>
      <c r="CE300" s="109"/>
      <c r="CF300" s="109"/>
      <c r="CG300" s="109"/>
      <c r="CH300" s="109"/>
      <c r="CI300" s="109"/>
      <c r="CJ300" s="109"/>
      <c r="CK300" s="109"/>
      <c r="CL300" s="109"/>
      <c r="CM300" s="109"/>
      <c r="CN300" s="109"/>
      <c r="CO300" s="109"/>
      <c r="CP300" s="109"/>
      <c r="CQ300" s="109"/>
      <c r="CR300" s="109"/>
      <c r="CS300" s="109"/>
      <c r="CT300" s="109"/>
      <c r="CU300" s="109"/>
      <c r="CV300" s="109"/>
      <c r="CW300" s="109"/>
      <c r="CX300" s="109"/>
      <c r="CY300" s="109"/>
      <c r="CZ300" s="109"/>
      <c r="DA300" s="109"/>
      <c r="DB300" s="109"/>
      <c r="DC300" s="109"/>
      <c r="DD300" s="109"/>
      <c r="DE300" s="109"/>
      <c r="DF300" s="109"/>
      <c r="DG300" s="109"/>
      <c r="DH300" s="109"/>
      <c r="DI300" s="109"/>
      <c r="DJ300" s="109"/>
      <c r="DK300" s="109"/>
      <c r="DL300" s="109"/>
      <c r="DM300" s="109"/>
      <c r="DN300" s="109"/>
      <c r="DO300" s="109"/>
      <c r="DP300" s="109"/>
      <c r="DQ300" s="109"/>
      <c r="DR300" s="109"/>
      <c r="DS300" s="115">
        <f>+MEDIAN(BS300,BW300,CC300)</f>
        <v>13490</v>
      </c>
      <c r="DT300" s="115">
        <f>+AVERAGE(BS300,BW300,CC300)</f>
        <v>13663.333333333334</v>
      </c>
      <c r="DU300" s="115">
        <f>+STDEV(BS300,BW300,CC300)</f>
        <v>1756.426296015097</v>
      </c>
      <c r="DV300" s="110">
        <f t="shared" si="61"/>
        <v>0.12855035101354698</v>
      </c>
      <c r="DW300" s="373">
        <f t="shared" si="62"/>
        <v>13664</v>
      </c>
      <c r="DX300" s="329">
        <f t="shared" si="60"/>
        <v>95648</v>
      </c>
      <c r="DY300" s="107" t="s">
        <v>308</v>
      </c>
      <c r="DZ300" s="612"/>
      <c r="EA300" s="612"/>
      <c r="EB300" s="612"/>
    </row>
    <row r="301" spans="1:132" s="111" customFormat="1" ht="39" hidden="1" x14ac:dyDescent="0.3">
      <c r="A301" s="19">
        <v>111</v>
      </c>
      <c r="B301" s="106" t="s">
        <v>55</v>
      </c>
      <c r="C301" s="106" t="s">
        <v>194</v>
      </c>
      <c r="D301" s="106" t="s">
        <v>518</v>
      </c>
      <c r="E301" s="107" t="s">
        <v>61</v>
      </c>
      <c r="F301" s="106" t="s">
        <v>19</v>
      </c>
      <c r="G301" s="108">
        <v>7</v>
      </c>
      <c r="H301" s="108">
        <v>1</v>
      </c>
      <c r="I301" s="244"/>
      <c r="J301" s="244"/>
      <c r="K301" s="244"/>
      <c r="L301" s="244"/>
      <c r="M301" s="244"/>
      <c r="N301" s="244"/>
      <c r="O301" s="294"/>
      <c r="P301" s="295"/>
      <c r="Q301" s="109"/>
      <c r="R301" s="109"/>
      <c r="S301" s="109"/>
      <c r="T301" s="109"/>
      <c r="U301" s="109"/>
      <c r="V301" s="109"/>
      <c r="W301" s="109"/>
      <c r="X301" s="109"/>
      <c r="Y301" s="109"/>
      <c r="Z301" s="109"/>
      <c r="AA301" s="109"/>
      <c r="AB301" s="109"/>
      <c r="AC301" s="109"/>
      <c r="AD301" s="109"/>
      <c r="AE301" s="109"/>
      <c r="AF301" s="109"/>
      <c r="AG301" s="296"/>
      <c r="AH301" s="109"/>
      <c r="AI301" s="109"/>
      <c r="AJ301" s="109"/>
      <c r="AK301" s="109"/>
      <c r="AL301" s="109"/>
      <c r="AM301" s="109"/>
      <c r="AN301" s="109"/>
      <c r="AO301" s="109"/>
      <c r="AP301" s="109"/>
      <c r="AQ301" s="109"/>
      <c r="AR301" s="109"/>
      <c r="AS301" s="109"/>
      <c r="AT301" s="109"/>
      <c r="AU301" s="109"/>
      <c r="AV301" s="109"/>
      <c r="AW301" s="109"/>
      <c r="AX301" s="109"/>
      <c r="AY301" s="109"/>
      <c r="AZ301" s="109"/>
      <c r="BA301" s="109"/>
      <c r="BB301" s="109"/>
      <c r="BC301" s="109"/>
      <c r="BD301" s="109"/>
      <c r="BE301" s="109"/>
      <c r="BF301" s="109"/>
      <c r="BG301" s="109"/>
      <c r="BH301" s="109"/>
      <c r="BI301" s="109"/>
      <c r="BJ301" s="109"/>
      <c r="BK301" s="296"/>
      <c r="BL301" s="109"/>
      <c r="BM301" s="296"/>
      <c r="BN301" s="109"/>
      <c r="BO301" s="109"/>
      <c r="BP301" s="109"/>
      <c r="BQ301" s="109"/>
      <c r="BR301" s="109"/>
      <c r="BS301" s="109"/>
      <c r="BT301" s="109"/>
      <c r="BU301" s="301">
        <v>8000</v>
      </c>
      <c r="BV301" s="109">
        <f>BU301*G301</f>
        <v>56000</v>
      </c>
      <c r="BW301" s="109"/>
      <c r="BX301" s="109"/>
      <c r="BY301" s="109"/>
      <c r="BZ301" s="109"/>
      <c r="CA301" s="301">
        <v>7142.86</v>
      </c>
      <c r="CB301" s="109">
        <f>CA301*G301</f>
        <v>50000.02</v>
      </c>
      <c r="CC301" s="302"/>
      <c r="CD301" s="109"/>
      <c r="CE301" s="109"/>
      <c r="CF301" s="109"/>
      <c r="CG301" s="109"/>
      <c r="CH301" s="109"/>
      <c r="CI301" s="109"/>
      <c r="CJ301" s="109"/>
      <c r="CK301" s="109"/>
      <c r="CL301" s="109"/>
      <c r="CM301" s="109"/>
      <c r="CN301" s="109"/>
      <c r="CO301" s="109"/>
      <c r="CP301" s="109"/>
      <c r="CQ301" s="109"/>
      <c r="CR301" s="109"/>
      <c r="CS301" s="109"/>
      <c r="CT301" s="109"/>
      <c r="CU301" s="109"/>
      <c r="CV301" s="109"/>
      <c r="CW301" s="109"/>
      <c r="CX301" s="109"/>
      <c r="CY301" s="109"/>
      <c r="CZ301" s="109"/>
      <c r="DA301" s="109"/>
      <c r="DB301" s="109"/>
      <c r="DC301" s="109"/>
      <c r="DD301" s="109"/>
      <c r="DE301" s="109"/>
      <c r="DF301" s="109"/>
      <c r="DG301" s="109"/>
      <c r="DH301" s="109"/>
      <c r="DI301" s="109"/>
      <c r="DJ301" s="109"/>
      <c r="DK301" s="109"/>
      <c r="DL301" s="109"/>
      <c r="DM301" s="109"/>
      <c r="DN301" s="109"/>
      <c r="DO301" s="109"/>
      <c r="DP301" s="109"/>
      <c r="DQ301" s="109"/>
      <c r="DR301" s="109"/>
      <c r="DS301" s="115">
        <f>+MEDIAN(BU301,CA301)</f>
        <v>7571.43</v>
      </c>
      <c r="DT301" s="115">
        <f>+AVERAGE(BU301,CA301)</f>
        <v>7571.43</v>
      </c>
      <c r="DU301" s="115">
        <f>+STDEV(BU301,CA301)</f>
        <v>606.08950642623756</v>
      </c>
      <c r="DV301" s="110">
        <f t="shared" si="61"/>
        <v>8.0049542348834699E-2</v>
      </c>
      <c r="DW301" s="373">
        <f t="shared" si="62"/>
        <v>7572</v>
      </c>
      <c r="DX301" s="329">
        <f t="shared" si="60"/>
        <v>53004</v>
      </c>
      <c r="DY301" s="107" t="s">
        <v>308</v>
      </c>
      <c r="DZ301" s="612"/>
      <c r="EA301" s="612"/>
      <c r="EB301" s="612"/>
    </row>
    <row r="302" spans="1:132" s="111" customFormat="1" ht="39" hidden="1" x14ac:dyDescent="0.3">
      <c r="A302" s="19">
        <v>112</v>
      </c>
      <c r="B302" s="106" t="s">
        <v>55</v>
      </c>
      <c r="C302" s="106" t="s">
        <v>194</v>
      </c>
      <c r="D302" s="106" t="s">
        <v>519</v>
      </c>
      <c r="E302" s="107" t="s">
        <v>62</v>
      </c>
      <c r="F302" s="106" t="s">
        <v>19</v>
      </c>
      <c r="G302" s="108">
        <v>7</v>
      </c>
      <c r="H302" s="108">
        <v>1</v>
      </c>
      <c r="I302" s="244"/>
      <c r="J302" s="244"/>
      <c r="K302" s="244"/>
      <c r="L302" s="244"/>
      <c r="M302" s="244"/>
      <c r="N302" s="244"/>
      <c r="O302" s="294"/>
      <c r="P302" s="295"/>
      <c r="Q302" s="109"/>
      <c r="R302" s="109"/>
      <c r="S302" s="109"/>
      <c r="T302" s="109"/>
      <c r="U302" s="109"/>
      <c r="V302" s="109"/>
      <c r="W302" s="109"/>
      <c r="X302" s="109"/>
      <c r="Y302" s="109"/>
      <c r="Z302" s="109"/>
      <c r="AA302" s="109"/>
      <c r="AB302" s="109"/>
      <c r="AC302" s="109"/>
      <c r="AD302" s="109"/>
      <c r="AE302" s="109"/>
      <c r="AF302" s="109"/>
      <c r="AG302" s="296"/>
      <c r="AH302" s="109"/>
      <c r="AI302" s="109"/>
      <c r="AJ302" s="109"/>
      <c r="AK302" s="109"/>
      <c r="AL302" s="109"/>
      <c r="AM302" s="109"/>
      <c r="AN302" s="109"/>
      <c r="AO302" s="109"/>
      <c r="AP302" s="109"/>
      <c r="AQ302" s="109"/>
      <c r="AR302" s="109"/>
      <c r="AS302" s="109"/>
      <c r="AT302" s="109"/>
      <c r="AU302" s="109"/>
      <c r="AV302" s="109"/>
      <c r="AW302" s="109"/>
      <c r="AX302" s="109"/>
      <c r="AY302" s="109"/>
      <c r="AZ302" s="109"/>
      <c r="BA302" s="109"/>
      <c r="BB302" s="109"/>
      <c r="BC302" s="109"/>
      <c r="BD302" s="109"/>
      <c r="BE302" s="109"/>
      <c r="BF302" s="109"/>
      <c r="BG302" s="109"/>
      <c r="BH302" s="109"/>
      <c r="BI302" s="109"/>
      <c r="BJ302" s="109"/>
      <c r="BK302" s="296"/>
      <c r="BL302" s="109"/>
      <c r="BM302" s="296"/>
      <c r="BN302" s="109"/>
      <c r="BO302" s="109"/>
      <c r="BP302" s="109"/>
      <c r="BQ302" s="109"/>
      <c r="BR302" s="109"/>
      <c r="BS302" s="109"/>
      <c r="BT302" s="109"/>
      <c r="BU302" s="301">
        <v>4500</v>
      </c>
      <c r="BV302" s="109">
        <f>BU302*G302</f>
        <v>31500</v>
      </c>
      <c r="BW302" s="109"/>
      <c r="BX302" s="109"/>
      <c r="BY302" s="109"/>
      <c r="BZ302" s="109"/>
      <c r="CA302" s="301">
        <v>3781.51</v>
      </c>
      <c r="CB302" s="109">
        <f>CA302*G302</f>
        <v>26470.57</v>
      </c>
      <c r="CC302" s="301">
        <v>4000</v>
      </c>
      <c r="CD302" s="109">
        <f>CC302*G301</f>
        <v>28000</v>
      </c>
      <c r="CE302" s="109"/>
      <c r="CF302" s="109"/>
      <c r="CG302" s="109"/>
      <c r="CH302" s="109"/>
      <c r="CI302" s="109"/>
      <c r="CJ302" s="109"/>
      <c r="CK302" s="109"/>
      <c r="CL302" s="109"/>
      <c r="CM302" s="109"/>
      <c r="CN302" s="109"/>
      <c r="CO302" s="109"/>
      <c r="CP302" s="109"/>
      <c r="CQ302" s="109"/>
      <c r="CR302" s="109"/>
      <c r="CS302" s="109"/>
      <c r="CT302" s="109"/>
      <c r="CU302" s="109"/>
      <c r="CV302" s="109"/>
      <c r="CW302" s="109"/>
      <c r="CX302" s="109"/>
      <c r="CY302" s="109"/>
      <c r="CZ302" s="109"/>
      <c r="DA302" s="109"/>
      <c r="DB302" s="109"/>
      <c r="DC302" s="109"/>
      <c r="DD302" s="109"/>
      <c r="DE302" s="109"/>
      <c r="DF302" s="109"/>
      <c r="DG302" s="109"/>
      <c r="DH302" s="109"/>
      <c r="DI302" s="109"/>
      <c r="DJ302" s="109"/>
      <c r="DK302" s="109"/>
      <c r="DL302" s="109"/>
      <c r="DM302" s="109"/>
      <c r="DN302" s="109"/>
      <c r="DO302" s="109"/>
      <c r="DP302" s="109"/>
      <c r="DQ302" s="109"/>
      <c r="DR302" s="109"/>
      <c r="DS302" s="115">
        <f>+MEDIAN(BU302,CA302,CC302)</f>
        <v>4000</v>
      </c>
      <c r="DT302" s="115">
        <f>+AVERAGE(BU302,CA302,CC302)</f>
        <v>4093.8366666666666</v>
      </c>
      <c r="DU302" s="115">
        <f>+STDEV(BU302,CA302,CC302)</f>
        <v>368.32181585311133</v>
      </c>
      <c r="DV302" s="110">
        <f t="shared" si="61"/>
        <v>8.9969836572158804E-2</v>
      </c>
      <c r="DW302" s="373">
        <f t="shared" si="62"/>
        <v>4094</v>
      </c>
      <c r="DX302" s="329">
        <f t="shared" si="60"/>
        <v>28658</v>
      </c>
      <c r="DY302" s="107" t="s">
        <v>308</v>
      </c>
      <c r="DZ302" s="612"/>
      <c r="EA302" s="612"/>
      <c r="EB302" s="612"/>
    </row>
    <row r="303" spans="1:132" s="111" customFormat="1" ht="39" hidden="1" x14ac:dyDescent="0.3">
      <c r="A303" s="19">
        <v>113</v>
      </c>
      <c r="B303" s="106" t="s">
        <v>55</v>
      </c>
      <c r="C303" s="106" t="s">
        <v>194</v>
      </c>
      <c r="D303" s="106" t="s">
        <v>507</v>
      </c>
      <c r="E303" s="107" t="s">
        <v>63</v>
      </c>
      <c r="F303" s="106" t="s">
        <v>19</v>
      </c>
      <c r="G303" s="108">
        <v>24</v>
      </c>
      <c r="H303" s="108">
        <v>1</v>
      </c>
      <c r="I303" s="244"/>
      <c r="J303" s="244"/>
      <c r="K303" s="244"/>
      <c r="L303" s="244"/>
      <c r="M303" s="244"/>
      <c r="N303" s="244"/>
      <c r="O303" s="294"/>
      <c r="P303" s="295"/>
      <c r="Q303" s="109"/>
      <c r="R303" s="109"/>
      <c r="S303" s="109"/>
      <c r="T303" s="109"/>
      <c r="U303" s="109"/>
      <c r="V303" s="109"/>
      <c r="W303" s="109"/>
      <c r="X303" s="109"/>
      <c r="Y303" s="109"/>
      <c r="Z303" s="109"/>
      <c r="AA303" s="109"/>
      <c r="AB303" s="109"/>
      <c r="AC303" s="109"/>
      <c r="AD303" s="109"/>
      <c r="AE303" s="109"/>
      <c r="AF303" s="109"/>
      <c r="AG303" s="296"/>
      <c r="AH303" s="109"/>
      <c r="AI303" s="109"/>
      <c r="AJ303" s="109"/>
      <c r="AK303" s="109"/>
      <c r="AL303" s="109"/>
      <c r="AM303" s="109"/>
      <c r="AN303" s="109"/>
      <c r="AO303" s="109"/>
      <c r="AP303" s="109"/>
      <c r="AQ303" s="109"/>
      <c r="AR303" s="109"/>
      <c r="AS303" s="109"/>
      <c r="AT303" s="109"/>
      <c r="AU303" s="109"/>
      <c r="AV303" s="109"/>
      <c r="AW303" s="109"/>
      <c r="AX303" s="109"/>
      <c r="AY303" s="109"/>
      <c r="AZ303" s="109"/>
      <c r="BA303" s="109"/>
      <c r="BB303" s="109"/>
      <c r="BC303" s="109"/>
      <c r="BD303" s="109"/>
      <c r="BE303" s="109"/>
      <c r="BF303" s="109"/>
      <c r="BG303" s="109"/>
      <c r="BH303" s="109"/>
      <c r="BI303" s="109"/>
      <c r="BJ303" s="109"/>
      <c r="BK303" s="296"/>
      <c r="BL303" s="109"/>
      <c r="BM303" s="296"/>
      <c r="BN303" s="109"/>
      <c r="BO303" s="109"/>
      <c r="BP303" s="109"/>
      <c r="BQ303" s="109"/>
      <c r="BR303" s="109"/>
      <c r="BS303" s="109"/>
      <c r="BT303" s="109"/>
      <c r="BU303" s="301"/>
      <c r="BV303" s="109"/>
      <c r="BW303" s="109"/>
      <c r="BX303" s="109"/>
      <c r="BY303" s="109"/>
      <c r="BZ303" s="109"/>
      <c r="CA303" s="301"/>
      <c r="CB303" s="109"/>
      <c r="CC303" s="301"/>
      <c r="CD303" s="109"/>
      <c r="CE303" s="109"/>
      <c r="CF303" s="109"/>
      <c r="CG303" s="109"/>
      <c r="CH303" s="109"/>
      <c r="CI303" s="109"/>
      <c r="CJ303" s="109"/>
      <c r="CK303" s="109"/>
      <c r="CL303" s="109"/>
      <c r="CM303" s="109"/>
      <c r="CN303" s="109"/>
      <c r="CO303" s="298">
        <v>40000</v>
      </c>
      <c r="CP303" s="109">
        <f>CO303*G303</f>
        <v>960000</v>
      </c>
      <c r="CQ303" s="297">
        <v>45000</v>
      </c>
      <c r="CR303" s="109">
        <f>CQ303*G303</f>
        <v>1080000</v>
      </c>
      <c r="CS303" s="298"/>
      <c r="CT303" s="109"/>
      <c r="CU303" s="297">
        <v>45000</v>
      </c>
      <c r="CV303" s="109">
        <f>CU303*G303</f>
        <v>1080000</v>
      </c>
      <c r="CW303" s="299"/>
      <c r="CX303" s="109"/>
      <c r="CY303" s="299"/>
      <c r="CZ303" s="109"/>
      <c r="DA303" s="109"/>
      <c r="DB303" s="109"/>
      <c r="DC303" s="299"/>
      <c r="DD303" s="109"/>
      <c r="DE303" s="109"/>
      <c r="DF303" s="109"/>
      <c r="DG303" s="109"/>
      <c r="DH303" s="109"/>
      <c r="DI303" s="109"/>
      <c r="DJ303" s="109"/>
      <c r="DK303" s="109"/>
      <c r="DL303" s="109"/>
      <c r="DM303" s="109"/>
      <c r="DN303" s="109"/>
      <c r="DO303" s="109"/>
      <c r="DP303" s="109"/>
      <c r="DQ303" s="109"/>
      <c r="DR303" s="109"/>
      <c r="DS303" s="115">
        <f>+MEDIAN(CO303,CQ303,CU303)</f>
        <v>45000</v>
      </c>
      <c r="DT303" s="115">
        <f>+AVERAGE(CO303,CQ303,CU303)</f>
        <v>43333.333333333336</v>
      </c>
      <c r="DU303" s="115">
        <f>+STDEV(CO303,CQ303,CU303)</f>
        <v>2886.7513459481288</v>
      </c>
      <c r="DV303" s="110">
        <f t="shared" si="61"/>
        <v>6.6617338752649122E-2</v>
      </c>
      <c r="DW303" s="373">
        <f t="shared" si="62"/>
        <v>43334</v>
      </c>
      <c r="DX303" s="329">
        <f t="shared" si="60"/>
        <v>1040016</v>
      </c>
      <c r="DY303" s="107" t="s">
        <v>328</v>
      </c>
      <c r="DZ303" s="612"/>
      <c r="EA303" s="612"/>
      <c r="EB303" s="612"/>
    </row>
    <row r="304" spans="1:132" s="111" customFormat="1" ht="39" hidden="1" x14ac:dyDescent="0.3">
      <c r="A304" s="19">
        <v>114</v>
      </c>
      <c r="B304" s="106" t="s">
        <v>55</v>
      </c>
      <c r="C304" s="106" t="s">
        <v>194</v>
      </c>
      <c r="D304" s="106" t="s">
        <v>493</v>
      </c>
      <c r="E304" s="107" t="s">
        <v>160</v>
      </c>
      <c r="F304" s="112" t="s">
        <v>273</v>
      </c>
      <c r="G304" s="108">
        <v>4</v>
      </c>
      <c r="H304" s="108">
        <v>1</v>
      </c>
      <c r="I304" s="244"/>
      <c r="J304" s="244"/>
      <c r="K304" s="244"/>
      <c r="L304" s="244"/>
      <c r="M304" s="244"/>
      <c r="N304" s="244"/>
      <c r="O304" s="109">
        <v>2941</v>
      </c>
      <c r="P304" s="295">
        <f>O304*G304</f>
        <v>11764</v>
      </c>
      <c r="Q304" s="109">
        <v>3100</v>
      </c>
      <c r="R304" s="109">
        <f>Q304*G304</f>
        <v>12400</v>
      </c>
      <c r="S304" s="109"/>
      <c r="T304" s="109"/>
      <c r="U304" s="109"/>
      <c r="V304" s="109"/>
      <c r="W304" s="109"/>
      <c r="X304" s="109"/>
      <c r="Y304" s="109"/>
      <c r="Z304" s="109"/>
      <c r="AA304" s="109"/>
      <c r="AB304" s="109"/>
      <c r="AC304" s="109"/>
      <c r="AD304" s="109"/>
      <c r="AE304" s="109"/>
      <c r="AF304" s="109"/>
      <c r="AG304" s="296"/>
      <c r="AH304" s="109"/>
      <c r="AI304" s="109"/>
      <c r="AJ304" s="109"/>
      <c r="AK304" s="109"/>
      <c r="AL304" s="109"/>
      <c r="AM304" s="109"/>
      <c r="AN304" s="109"/>
      <c r="AO304" s="109"/>
      <c r="AP304" s="109"/>
      <c r="AQ304" s="109"/>
      <c r="AR304" s="109"/>
      <c r="AS304" s="109"/>
      <c r="AT304" s="109"/>
      <c r="AU304" s="109"/>
      <c r="AV304" s="109"/>
      <c r="AW304" s="109"/>
      <c r="AX304" s="109"/>
      <c r="AY304" s="109"/>
      <c r="AZ304" s="109"/>
      <c r="BA304" s="109"/>
      <c r="BB304" s="109"/>
      <c r="BC304" s="109"/>
      <c r="BD304" s="109"/>
      <c r="BE304" s="109"/>
      <c r="BF304" s="109"/>
      <c r="BG304" s="109"/>
      <c r="BH304" s="109"/>
      <c r="BI304" s="109"/>
      <c r="BJ304" s="109"/>
      <c r="BK304" s="296"/>
      <c r="BL304" s="109"/>
      <c r="BM304" s="296"/>
      <c r="BN304" s="109"/>
      <c r="BO304" s="109"/>
      <c r="BP304" s="109"/>
      <c r="BQ304" s="109"/>
      <c r="BR304" s="109"/>
      <c r="BS304" s="109"/>
      <c r="BT304" s="109"/>
      <c r="BU304" s="109"/>
      <c r="BV304" s="109"/>
      <c r="BW304" s="109"/>
      <c r="BX304" s="109"/>
      <c r="BY304" s="109"/>
      <c r="BZ304" s="109"/>
      <c r="CA304" s="109"/>
      <c r="CB304" s="109"/>
      <c r="CC304" s="109"/>
      <c r="CD304" s="109"/>
      <c r="CE304" s="109"/>
      <c r="CF304" s="109"/>
      <c r="CG304" s="109"/>
      <c r="CH304" s="109"/>
      <c r="CI304" s="109"/>
      <c r="CJ304" s="109"/>
      <c r="CK304" s="109"/>
      <c r="CL304" s="109"/>
      <c r="CM304" s="109"/>
      <c r="CN304" s="109"/>
      <c r="CO304" s="109"/>
      <c r="CP304" s="109"/>
      <c r="CQ304" s="109"/>
      <c r="CR304" s="109"/>
      <c r="CS304" s="109"/>
      <c r="CT304" s="109"/>
      <c r="CU304" s="109"/>
      <c r="CV304" s="109"/>
      <c r="CW304" s="109"/>
      <c r="CX304" s="109"/>
      <c r="CY304" s="109"/>
      <c r="CZ304" s="109"/>
      <c r="DA304" s="109"/>
      <c r="DB304" s="109"/>
      <c r="DC304" s="109"/>
      <c r="DD304" s="109"/>
      <c r="DE304" s="109"/>
      <c r="DF304" s="109"/>
      <c r="DG304" s="109"/>
      <c r="DH304" s="109"/>
      <c r="DI304" s="109"/>
      <c r="DJ304" s="109"/>
      <c r="DK304" s="109"/>
      <c r="DL304" s="109"/>
      <c r="DM304" s="109"/>
      <c r="DN304" s="109"/>
      <c r="DO304" s="109"/>
      <c r="DP304" s="109"/>
      <c r="DQ304" s="109"/>
      <c r="DR304" s="109"/>
      <c r="DS304" s="115">
        <f>+MEDIAN(O304,Q304)</f>
        <v>3020.5</v>
      </c>
      <c r="DT304" s="115">
        <f>+AVERAGE(O304,Q304)</f>
        <v>3020.5</v>
      </c>
      <c r="DU304" s="115">
        <f>+STDEV(O304,Q304)</f>
        <v>112.42997820866105</v>
      </c>
      <c r="DV304" s="110">
        <f t="shared" si="61"/>
        <v>3.7222306971912283E-2</v>
      </c>
      <c r="DW304" s="373">
        <f t="shared" si="62"/>
        <v>3021</v>
      </c>
      <c r="DX304" s="329">
        <f t="shared" si="60"/>
        <v>12084</v>
      </c>
      <c r="DY304" s="107" t="s">
        <v>308</v>
      </c>
      <c r="DZ304" s="612"/>
      <c r="EA304" s="612"/>
      <c r="EB304" s="612"/>
    </row>
    <row r="305" spans="1:132" s="111" customFormat="1" ht="78" hidden="1" x14ac:dyDescent="0.3">
      <c r="A305" s="19">
        <v>115</v>
      </c>
      <c r="B305" s="106" t="s">
        <v>55</v>
      </c>
      <c r="C305" s="106" t="s">
        <v>194</v>
      </c>
      <c r="D305" s="38" t="s">
        <v>464</v>
      </c>
      <c r="E305" s="107" t="s">
        <v>39</v>
      </c>
      <c r="F305" s="106" t="s">
        <v>19</v>
      </c>
      <c r="G305" s="108">
        <v>23</v>
      </c>
      <c r="H305" s="108">
        <v>1</v>
      </c>
      <c r="I305" s="244"/>
      <c r="J305" s="244"/>
      <c r="K305" s="244"/>
      <c r="L305" s="244"/>
      <c r="M305" s="244"/>
      <c r="N305" s="244"/>
      <c r="O305" s="294"/>
      <c r="P305" s="295"/>
      <c r="Q305" s="109"/>
      <c r="R305" s="109"/>
      <c r="S305" s="109"/>
      <c r="T305" s="109"/>
      <c r="U305" s="109"/>
      <c r="V305" s="109"/>
      <c r="W305" s="109"/>
      <c r="X305" s="109"/>
      <c r="Y305" s="109"/>
      <c r="Z305" s="109"/>
      <c r="AA305" s="109"/>
      <c r="AB305" s="109"/>
      <c r="AC305" s="109"/>
      <c r="AD305" s="109"/>
      <c r="AE305" s="109"/>
      <c r="AF305" s="109"/>
      <c r="AG305" s="296"/>
      <c r="AH305" s="109"/>
      <c r="AI305" s="109"/>
      <c r="AJ305" s="109"/>
      <c r="AK305" s="109"/>
      <c r="AL305" s="109"/>
      <c r="AM305" s="109"/>
      <c r="AN305" s="109"/>
      <c r="AO305" s="109"/>
      <c r="AP305" s="109"/>
      <c r="AQ305" s="109"/>
      <c r="AR305" s="109"/>
      <c r="AS305" s="109"/>
      <c r="AT305" s="109"/>
      <c r="AU305" s="109"/>
      <c r="AV305" s="109"/>
      <c r="AW305" s="109"/>
      <c r="AX305" s="109"/>
      <c r="AY305" s="109"/>
      <c r="AZ305" s="109"/>
      <c r="BA305" s="109"/>
      <c r="BB305" s="109"/>
      <c r="BC305" s="109"/>
      <c r="BD305" s="109"/>
      <c r="BE305" s="109"/>
      <c r="BF305" s="109"/>
      <c r="BG305" s="109"/>
      <c r="BH305" s="109"/>
      <c r="BI305" s="109"/>
      <c r="BJ305" s="109"/>
      <c r="BK305" s="296"/>
      <c r="BL305" s="109"/>
      <c r="BM305" s="296"/>
      <c r="BN305" s="109"/>
      <c r="BO305" s="109"/>
      <c r="BP305" s="109"/>
      <c r="BQ305" s="109"/>
      <c r="BR305" s="109"/>
      <c r="BS305" s="109"/>
      <c r="BT305" s="109"/>
      <c r="BU305" s="301">
        <v>11000</v>
      </c>
      <c r="BV305" s="109">
        <f>BU305*G308</f>
        <v>77000</v>
      </c>
      <c r="BW305" s="109"/>
      <c r="BX305" s="109"/>
      <c r="BY305" s="301">
        <v>10000</v>
      </c>
      <c r="BZ305" s="109">
        <f>BY305*G305</f>
        <v>230000</v>
      </c>
      <c r="CA305" s="109"/>
      <c r="CB305" s="109"/>
      <c r="CC305" s="301">
        <v>8000</v>
      </c>
      <c r="CD305" s="109">
        <f>CC305*G308</f>
        <v>56000</v>
      </c>
      <c r="CE305" s="109"/>
      <c r="CF305" s="109"/>
      <c r="CG305" s="109"/>
      <c r="CH305" s="109"/>
      <c r="CI305" s="109"/>
      <c r="CJ305" s="109"/>
      <c r="CK305" s="109"/>
      <c r="CL305" s="109"/>
      <c r="CM305" s="109"/>
      <c r="CN305" s="109"/>
      <c r="CO305" s="109"/>
      <c r="CP305" s="109"/>
      <c r="CQ305" s="109"/>
      <c r="CR305" s="109"/>
      <c r="CS305" s="109"/>
      <c r="CT305" s="109"/>
      <c r="CU305" s="109"/>
      <c r="CV305" s="109"/>
      <c r="CW305" s="109"/>
      <c r="CX305" s="109"/>
      <c r="CY305" s="109"/>
      <c r="CZ305" s="109"/>
      <c r="DA305" s="109"/>
      <c r="DB305" s="109"/>
      <c r="DC305" s="109"/>
      <c r="DD305" s="109"/>
      <c r="DE305" s="109"/>
      <c r="DF305" s="109"/>
      <c r="DG305" s="109"/>
      <c r="DH305" s="109"/>
      <c r="DI305" s="109"/>
      <c r="DJ305" s="109"/>
      <c r="DK305" s="109"/>
      <c r="DL305" s="109"/>
      <c r="DM305" s="109"/>
      <c r="DN305" s="109"/>
      <c r="DO305" s="109"/>
      <c r="DP305" s="109"/>
      <c r="DQ305" s="109"/>
      <c r="DR305" s="109"/>
      <c r="DS305" s="115">
        <f>+MEDIAN(BU305,BY305,CC305)</f>
        <v>10000</v>
      </c>
      <c r="DT305" s="115">
        <f>+AVERAGE(BU305,BY305,CC305)</f>
        <v>9666.6666666666661</v>
      </c>
      <c r="DU305" s="115">
        <f>+STDEV(BU305,BY305,CC305)</f>
        <v>1527.52523165195</v>
      </c>
      <c r="DV305" s="110">
        <f t="shared" si="61"/>
        <v>0.15801985155020173</v>
      </c>
      <c r="DW305" s="373">
        <f t="shared" si="62"/>
        <v>10000</v>
      </c>
      <c r="DX305" s="329">
        <f t="shared" si="60"/>
        <v>230000</v>
      </c>
      <c r="DY305" s="107" t="s">
        <v>309</v>
      </c>
      <c r="DZ305" s="612"/>
      <c r="EA305" s="612"/>
      <c r="EB305" s="612"/>
    </row>
    <row r="306" spans="1:132" ht="28.5" hidden="1" customHeight="1" x14ac:dyDescent="0.3">
      <c r="A306" s="19">
        <v>116</v>
      </c>
      <c r="B306" s="9" t="s">
        <v>55</v>
      </c>
      <c r="C306" s="9" t="s">
        <v>194</v>
      </c>
      <c r="D306" s="9" t="s">
        <v>410</v>
      </c>
      <c r="E306" s="10" t="s">
        <v>1175</v>
      </c>
      <c r="F306" s="9" t="s">
        <v>64</v>
      </c>
      <c r="G306" s="11">
        <v>1</v>
      </c>
      <c r="H306" s="11">
        <v>4</v>
      </c>
      <c r="I306" s="340"/>
      <c r="J306" s="340"/>
      <c r="K306" s="340"/>
      <c r="L306" s="340"/>
      <c r="M306" s="340"/>
      <c r="N306" s="340"/>
      <c r="O306" s="341"/>
      <c r="P306" s="342"/>
      <c r="Q306" s="25"/>
      <c r="R306" s="25"/>
      <c r="S306" s="25"/>
      <c r="T306" s="25"/>
      <c r="U306" s="25"/>
      <c r="V306" s="25"/>
      <c r="W306" s="25"/>
      <c r="X306" s="25"/>
      <c r="Y306" s="25"/>
      <c r="Z306" s="25"/>
      <c r="AA306" s="25"/>
      <c r="AB306" s="25"/>
      <c r="AC306" s="25"/>
      <c r="AD306" s="25"/>
      <c r="AE306" s="25"/>
      <c r="AF306" s="25"/>
      <c r="AG306" s="343"/>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343"/>
      <c r="BL306" s="25"/>
      <c r="BM306" s="343"/>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341"/>
      <c r="CP306" s="25"/>
      <c r="CQ306" s="344">
        <v>400000</v>
      </c>
      <c r="CR306" s="25">
        <f>CQ306*G306</f>
        <v>400000</v>
      </c>
      <c r="CS306" s="28"/>
      <c r="CT306" s="25"/>
      <c r="CU306" s="344">
        <v>400000</v>
      </c>
      <c r="CV306" s="25">
        <f>CU306*G306</f>
        <v>400000</v>
      </c>
      <c r="CW306" s="352"/>
      <c r="CX306" s="25"/>
      <c r="CY306" s="352"/>
      <c r="CZ306" s="25"/>
      <c r="DA306" s="25"/>
      <c r="DB306" s="25"/>
      <c r="DC306" s="352"/>
      <c r="DD306" s="25"/>
      <c r="DE306" s="25"/>
      <c r="DF306" s="25"/>
      <c r="DG306" s="25"/>
      <c r="DH306" s="25"/>
      <c r="DI306" s="25"/>
      <c r="DJ306" s="25"/>
      <c r="DK306" s="25"/>
      <c r="DL306" s="25"/>
      <c r="DM306" s="25"/>
      <c r="DN306" s="25"/>
      <c r="DO306" s="25"/>
      <c r="DP306" s="25"/>
      <c r="DQ306" s="25"/>
      <c r="DR306" s="25"/>
      <c r="DS306" s="13">
        <f>+MEDIAN(CQ306,CU306)</f>
        <v>400000</v>
      </c>
      <c r="DT306" s="13">
        <f>+AVERAGE(CQ306,CU306)</f>
        <v>400000</v>
      </c>
      <c r="DU306" s="13">
        <f>+STDEV(CQ306,CU306)</f>
        <v>0</v>
      </c>
      <c r="DV306" s="17">
        <f t="shared" si="61"/>
        <v>0</v>
      </c>
      <c r="DW306" s="373">
        <f t="shared" si="62"/>
        <v>400000</v>
      </c>
      <c r="DX306" s="326">
        <f t="shared" si="60"/>
        <v>1600000</v>
      </c>
      <c r="DY306" s="10" t="s">
        <v>448</v>
      </c>
    </row>
    <row r="307" spans="1:132" ht="143" hidden="1" x14ac:dyDescent="0.3">
      <c r="A307" s="19">
        <v>117</v>
      </c>
      <c r="B307" s="9" t="s">
        <v>55</v>
      </c>
      <c r="C307" s="648" t="s">
        <v>194</v>
      </c>
      <c r="D307" s="9" t="s">
        <v>196</v>
      </c>
      <c r="E307" s="10" t="s">
        <v>1346</v>
      </c>
      <c r="F307" s="9" t="s">
        <v>22</v>
      </c>
      <c r="G307" s="11">
        <v>20</v>
      </c>
      <c r="H307" s="11">
        <v>1</v>
      </c>
      <c r="I307" s="649"/>
      <c r="J307" s="649"/>
      <c r="K307" s="649"/>
      <c r="L307" s="649"/>
      <c r="M307" s="649"/>
      <c r="N307" s="649"/>
      <c r="O307" s="650"/>
      <c r="P307" s="651"/>
      <c r="Q307" s="205"/>
      <c r="R307" s="205"/>
      <c r="S307" s="205"/>
      <c r="T307" s="205"/>
      <c r="U307" s="205"/>
      <c r="V307" s="205"/>
      <c r="W307" s="205"/>
      <c r="X307" s="205"/>
      <c r="Y307" s="205"/>
      <c r="Z307" s="205"/>
      <c r="AA307" s="205"/>
      <c r="AB307" s="205"/>
      <c r="AC307" s="205"/>
      <c r="AD307" s="205"/>
      <c r="AE307" s="205"/>
      <c r="AF307" s="205"/>
      <c r="AG307" s="206"/>
      <c r="AH307" s="205"/>
      <c r="AI307" s="205"/>
      <c r="AJ307" s="205"/>
      <c r="AK307" s="205"/>
      <c r="AL307" s="205"/>
      <c r="AM307" s="205"/>
      <c r="AN307" s="205"/>
      <c r="AO307" s="205"/>
      <c r="AP307" s="205"/>
      <c r="AQ307" s="205"/>
      <c r="AR307" s="205"/>
      <c r="AS307" s="205"/>
      <c r="AT307" s="205"/>
      <c r="AU307" s="205"/>
      <c r="AV307" s="205"/>
      <c r="AW307" s="205"/>
      <c r="AX307" s="205"/>
      <c r="AY307" s="205"/>
      <c r="AZ307" s="205"/>
      <c r="BA307" s="205"/>
      <c r="BB307" s="205"/>
      <c r="BC307" s="205"/>
      <c r="BD307" s="205"/>
      <c r="BE307" s="205"/>
      <c r="BF307" s="205"/>
      <c r="BG307" s="205"/>
      <c r="BH307" s="205"/>
      <c r="BI307" s="205"/>
      <c r="BJ307" s="205"/>
      <c r="BK307" s="206"/>
      <c r="BL307" s="205"/>
      <c r="BM307" s="206"/>
      <c r="BN307" s="205"/>
      <c r="BO307" s="205"/>
      <c r="BP307" s="205"/>
      <c r="BQ307" s="205"/>
      <c r="BR307" s="205"/>
      <c r="BS307" s="205"/>
      <c r="BT307" s="205"/>
      <c r="BU307" s="205"/>
      <c r="BV307" s="205"/>
      <c r="BW307" s="205"/>
      <c r="BX307" s="205"/>
      <c r="BY307" s="205"/>
      <c r="BZ307" s="205"/>
      <c r="CA307" s="205"/>
      <c r="CB307" s="205"/>
      <c r="CC307" s="205"/>
      <c r="CD307" s="205"/>
      <c r="CE307" s="205"/>
      <c r="CF307" s="205"/>
      <c r="CG307" s="205"/>
      <c r="CH307" s="205"/>
      <c r="CI307" s="205"/>
      <c r="CJ307" s="205"/>
      <c r="CK307" s="205"/>
      <c r="CL307" s="205"/>
      <c r="CM307" s="205"/>
      <c r="CN307" s="205"/>
      <c r="CO307" s="654">
        <v>70000</v>
      </c>
      <c r="CP307" s="205">
        <f>CO307*G307</f>
        <v>1400000</v>
      </c>
      <c r="CQ307" s="653">
        <v>65000</v>
      </c>
      <c r="CR307" s="205">
        <f>CQ307*G307</f>
        <v>1300000</v>
      </c>
      <c r="CS307" s="654"/>
      <c r="CT307" s="205"/>
      <c r="CU307" s="653">
        <v>65000</v>
      </c>
      <c r="CV307" s="205">
        <f>CU307*G307</f>
        <v>1300000</v>
      </c>
      <c r="CW307" s="658"/>
      <c r="CX307" s="205"/>
      <c r="CY307" s="658"/>
      <c r="CZ307" s="205"/>
      <c r="DA307" s="205"/>
      <c r="DB307" s="205"/>
      <c r="DC307" s="658"/>
      <c r="DD307" s="205"/>
      <c r="DE307" s="205"/>
      <c r="DF307" s="205"/>
      <c r="DG307" s="205"/>
      <c r="DH307" s="205"/>
      <c r="DI307" s="205"/>
      <c r="DJ307" s="205"/>
      <c r="DK307" s="205"/>
      <c r="DL307" s="205"/>
      <c r="DM307" s="205"/>
      <c r="DN307" s="205"/>
      <c r="DO307" s="205"/>
      <c r="DP307" s="205"/>
      <c r="DQ307" s="205"/>
      <c r="DR307" s="205"/>
      <c r="DS307" s="656">
        <f>+MEDIAN(CO307,CQ307,CU307)</f>
        <v>65000</v>
      </c>
      <c r="DT307" s="656">
        <f>+AVERAGE(CO307,CQ307,CU307)</f>
        <v>66666.666666666672</v>
      </c>
      <c r="DU307" s="656">
        <f>+STDEV(CO307,CQ307,CU307)</f>
        <v>2886.7513459481288</v>
      </c>
      <c r="DV307" s="657">
        <f t="shared" si="61"/>
        <v>4.3301270189221926E-2</v>
      </c>
      <c r="DW307" s="662">
        <f t="shared" si="62"/>
        <v>66667</v>
      </c>
      <c r="DX307" s="326">
        <f t="shared" si="60"/>
        <v>1333340</v>
      </c>
      <c r="DY307" s="10" t="s">
        <v>448</v>
      </c>
    </row>
    <row r="308" spans="1:132" ht="104" hidden="1" x14ac:dyDescent="0.3">
      <c r="A308" s="19">
        <v>118</v>
      </c>
      <c r="B308" s="9" t="s">
        <v>55</v>
      </c>
      <c r="C308" s="9" t="s">
        <v>194</v>
      </c>
      <c r="D308" s="9" t="s">
        <v>219</v>
      </c>
      <c r="E308" s="10" t="s">
        <v>185</v>
      </c>
      <c r="F308" s="20" t="s">
        <v>287</v>
      </c>
      <c r="G308" s="11">
        <v>7</v>
      </c>
      <c r="H308" s="11">
        <v>1</v>
      </c>
      <c r="I308" s="191"/>
      <c r="J308" s="191"/>
      <c r="K308" s="191"/>
      <c r="L308" s="191"/>
      <c r="M308" s="191"/>
      <c r="N308" s="191"/>
      <c r="O308" s="211"/>
      <c r="P308" s="212"/>
      <c r="Q308" s="32"/>
      <c r="R308" s="32"/>
      <c r="S308" s="32"/>
      <c r="T308" s="32"/>
      <c r="U308" s="32"/>
      <c r="V308" s="32"/>
      <c r="W308" s="32"/>
      <c r="X308" s="32"/>
      <c r="Y308" s="32"/>
      <c r="Z308" s="32"/>
      <c r="AA308" s="32"/>
      <c r="AB308" s="32"/>
      <c r="AC308" s="32"/>
      <c r="AD308" s="32"/>
      <c r="AE308" s="32"/>
      <c r="AF308" s="32"/>
      <c r="AG308" s="192"/>
      <c r="AH308" s="32"/>
      <c r="AI308" s="32"/>
      <c r="AJ308" s="32"/>
      <c r="AK308" s="32"/>
      <c r="AL308" s="32"/>
      <c r="AM308" s="32"/>
      <c r="AN308" s="32"/>
      <c r="AO308" s="32"/>
      <c r="AP308" s="32"/>
      <c r="AQ308" s="32"/>
      <c r="AR308" s="32"/>
      <c r="AS308" s="32"/>
      <c r="AT308" s="32"/>
      <c r="AU308" s="32"/>
      <c r="AV308" s="32"/>
      <c r="AW308" s="32"/>
      <c r="AX308" s="32"/>
      <c r="AY308" s="32"/>
      <c r="AZ308" s="32"/>
      <c r="BA308" s="32"/>
      <c r="BB308" s="32"/>
      <c r="BC308" s="32"/>
      <c r="BD308" s="32"/>
      <c r="BE308" s="32"/>
      <c r="BF308" s="32"/>
      <c r="BG308" s="32"/>
      <c r="BH308" s="32"/>
      <c r="BI308" s="32"/>
      <c r="BJ308" s="32"/>
      <c r="BK308" s="192"/>
      <c r="BL308" s="32"/>
      <c r="BM308" s="192"/>
      <c r="BN308" s="32"/>
      <c r="BO308" s="32"/>
      <c r="BP308" s="32"/>
      <c r="BQ308" s="32"/>
      <c r="BR308" s="32"/>
      <c r="BS308" s="32"/>
      <c r="BT308" s="32"/>
      <c r="BU308" s="32"/>
      <c r="BV308" s="32"/>
      <c r="BW308" s="32"/>
      <c r="BX308" s="32"/>
      <c r="BY308" s="32"/>
      <c r="BZ308" s="32"/>
      <c r="CA308" s="32"/>
      <c r="CB308" s="32"/>
      <c r="CC308" s="32"/>
      <c r="CD308" s="32"/>
      <c r="CE308" s="246">
        <v>700000</v>
      </c>
      <c r="CF308" s="32">
        <f>CE308*G308</f>
        <v>4900000</v>
      </c>
      <c r="CG308" s="32"/>
      <c r="CH308" s="32"/>
      <c r="CI308" s="246">
        <f>950000+(950000*5.2%)</f>
        <v>999400</v>
      </c>
      <c r="CJ308" s="32">
        <f>CI308*G308</f>
        <v>6995800</v>
      </c>
      <c r="CK308" s="32"/>
      <c r="CL308" s="32"/>
      <c r="CM308" s="32"/>
      <c r="CN308" s="32"/>
      <c r="CO308" s="32"/>
      <c r="CP308" s="32"/>
      <c r="CQ308" s="32"/>
      <c r="CR308" s="32"/>
      <c r="CS308" s="32"/>
      <c r="CT308" s="32"/>
      <c r="CU308" s="32"/>
      <c r="CV308" s="32"/>
      <c r="CW308" s="32"/>
      <c r="CX308" s="32"/>
      <c r="CY308" s="32"/>
      <c r="CZ308" s="32"/>
      <c r="DA308" s="32"/>
      <c r="DB308" s="32"/>
      <c r="DC308" s="32"/>
      <c r="DD308" s="32"/>
      <c r="DE308" s="32"/>
      <c r="DF308" s="32"/>
      <c r="DG308" s="32"/>
      <c r="DH308" s="32"/>
      <c r="DI308" s="32"/>
      <c r="DJ308" s="32"/>
      <c r="DK308" s="32"/>
      <c r="DL308" s="32"/>
      <c r="DM308" s="32"/>
      <c r="DN308" s="32"/>
      <c r="DO308" s="32"/>
      <c r="DP308" s="32"/>
      <c r="DQ308" s="32"/>
      <c r="DR308" s="32"/>
      <c r="DS308" s="265">
        <f>MEDIAN(CE308,CI308)</f>
        <v>849700</v>
      </c>
      <c r="DT308" s="265">
        <f>AVERAGE(CE308,CI308)</f>
        <v>849700</v>
      </c>
      <c r="DU308" s="265">
        <f>STDEV(CE308,CI308)</f>
        <v>211707.77028725232</v>
      </c>
      <c r="DV308" s="48">
        <f t="shared" si="61"/>
        <v>0.24915590242115138</v>
      </c>
      <c r="DW308" s="377">
        <f>ROUNDUP(IF(DV308&lt;15%,DT308,DS308),0)</f>
        <v>849700</v>
      </c>
      <c r="DX308" s="326">
        <f t="shared" si="60"/>
        <v>5947900</v>
      </c>
      <c r="DY308" s="10" t="s">
        <v>310</v>
      </c>
    </row>
    <row r="309" spans="1:132" ht="39" hidden="1" x14ac:dyDescent="0.3">
      <c r="A309" s="19">
        <v>119</v>
      </c>
      <c r="B309" s="9" t="s">
        <v>55</v>
      </c>
      <c r="C309" s="9" t="s">
        <v>194</v>
      </c>
      <c r="D309" s="26" t="s">
        <v>367</v>
      </c>
      <c r="E309" s="30" t="s">
        <v>266</v>
      </c>
      <c r="F309" s="34" t="s">
        <v>240</v>
      </c>
      <c r="G309" s="11">
        <v>2</v>
      </c>
      <c r="H309" s="11">
        <v>1</v>
      </c>
      <c r="I309" s="191"/>
      <c r="J309" s="191"/>
      <c r="K309" s="191"/>
      <c r="L309" s="191"/>
      <c r="M309" s="191"/>
      <c r="N309" s="191"/>
      <c r="O309" s="211"/>
      <c r="P309" s="212"/>
      <c r="Q309" s="32"/>
      <c r="R309" s="32"/>
      <c r="S309" s="32"/>
      <c r="T309" s="32"/>
      <c r="U309" s="32"/>
      <c r="V309" s="32"/>
      <c r="W309" s="32"/>
      <c r="X309" s="32"/>
      <c r="Y309" s="32">
        <f>108182+(108182*5.2%)</f>
        <v>113807.46400000001</v>
      </c>
      <c r="Z309" s="32">
        <f>Y309*G309</f>
        <v>227614.92800000001</v>
      </c>
      <c r="AA309" s="32"/>
      <c r="AB309" s="32"/>
      <c r="AC309" s="32">
        <f>100000+(100000*5.2%)</f>
        <v>105200</v>
      </c>
      <c r="AD309" s="32">
        <f>AC309*G309</f>
        <v>210400</v>
      </c>
      <c r="AE309" s="32"/>
      <c r="AF309" s="32"/>
      <c r="AG309" s="192"/>
      <c r="AH309" s="32"/>
      <c r="AI309" s="32"/>
      <c r="AJ309" s="32"/>
      <c r="AK309" s="32"/>
      <c r="AL309" s="32"/>
      <c r="AM309" s="32"/>
      <c r="AN309" s="32"/>
      <c r="AO309" s="32"/>
      <c r="AP309" s="32"/>
      <c r="AQ309" s="32"/>
      <c r="AR309" s="32"/>
      <c r="AS309" s="32"/>
      <c r="AT309" s="32"/>
      <c r="AU309" s="32"/>
      <c r="AV309" s="32"/>
      <c r="AW309" s="32"/>
      <c r="AX309" s="32"/>
      <c r="AY309" s="32"/>
      <c r="AZ309" s="32"/>
      <c r="BA309" s="32">
        <f>107000+(107000*5.2%)</f>
        <v>112564</v>
      </c>
      <c r="BB309" s="32">
        <f>BA309*G309</f>
        <v>225128</v>
      </c>
      <c r="BC309" s="32"/>
      <c r="BD309" s="32"/>
      <c r="BE309" s="32"/>
      <c r="BF309" s="32"/>
      <c r="BG309" s="32"/>
      <c r="BH309" s="32"/>
      <c r="BI309" s="32"/>
      <c r="BJ309" s="32"/>
      <c r="BK309" s="192"/>
      <c r="BL309" s="32"/>
      <c r="BM309" s="192"/>
      <c r="BN309" s="32"/>
      <c r="BO309" s="32"/>
      <c r="BP309" s="32"/>
      <c r="BQ309" s="32"/>
      <c r="BR309" s="32"/>
      <c r="BS309" s="32"/>
      <c r="BT309" s="32"/>
      <c r="BU309" s="32"/>
      <c r="BV309" s="32"/>
      <c r="BW309" s="32"/>
      <c r="BX309" s="32"/>
      <c r="BY309" s="32"/>
      <c r="BZ309" s="32"/>
      <c r="CA309" s="32"/>
      <c r="CB309" s="32"/>
      <c r="CC309" s="32"/>
      <c r="CD309" s="32"/>
      <c r="CE309" s="32"/>
      <c r="CF309" s="32"/>
      <c r="CG309" s="32"/>
      <c r="CH309" s="32"/>
      <c r="CI309" s="32"/>
      <c r="CJ309" s="32"/>
      <c r="CK309" s="32"/>
      <c r="CL309" s="32"/>
      <c r="CM309" s="32"/>
      <c r="CN309" s="32"/>
      <c r="CO309" s="32"/>
      <c r="CP309" s="32"/>
      <c r="CQ309" s="32"/>
      <c r="CR309" s="32"/>
      <c r="CS309" s="32"/>
      <c r="CT309" s="32"/>
      <c r="CU309" s="32"/>
      <c r="CV309" s="32"/>
      <c r="CW309" s="32"/>
      <c r="CX309" s="32"/>
      <c r="CY309" s="32"/>
      <c r="CZ309" s="32"/>
      <c r="DA309" s="32"/>
      <c r="DB309" s="32"/>
      <c r="DC309" s="32"/>
      <c r="DD309" s="32"/>
      <c r="DE309" s="32"/>
      <c r="DF309" s="32"/>
      <c r="DG309" s="32"/>
      <c r="DH309" s="32"/>
      <c r="DI309" s="32"/>
      <c r="DJ309" s="32"/>
      <c r="DK309" s="32"/>
      <c r="DL309" s="32"/>
      <c r="DM309" s="32"/>
      <c r="DN309" s="32"/>
      <c r="DO309" s="32"/>
      <c r="DP309" s="32"/>
      <c r="DQ309" s="32"/>
      <c r="DR309" s="32"/>
      <c r="DS309" s="13">
        <f>+MEDIAN(Y309,AC309,BA309)</f>
        <v>112564</v>
      </c>
      <c r="DT309" s="13">
        <f>+AVERAGE(Y309,AC309,BA309)</f>
        <v>110523.82133333334</v>
      </c>
      <c r="DU309" s="13">
        <f>+STDEV(Y309,AC309,BA309)</f>
        <v>4652.2957635736529</v>
      </c>
      <c r="DV309" s="17">
        <f t="shared" si="61"/>
        <v>4.2093149761286329E-2</v>
      </c>
      <c r="DW309" s="373">
        <f>+ROUNDUP(IF(DV309&lt;15%,DT309,DS309),0)</f>
        <v>110524</v>
      </c>
      <c r="DX309" s="326">
        <f t="shared" si="60"/>
        <v>221048</v>
      </c>
      <c r="DY309" s="10" t="s">
        <v>308</v>
      </c>
    </row>
    <row r="310" spans="1:132" ht="247" hidden="1" x14ac:dyDescent="0.3">
      <c r="A310" s="19">
        <v>120</v>
      </c>
      <c r="B310" s="9" t="s">
        <v>55</v>
      </c>
      <c r="C310" s="9" t="s">
        <v>194</v>
      </c>
      <c r="D310" s="26" t="s">
        <v>275</v>
      </c>
      <c r="E310" s="10" t="s">
        <v>195</v>
      </c>
      <c r="F310" s="9" t="s">
        <v>19</v>
      </c>
      <c r="G310" s="11">
        <v>250</v>
      </c>
      <c r="H310" s="11">
        <v>1</v>
      </c>
      <c r="I310" s="191"/>
      <c r="J310" s="191"/>
      <c r="K310" s="191"/>
      <c r="L310" s="191"/>
      <c r="M310" s="191"/>
      <c r="N310" s="191"/>
      <c r="O310" s="211"/>
      <c r="P310" s="212"/>
      <c r="Q310" s="32"/>
      <c r="R310" s="32"/>
      <c r="S310" s="32"/>
      <c r="T310" s="32"/>
      <c r="U310" s="32"/>
      <c r="V310" s="32"/>
      <c r="W310" s="32"/>
      <c r="X310" s="32"/>
      <c r="Y310" s="32"/>
      <c r="Z310" s="32"/>
      <c r="AA310" s="32"/>
      <c r="AB310" s="32"/>
      <c r="AC310" s="32"/>
      <c r="AD310" s="32"/>
      <c r="AE310" s="32"/>
      <c r="AF310" s="32"/>
      <c r="AG310" s="32"/>
      <c r="AH310" s="32"/>
      <c r="AI310" s="32"/>
      <c r="AJ310" s="32"/>
      <c r="AK310" s="32">
        <v>32000</v>
      </c>
      <c r="AL310" s="32">
        <f>AK310*G310</f>
        <v>8000000</v>
      </c>
      <c r="AM310" s="32">
        <f>25600+(25600*5.2%)</f>
        <v>26931.200000000001</v>
      </c>
      <c r="AN310" s="32">
        <f>AM310*G310</f>
        <v>6732800</v>
      </c>
      <c r="AO310" s="32"/>
      <c r="AP310" s="32"/>
      <c r="AQ310" s="32"/>
      <c r="AR310" s="32"/>
      <c r="AS310" s="32"/>
      <c r="AT310" s="32"/>
      <c r="AU310" s="32"/>
      <c r="AV310" s="32"/>
      <c r="AW310" s="32"/>
      <c r="AX310" s="32"/>
      <c r="AY310" s="32"/>
      <c r="AZ310" s="32"/>
      <c r="BA310" s="32"/>
      <c r="BB310" s="32"/>
      <c r="BC310" s="32"/>
      <c r="BD310" s="32"/>
      <c r="BE310" s="32"/>
      <c r="BF310" s="32"/>
      <c r="BG310" s="32"/>
      <c r="BH310" s="32"/>
      <c r="BI310" s="32"/>
      <c r="BJ310" s="32"/>
      <c r="BK310" s="192"/>
      <c r="BL310" s="32"/>
      <c r="BM310" s="192"/>
      <c r="BN310" s="32"/>
      <c r="BO310" s="32"/>
      <c r="BP310" s="32"/>
      <c r="BQ310" s="32"/>
      <c r="BR310" s="32"/>
      <c r="BS310" s="32"/>
      <c r="BT310" s="32"/>
      <c r="BU310" s="32"/>
      <c r="BV310" s="32"/>
      <c r="BW310" s="32"/>
      <c r="BX310" s="32"/>
      <c r="BY310" s="32"/>
      <c r="BZ310" s="32"/>
      <c r="CA310" s="32"/>
      <c r="CB310" s="32"/>
      <c r="CC310" s="32"/>
      <c r="CD310" s="32"/>
      <c r="CE310" s="32"/>
      <c r="CF310" s="32"/>
      <c r="CG310" s="32"/>
      <c r="CH310" s="32"/>
      <c r="CI310" s="32"/>
      <c r="CJ310" s="32"/>
      <c r="CK310" s="32"/>
      <c r="CL310" s="32"/>
      <c r="CM310" s="32"/>
      <c r="CN310" s="32"/>
      <c r="CO310" s="32"/>
      <c r="CP310" s="32"/>
      <c r="CQ310" s="32"/>
      <c r="CR310" s="32"/>
      <c r="CS310" s="32"/>
      <c r="CT310" s="32"/>
      <c r="CU310" s="32"/>
      <c r="CV310" s="32"/>
      <c r="CW310" s="32"/>
      <c r="CX310" s="32"/>
      <c r="CY310" s="32"/>
      <c r="CZ310" s="32"/>
      <c r="DA310" s="32"/>
      <c r="DB310" s="32"/>
      <c r="DC310" s="32"/>
      <c r="DD310" s="32"/>
      <c r="DE310" s="32"/>
      <c r="DF310" s="32"/>
      <c r="DG310" s="32"/>
      <c r="DH310" s="32"/>
      <c r="DI310" s="32"/>
      <c r="DJ310" s="32"/>
      <c r="DK310" s="32"/>
      <c r="DL310" s="32"/>
      <c r="DM310" s="32"/>
      <c r="DN310" s="32"/>
      <c r="DO310" s="32"/>
      <c r="DP310" s="32"/>
      <c r="DQ310" s="32"/>
      <c r="DR310" s="32"/>
      <c r="DS310" s="13">
        <f>+MEDIAN(AK310,AM310)</f>
        <v>29465.599999999999</v>
      </c>
      <c r="DT310" s="13">
        <f>+AVERAGE(AK310,AM310)</f>
        <v>29465.599999999999</v>
      </c>
      <c r="DU310" s="13">
        <f>+STDEV(AK310,AM310)</f>
        <v>3584.1828524783718</v>
      </c>
      <c r="DV310" s="17">
        <f t="shared" si="61"/>
        <v>0.12163956791914544</v>
      </c>
      <c r="DW310" s="373">
        <f>+ROUNDUP(IF(DV310&lt;15%,DT310,DS310),0)</f>
        <v>29466</v>
      </c>
      <c r="DX310" s="326">
        <f t="shared" si="60"/>
        <v>7366500</v>
      </c>
      <c r="DY310" s="10" t="s">
        <v>308</v>
      </c>
    </row>
    <row r="311" spans="1:132" ht="206" hidden="1" customHeight="1" x14ac:dyDescent="0.3">
      <c r="A311" s="133">
        <v>121</v>
      </c>
      <c r="B311" s="134" t="s">
        <v>55</v>
      </c>
      <c r="C311" s="134" t="s">
        <v>194</v>
      </c>
      <c r="D311" s="134" t="s">
        <v>222</v>
      </c>
      <c r="E311" s="132" t="s">
        <v>1166</v>
      </c>
      <c r="F311" s="134" t="s">
        <v>19</v>
      </c>
      <c r="G311" s="136">
        <v>250</v>
      </c>
      <c r="H311" s="136">
        <v>1</v>
      </c>
      <c r="I311" s="229"/>
      <c r="J311" s="229"/>
      <c r="K311" s="229"/>
      <c r="L311" s="229"/>
      <c r="M311" s="229"/>
      <c r="N311" s="229"/>
      <c r="O311" s="230"/>
      <c r="P311" s="231"/>
      <c r="Q311" s="150"/>
      <c r="R311" s="150"/>
      <c r="S311" s="150"/>
      <c r="T311" s="150"/>
      <c r="U311" s="150"/>
      <c r="V311" s="150"/>
      <c r="W311" s="150"/>
      <c r="X311" s="150"/>
      <c r="Y311" s="150"/>
      <c r="Z311" s="150"/>
      <c r="AA311" s="150"/>
      <c r="AB311" s="150"/>
      <c r="AC311" s="150"/>
      <c r="AD311" s="150"/>
      <c r="AE311" s="150"/>
      <c r="AF311" s="150"/>
      <c r="AG311" s="150"/>
      <c r="AH311" s="150"/>
      <c r="AI311" s="150"/>
      <c r="AJ311" s="150"/>
      <c r="AK311" s="150"/>
      <c r="AL311" s="150"/>
      <c r="AM311" s="150"/>
      <c r="AN311" s="150"/>
      <c r="AO311" s="150"/>
      <c r="AP311" s="150"/>
      <c r="AQ311" s="150"/>
      <c r="AR311" s="150"/>
      <c r="AS311" s="150"/>
      <c r="AT311" s="150"/>
      <c r="AU311" s="150"/>
      <c r="AV311" s="150"/>
      <c r="AW311" s="150"/>
      <c r="AX311" s="150"/>
      <c r="AY311" s="150"/>
      <c r="AZ311" s="150"/>
      <c r="BA311" s="150"/>
      <c r="BB311" s="150"/>
      <c r="BC311" s="150"/>
      <c r="BD311" s="150"/>
      <c r="BE311" s="150"/>
      <c r="BF311" s="150"/>
      <c r="BG311" s="150"/>
      <c r="BH311" s="150"/>
      <c r="BI311" s="150"/>
      <c r="BJ311" s="150"/>
      <c r="BK311" s="232"/>
      <c r="BL311" s="150"/>
      <c r="BM311" s="232"/>
      <c r="BN311" s="150"/>
      <c r="BO311" s="150"/>
      <c r="BP311" s="150"/>
      <c r="BQ311" s="150"/>
      <c r="BR311" s="150"/>
      <c r="BS311" s="150"/>
      <c r="BT311" s="150"/>
      <c r="BU311" s="150"/>
      <c r="BV311" s="150"/>
      <c r="BW311" s="150"/>
      <c r="BX311" s="150"/>
      <c r="BY311" s="150"/>
      <c r="BZ311" s="150"/>
      <c r="CA311" s="150"/>
      <c r="CB311" s="150"/>
      <c r="CC311" s="150"/>
      <c r="CD311" s="150"/>
      <c r="CE311" s="150"/>
      <c r="CF311" s="150"/>
      <c r="CG311" s="150"/>
      <c r="CH311" s="150"/>
      <c r="CI311" s="150"/>
      <c r="CJ311" s="150"/>
      <c r="CK311" s="150"/>
      <c r="CL311" s="150"/>
      <c r="CM311" s="150"/>
      <c r="CN311" s="150"/>
      <c r="CO311" s="150"/>
      <c r="CP311" s="150"/>
      <c r="CQ311" s="150"/>
      <c r="CR311" s="150"/>
      <c r="CS311" s="150"/>
      <c r="CT311" s="150"/>
      <c r="CU311" s="150"/>
      <c r="CV311" s="150"/>
      <c r="CW311" s="150"/>
      <c r="CX311" s="150"/>
      <c r="CY311" s="150"/>
      <c r="CZ311" s="150"/>
      <c r="DA311" s="150"/>
      <c r="DB311" s="150"/>
      <c r="DC311" s="150"/>
      <c r="DD311" s="150"/>
      <c r="DE311" s="150"/>
      <c r="DF311" s="150"/>
      <c r="DG311" s="150"/>
      <c r="DH311" s="150"/>
      <c r="DI311" s="150"/>
      <c r="DJ311" s="150"/>
      <c r="DK311" s="150"/>
      <c r="DL311" s="150"/>
      <c r="DM311" s="150"/>
      <c r="DN311" s="150"/>
      <c r="DO311" s="150"/>
      <c r="DP311" s="150"/>
      <c r="DQ311" s="150"/>
      <c r="DR311" s="150"/>
      <c r="DS311" s="232"/>
      <c r="DT311" s="232"/>
      <c r="DU311" s="232"/>
      <c r="DV311" s="137"/>
      <c r="DW311" s="327">
        <f>+DZ311+EB311</f>
        <v>176400</v>
      </c>
      <c r="DX311" s="332">
        <f t="shared" si="60"/>
        <v>44100000</v>
      </c>
      <c r="DY311" s="139" t="s">
        <v>1167</v>
      </c>
      <c r="DZ311" s="604">
        <v>140000</v>
      </c>
      <c r="EA311" s="604">
        <f>+DZ311*G311*H311</f>
        <v>35000000</v>
      </c>
      <c r="EB311" s="604">
        <f>+DZ311*26%</f>
        <v>36400</v>
      </c>
    </row>
    <row r="312" spans="1:132" ht="52" hidden="1" x14ac:dyDescent="0.3">
      <c r="A312" s="19">
        <v>122</v>
      </c>
      <c r="B312" s="9" t="s">
        <v>55</v>
      </c>
      <c r="C312" s="9" t="s">
        <v>194</v>
      </c>
      <c r="D312" s="9" t="s">
        <v>377</v>
      </c>
      <c r="E312" s="10" t="s">
        <v>197</v>
      </c>
      <c r="F312" s="35" t="s">
        <v>473</v>
      </c>
      <c r="G312" s="11">
        <v>1</v>
      </c>
      <c r="H312" s="11">
        <v>1</v>
      </c>
      <c r="I312" s="191"/>
      <c r="J312" s="191"/>
      <c r="K312" s="191"/>
      <c r="L312" s="191"/>
      <c r="M312" s="191"/>
      <c r="N312" s="191"/>
      <c r="O312" s="211"/>
      <c r="P312" s="212"/>
      <c r="Q312" s="32"/>
      <c r="R312" s="32"/>
      <c r="S312" s="32"/>
      <c r="T312" s="32"/>
      <c r="U312" s="32"/>
      <c r="V312" s="32"/>
      <c r="W312" s="32"/>
      <c r="X312" s="32"/>
      <c r="Y312" s="32"/>
      <c r="Z312" s="32"/>
      <c r="AA312" s="32">
        <v>1200000</v>
      </c>
      <c r="AB312" s="32">
        <f>AA312*G312</f>
        <v>1200000</v>
      </c>
      <c r="AC312" s="32"/>
      <c r="AD312" s="32"/>
      <c r="AE312" s="32"/>
      <c r="AF312" s="32"/>
      <c r="AG312" s="32">
        <v>1230000</v>
      </c>
      <c r="AH312" s="32">
        <f>AG312*G312</f>
        <v>1230000</v>
      </c>
      <c r="AI312" s="32"/>
      <c r="AJ312" s="32"/>
      <c r="AK312" s="32"/>
      <c r="AL312" s="32"/>
      <c r="AM312" s="32"/>
      <c r="AN312" s="32"/>
      <c r="AO312" s="32"/>
      <c r="AP312" s="32"/>
      <c r="AQ312" s="32"/>
      <c r="AR312" s="32"/>
      <c r="AS312" s="32"/>
      <c r="AT312" s="32"/>
      <c r="AU312" s="32"/>
      <c r="AV312" s="32"/>
      <c r="AW312" s="32"/>
      <c r="AX312" s="32"/>
      <c r="AY312" s="32"/>
      <c r="AZ312" s="32"/>
      <c r="BA312" s="32"/>
      <c r="BB312" s="32"/>
      <c r="BC312" s="32"/>
      <c r="BD312" s="32"/>
      <c r="BE312" s="32"/>
      <c r="BF312" s="32"/>
      <c r="BG312" s="32"/>
      <c r="BH312" s="32"/>
      <c r="BI312" s="32"/>
      <c r="BJ312" s="32"/>
      <c r="BK312" s="192"/>
      <c r="BL312" s="32"/>
      <c r="BM312" s="192"/>
      <c r="BN312" s="32"/>
      <c r="BO312" s="32"/>
      <c r="BP312" s="32"/>
      <c r="BQ312" s="32"/>
      <c r="BR312" s="32"/>
      <c r="BS312" s="32"/>
      <c r="BT312" s="32"/>
      <c r="BU312" s="32"/>
      <c r="BV312" s="32"/>
      <c r="BW312" s="32"/>
      <c r="BX312" s="32"/>
      <c r="BY312" s="32"/>
      <c r="BZ312" s="32"/>
      <c r="CA312" s="32"/>
      <c r="CB312" s="32"/>
      <c r="CC312" s="32"/>
      <c r="CD312" s="32"/>
      <c r="CE312" s="32"/>
      <c r="CF312" s="32"/>
      <c r="CG312" s="32"/>
      <c r="CH312" s="32"/>
      <c r="CI312" s="32"/>
      <c r="CJ312" s="32"/>
      <c r="CK312" s="32"/>
      <c r="CL312" s="32"/>
      <c r="CM312" s="32"/>
      <c r="CN312" s="32"/>
      <c r="CO312" s="32"/>
      <c r="CP312" s="32"/>
      <c r="CQ312" s="32"/>
      <c r="CR312" s="32"/>
      <c r="CS312" s="32"/>
      <c r="CT312" s="32"/>
      <c r="CU312" s="32"/>
      <c r="CV312" s="32"/>
      <c r="CW312" s="32"/>
      <c r="CX312" s="32"/>
      <c r="CY312" s="32"/>
      <c r="CZ312" s="32"/>
      <c r="DA312" s="32"/>
      <c r="DB312" s="32"/>
      <c r="DC312" s="32"/>
      <c r="DD312" s="32"/>
      <c r="DE312" s="32"/>
      <c r="DF312" s="32"/>
      <c r="DG312" s="32"/>
      <c r="DH312" s="32"/>
      <c r="DI312" s="32"/>
      <c r="DJ312" s="32"/>
      <c r="DK312" s="32"/>
      <c r="DL312" s="32"/>
      <c r="DM312" s="32"/>
      <c r="DN312" s="32"/>
      <c r="DO312" s="32"/>
      <c r="DP312" s="32"/>
      <c r="DQ312" s="32"/>
      <c r="DR312" s="32"/>
      <c r="DS312" s="13">
        <f>+MEDIAN(AA312,AG312)</f>
        <v>1215000</v>
      </c>
      <c r="DT312" s="13">
        <f>+AVERAGE(AA312,AG312)</f>
        <v>1215000</v>
      </c>
      <c r="DU312" s="13">
        <f>+STDEV(AA312,AG312)</f>
        <v>21213.203435596424</v>
      </c>
      <c r="DV312" s="17">
        <f t="shared" ref="DV312:DV318" si="63">DU312/DT312</f>
        <v>1.7459426695964134E-2</v>
      </c>
      <c r="DW312" s="373">
        <f t="shared" ref="DW312:DW318" si="64">+ROUNDUP(IF(DV312&lt;15%,DT312,DS312),0)</f>
        <v>1215000</v>
      </c>
      <c r="DX312" s="326">
        <f t="shared" si="60"/>
        <v>1215000</v>
      </c>
      <c r="DY312" s="10" t="s">
        <v>308</v>
      </c>
    </row>
    <row r="313" spans="1:132" ht="39" hidden="1" x14ac:dyDescent="0.3">
      <c r="A313" s="19">
        <v>123</v>
      </c>
      <c r="B313" s="9" t="s">
        <v>55</v>
      </c>
      <c r="C313" s="9" t="s">
        <v>194</v>
      </c>
      <c r="D313" s="9" t="s">
        <v>506</v>
      </c>
      <c r="E313" s="10" t="s">
        <v>1175</v>
      </c>
      <c r="F313" s="9" t="s">
        <v>64</v>
      </c>
      <c r="G313" s="11">
        <v>1</v>
      </c>
      <c r="H313" s="11">
        <v>3</v>
      </c>
      <c r="I313" s="340"/>
      <c r="J313" s="340"/>
      <c r="K313" s="340"/>
      <c r="L313" s="340"/>
      <c r="M313" s="340"/>
      <c r="N313" s="340"/>
      <c r="O313" s="341"/>
      <c r="P313" s="342"/>
      <c r="Q313" s="25"/>
      <c r="R313" s="25"/>
      <c r="S313" s="25"/>
      <c r="T313" s="25"/>
      <c r="U313" s="25"/>
      <c r="V313" s="25"/>
      <c r="W313" s="25"/>
      <c r="X313" s="25"/>
      <c r="Y313" s="25"/>
      <c r="Z313" s="25"/>
      <c r="AA313" s="25"/>
      <c r="AB313" s="25"/>
      <c r="AC313" s="25"/>
      <c r="AD313" s="25"/>
      <c r="AE313" s="25"/>
      <c r="AF313" s="25"/>
      <c r="AG313" s="351"/>
      <c r="AH313" s="25"/>
      <c r="AI313" s="25"/>
      <c r="AJ313" s="25"/>
      <c r="AK313" s="25"/>
      <c r="AL313" s="25"/>
      <c r="AM313" s="25"/>
      <c r="AN313" s="25"/>
      <c r="AO313" s="25"/>
      <c r="AP313" s="25"/>
      <c r="AQ313" s="25"/>
      <c r="AR313" s="25"/>
      <c r="AS313" s="25"/>
      <c r="AT313" s="25"/>
      <c r="AU313" s="25"/>
      <c r="AV313" s="25"/>
      <c r="AW313" s="25"/>
      <c r="AX313" s="25"/>
      <c r="AY313" s="25"/>
      <c r="AZ313" s="25"/>
      <c r="BA313" s="25"/>
      <c r="BB313" s="25"/>
      <c r="BC313" s="25"/>
      <c r="BD313" s="25"/>
      <c r="BE313" s="25"/>
      <c r="BF313" s="25"/>
      <c r="BG313" s="25"/>
      <c r="BH313" s="25"/>
      <c r="BI313" s="25"/>
      <c r="BJ313" s="25"/>
      <c r="BK313" s="343"/>
      <c r="BL313" s="25"/>
      <c r="BM313" s="343"/>
      <c r="BN313" s="25"/>
      <c r="BO313" s="25"/>
      <c r="BP313" s="25"/>
      <c r="BQ313" s="25"/>
      <c r="BR313" s="25"/>
      <c r="BS313" s="25"/>
      <c r="BT313" s="25"/>
      <c r="BU313" s="25"/>
      <c r="BV313" s="25"/>
      <c r="BW313" s="25"/>
      <c r="BX313" s="25"/>
      <c r="BY313" s="25"/>
      <c r="BZ313" s="25"/>
      <c r="CA313" s="25"/>
      <c r="CB313" s="25"/>
      <c r="CC313" s="25"/>
      <c r="CD313" s="25"/>
      <c r="CE313" s="25"/>
      <c r="CF313" s="25"/>
      <c r="CG313" s="25"/>
      <c r="CH313" s="25"/>
      <c r="CI313" s="25"/>
      <c r="CJ313" s="25"/>
      <c r="CK313" s="25"/>
      <c r="CL313" s="25"/>
      <c r="CM313" s="25"/>
      <c r="CN313" s="25"/>
      <c r="CO313" s="341"/>
      <c r="CP313" s="25"/>
      <c r="CQ313" s="25">
        <v>450000</v>
      </c>
      <c r="CR313" s="25">
        <f>CQ313*G313</f>
        <v>450000</v>
      </c>
      <c r="CS313" s="28">
        <v>500000</v>
      </c>
      <c r="CT313" s="25">
        <f>CS313*G313</f>
        <v>500000</v>
      </c>
      <c r="CU313" s="344">
        <v>450000</v>
      </c>
      <c r="CV313" s="25">
        <f>CU313*G313</f>
        <v>450000</v>
      </c>
      <c r="CW313" s="352"/>
      <c r="CX313" s="25"/>
      <c r="CY313" s="352"/>
      <c r="CZ313" s="25"/>
      <c r="DA313" s="25"/>
      <c r="DB313" s="25"/>
      <c r="DC313" s="352"/>
      <c r="DD313" s="25"/>
      <c r="DE313" s="25"/>
      <c r="DF313" s="25"/>
      <c r="DG313" s="25"/>
      <c r="DH313" s="25"/>
      <c r="DI313" s="25"/>
      <c r="DJ313" s="25"/>
      <c r="DK313" s="25"/>
      <c r="DL313" s="25"/>
      <c r="DM313" s="25"/>
      <c r="DN313" s="25"/>
      <c r="DO313" s="25"/>
      <c r="DP313" s="25"/>
      <c r="DQ313" s="25"/>
      <c r="DR313" s="25"/>
      <c r="DS313" s="13">
        <f>+MEDIAN(CQ313,CS313,CU313)</f>
        <v>450000</v>
      </c>
      <c r="DT313" s="13">
        <f>+AVERAGE(CQ313,CS313,CU313)</f>
        <v>466666.66666666669</v>
      </c>
      <c r="DU313" s="13">
        <f>+STDEV(CQ313,CS313,CU313)</f>
        <v>28867.513459481288</v>
      </c>
      <c r="DV313" s="17">
        <f t="shared" si="63"/>
        <v>6.1858957413174188E-2</v>
      </c>
      <c r="DW313" s="373">
        <f t="shared" si="64"/>
        <v>466667</v>
      </c>
      <c r="DX313" s="326">
        <f t="shared" si="60"/>
        <v>1400001</v>
      </c>
      <c r="DY313" s="10" t="s">
        <v>328</v>
      </c>
    </row>
    <row r="314" spans="1:132" ht="78" hidden="1" x14ac:dyDescent="0.3">
      <c r="A314" s="19">
        <v>124</v>
      </c>
      <c r="B314" s="9" t="s">
        <v>55</v>
      </c>
      <c r="C314" s="647" t="s">
        <v>194</v>
      </c>
      <c r="D314" s="9" t="s">
        <v>198</v>
      </c>
      <c r="E314" s="10" t="s">
        <v>1353</v>
      </c>
      <c r="F314" s="9" t="s">
        <v>20</v>
      </c>
      <c r="G314" s="11">
        <v>1</v>
      </c>
      <c r="H314" s="11">
        <v>1</v>
      </c>
      <c r="I314" s="649"/>
      <c r="J314" s="649"/>
      <c r="K314" s="649"/>
      <c r="L314" s="649"/>
      <c r="M314" s="649"/>
      <c r="N314" s="649"/>
      <c r="O314" s="650"/>
      <c r="P314" s="651"/>
      <c r="Q314" s="205"/>
      <c r="R314" s="205"/>
      <c r="S314" s="205"/>
      <c r="T314" s="205"/>
      <c r="U314" s="205"/>
      <c r="V314" s="205"/>
      <c r="W314" s="205"/>
      <c r="X314" s="205"/>
      <c r="Y314" s="205"/>
      <c r="Z314" s="205"/>
      <c r="AA314" s="205"/>
      <c r="AB314" s="205"/>
      <c r="AC314" s="205"/>
      <c r="AD314" s="205"/>
      <c r="AE314" s="205"/>
      <c r="AF314" s="205"/>
      <c r="AG314" s="660"/>
      <c r="AH314" s="205"/>
      <c r="AI314" s="205"/>
      <c r="AJ314" s="205"/>
      <c r="AK314" s="205"/>
      <c r="AL314" s="205"/>
      <c r="AM314" s="205"/>
      <c r="AN314" s="205"/>
      <c r="AO314" s="205"/>
      <c r="AP314" s="205"/>
      <c r="AQ314" s="205"/>
      <c r="AR314" s="205"/>
      <c r="AS314" s="205"/>
      <c r="AT314" s="205"/>
      <c r="AU314" s="205"/>
      <c r="AV314" s="205"/>
      <c r="AW314" s="205"/>
      <c r="AX314" s="205"/>
      <c r="AY314" s="205"/>
      <c r="AZ314" s="205"/>
      <c r="BA314" s="205"/>
      <c r="BB314" s="205"/>
      <c r="BC314" s="205"/>
      <c r="BD314" s="205"/>
      <c r="BE314" s="205"/>
      <c r="BF314" s="205"/>
      <c r="BG314" s="205"/>
      <c r="BH314" s="205"/>
      <c r="BI314" s="205"/>
      <c r="BJ314" s="205"/>
      <c r="BK314" s="206"/>
      <c r="BL314" s="205"/>
      <c r="BM314" s="206"/>
      <c r="BN314" s="205"/>
      <c r="BO314" s="205"/>
      <c r="BP314" s="205"/>
      <c r="BQ314" s="205"/>
      <c r="BR314" s="205"/>
      <c r="BS314" s="205"/>
      <c r="BT314" s="205"/>
      <c r="BU314" s="205"/>
      <c r="BV314" s="205"/>
      <c r="BW314" s="205"/>
      <c r="BX314" s="205"/>
      <c r="BY314" s="205"/>
      <c r="BZ314" s="205"/>
      <c r="CA314" s="205"/>
      <c r="CB314" s="205"/>
      <c r="CC314" s="205"/>
      <c r="CD314" s="205"/>
      <c r="CE314" s="205"/>
      <c r="CF314" s="205"/>
      <c r="CG314" s="205"/>
      <c r="CH314" s="205"/>
      <c r="CI314" s="205"/>
      <c r="CJ314" s="205"/>
      <c r="CK314" s="205"/>
      <c r="CL314" s="205"/>
      <c r="CM314" s="205"/>
      <c r="CN314" s="205"/>
      <c r="CO314" s="650">
        <v>900000</v>
      </c>
      <c r="CP314" s="205">
        <f>CO314*G314</f>
        <v>900000</v>
      </c>
      <c r="CQ314" s="653"/>
      <c r="CR314" s="205"/>
      <c r="CS314" s="654">
        <v>700000</v>
      </c>
      <c r="CT314" s="205">
        <f>CS314*G314</f>
        <v>700000</v>
      </c>
      <c r="CU314" s="653"/>
      <c r="CV314" s="205"/>
      <c r="CW314" s="658"/>
      <c r="CX314" s="205"/>
      <c r="CY314" s="658">
        <v>900000</v>
      </c>
      <c r="CZ314" s="205">
        <f>CY314*G314*H314</f>
        <v>900000</v>
      </c>
      <c r="DA314" s="205"/>
      <c r="DB314" s="205"/>
      <c r="DC314" s="658"/>
      <c r="DD314" s="205"/>
      <c r="DE314" s="205"/>
      <c r="DF314" s="205"/>
      <c r="DG314" s="205"/>
      <c r="DH314" s="205"/>
      <c r="DI314" s="205"/>
      <c r="DJ314" s="205"/>
      <c r="DK314" s="205"/>
      <c r="DL314" s="205"/>
      <c r="DM314" s="205"/>
      <c r="DN314" s="205"/>
      <c r="DO314" s="205"/>
      <c r="DP314" s="205"/>
      <c r="DQ314" s="205"/>
      <c r="DR314" s="205"/>
      <c r="DS314" s="656">
        <f>+MEDIAN(CO314,CS314,CY314)</f>
        <v>900000</v>
      </c>
      <c r="DT314" s="656">
        <f>+AVERAGE(CO314,CS314,CY314)</f>
        <v>833333.33333333337</v>
      </c>
      <c r="DU314" s="656">
        <f>+STDEV(CO314,CS314,CY314)</f>
        <v>115470.05383792533</v>
      </c>
      <c r="DV314" s="657">
        <f t="shared" si="63"/>
        <v>0.13856406460551038</v>
      </c>
      <c r="DW314" s="662">
        <f t="shared" si="64"/>
        <v>833334</v>
      </c>
      <c r="DX314" s="326">
        <f t="shared" si="60"/>
        <v>833334</v>
      </c>
      <c r="DY314" s="10" t="s">
        <v>329</v>
      </c>
    </row>
    <row r="315" spans="1:132" ht="39" hidden="1" x14ac:dyDescent="0.3">
      <c r="A315" s="19">
        <v>125</v>
      </c>
      <c r="B315" s="9" t="s">
        <v>55</v>
      </c>
      <c r="C315" s="9" t="s">
        <v>194</v>
      </c>
      <c r="D315" s="9" t="s">
        <v>494</v>
      </c>
      <c r="E315" s="10" t="s">
        <v>65</v>
      </c>
      <c r="F315" s="9" t="s">
        <v>19</v>
      </c>
      <c r="G315" s="11">
        <v>250</v>
      </c>
      <c r="H315" s="11">
        <v>1</v>
      </c>
      <c r="I315" s="340"/>
      <c r="J315" s="340"/>
      <c r="K315" s="340"/>
      <c r="L315" s="340"/>
      <c r="M315" s="340"/>
      <c r="N315" s="340"/>
      <c r="O315" s="341"/>
      <c r="P315" s="342"/>
      <c r="Q315" s="25"/>
      <c r="R315" s="25"/>
      <c r="S315" s="25"/>
      <c r="T315" s="25"/>
      <c r="U315" s="25"/>
      <c r="V315" s="25"/>
      <c r="W315" s="25"/>
      <c r="X315" s="25"/>
      <c r="Y315" s="25"/>
      <c r="Z315" s="25"/>
      <c r="AA315" s="25"/>
      <c r="AB315" s="25"/>
      <c r="AC315" s="25"/>
      <c r="AD315" s="25"/>
      <c r="AE315" s="25"/>
      <c r="AF315" s="25"/>
      <c r="AG315" s="351"/>
      <c r="AH315" s="25"/>
      <c r="AI315" s="25"/>
      <c r="AJ315" s="25"/>
      <c r="AK315" s="25"/>
      <c r="AL315" s="25"/>
      <c r="AM315" s="25"/>
      <c r="AN315" s="25"/>
      <c r="AO315" s="25"/>
      <c r="AP315" s="25"/>
      <c r="AQ315" s="25"/>
      <c r="AR315" s="25"/>
      <c r="AS315" s="25"/>
      <c r="AT315" s="25"/>
      <c r="AU315" s="25"/>
      <c r="AV315" s="25"/>
      <c r="AW315" s="25"/>
      <c r="AX315" s="25"/>
      <c r="AY315" s="25"/>
      <c r="AZ315" s="25"/>
      <c r="BA315" s="25"/>
      <c r="BB315" s="25"/>
      <c r="BC315" s="25"/>
      <c r="BD315" s="25"/>
      <c r="BE315" s="25"/>
      <c r="BF315" s="25"/>
      <c r="BG315" s="25"/>
      <c r="BH315" s="25"/>
      <c r="BI315" s="25"/>
      <c r="BJ315" s="25"/>
      <c r="BK315" s="343"/>
      <c r="BL315" s="25"/>
      <c r="BM315" s="343"/>
      <c r="BN315" s="25"/>
      <c r="BO315" s="25"/>
      <c r="BP315" s="25"/>
      <c r="BQ315" s="25"/>
      <c r="BR315" s="25"/>
      <c r="BS315" s="25"/>
      <c r="BT315" s="25"/>
      <c r="BU315" s="25"/>
      <c r="BV315" s="25"/>
      <c r="BW315" s="25"/>
      <c r="BX315" s="25"/>
      <c r="BY315" s="25"/>
      <c r="BZ315" s="25"/>
      <c r="CA315" s="25"/>
      <c r="CB315" s="25"/>
      <c r="CC315" s="25"/>
      <c r="CD315" s="25"/>
      <c r="CE315" s="25"/>
      <c r="CF315" s="25"/>
      <c r="CG315" s="25"/>
      <c r="CH315" s="25"/>
      <c r="CI315" s="25"/>
      <c r="CJ315" s="25"/>
      <c r="CK315" s="25"/>
      <c r="CL315" s="25"/>
      <c r="CM315" s="25"/>
      <c r="CN315" s="25"/>
      <c r="CO315" s="341"/>
      <c r="CP315" s="25"/>
      <c r="CQ315" s="344">
        <v>25000</v>
      </c>
      <c r="CR315" s="25">
        <f>CQ315*G315</f>
        <v>6250000</v>
      </c>
      <c r="CS315" s="28"/>
      <c r="CT315" s="25"/>
      <c r="CU315" s="344">
        <v>25000</v>
      </c>
      <c r="CV315" s="25">
        <f>CU315*G315</f>
        <v>6250000</v>
      </c>
      <c r="CW315" s="352"/>
      <c r="CX315" s="25"/>
      <c r="CY315" s="352">
        <v>40000</v>
      </c>
      <c r="CZ315" s="25">
        <f>CY315*G315*H315</f>
        <v>10000000</v>
      </c>
      <c r="DA315" s="25"/>
      <c r="DB315" s="25"/>
      <c r="DC315" s="352"/>
      <c r="DD315" s="25"/>
      <c r="DE315" s="25"/>
      <c r="DF315" s="25"/>
      <c r="DG315" s="25"/>
      <c r="DH315" s="25"/>
      <c r="DI315" s="25"/>
      <c r="DJ315" s="25"/>
      <c r="DK315" s="25"/>
      <c r="DL315" s="25"/>
      <c r="DM315" s="25"/>
      <c r="DN315" s="25"/>
      <c r="DO315" s="25"/>
      <c r="DP315" s="25"/>
      <c r="DQ315" s="25"/>
      <c r="DR315" s="25"/>
      <c r="DS315" s="13">
        <f>+MEDIAN(CQ315,CU315)</f>
        <v>25000</v>
      </c>
      <c r="DT315" s="13">
        <f>+AVERAGE(CQ315,CU315)</f>
        <v>25000</v>
      </c>
      <c r="DU315" s="13">
        <f>+STDEV(CQ315,CU315)</f>
        <v>0</v>
      </c>
      <c r="DV315" s="17">
        <f t="shared" si="63"/>
        <v>0</v>
      </c>
      <c r="DW315" s="373">
        <f t="shared" si="64"/>
        <v>25000</v>
      </c>
      <c r="DX315" s="326">
        <f t="shared" si="60"/>
        <v>6250000</v>
      </c>
      <c r="DY315" s="10" t="s">
        <v>322</v>
      </c>
    </row>
    <row r="316" spans="1:132" ht="65" hidden="1" x14ac:dyDescent="0.3">
      <c r="A316" s="19">
        <v>126</v>
      </c>
      <c r="B316" s="9" t="s">
        <v>55</v>
      </c>
      <c r="C316" s="648" t="s">
        <v>194</v>
      </c>
      <c r="D316" s="9" t="s">
        <v>499</v>
      </c>
      <c r="E316" s="10" t="s">
        <v>1342</v>
      </c>
      <c r="F316" s="9" t="s">
        <v>19</v>
      </c>
      <c r="G316" s="11">
        <v>13</v>
      </c>
      <c r="H316" s="11">
        <v>1</v>
      </c>
      <c r="I316" s="649"/>
      <c r="J316" s="649"/>
      <c r="K316" s="649"/>
      <c r="L316" s="649"/>
      <c r="M316" s="649"/>
      <c r="N316" s="649"/>
      <c r="O316" s="650"/>
      <c r="P316" s="651"/>
      <c r="Q316" s="205"/>
      <c r="R316" s="205"/>
      <c r="S316" s="205"/>
      <c r="T316" s="205"/>
      <c r="U316" s="205"/>
      <c r="V316" s="205"/>
      <c r="W316" s="205"/>
      <c r="X316" s="205"/>
      <c r="Y316" s="205"/>
      <c r="Z316" s="205"/>
      <c r="AA316" s="205"/>
      <c r="AB316" s="205"/>
      <c r="AC316" s="205"/>
      <c r="AD316" s="205"/>
      <c r="AE316" s="205"/>
      <c r="AF316" s="205"/>
      <c r="AG316" s="660"/>
      <c r="AH316" s="205"/>
      <c r="AI316" s="205"/>
      <c r="AJ316" s="205"/>
      <c r="AK316" s="205"/>
      <c r="AL316" s="205"/>
      <c r="AM316" s="205"/>
      <c r="AN316" s="205"/>
      <c r="AO316" s="205"/>
      <c r="AP316" s="205"/>
      <c r="AQ316" s="205"/>
      <c r="AR316" s="205"/>
      <c r="AS316" s="205"/>
      <c r="AT316" s="205"/>
      <c r="AU316" s="205"/>
      <c r="AV316" s="205"/>
      <c r="AW316" s="205"/>
      <c r="AX316" s="205"/>
      <c r="AY316" s="205"/>
      <c r="AZ316" s="205"/>
      <c r="BA316" s="205"/>
      <c r="BB316" s="205"/>
      <c r="BC316" s="205"/>
      <c r="BD316" s="205"/>
      <c r="BE316" s="205"/>
      <c r="BF316" s="205"/>
      <c r="BG316" s="205"/>
      <c r="BH316" s="205"/>
      <c r="BI316" s="205"/>
      <c r="BJ316" s="205"/>
      <c r="BK316" s="206"/>
      <c r="BL316" s="205"/>
      <c r="BM316" s="206"/>
      <c r="BN316" s="205"/>
      <c r="BO316" s="205"/>
      <c r="BP316" s="205"/>
      <c r="BQ316" s="205"/>
      <c r="BR316" s="205"/>
      <c r="BS316" s="205"/>
      <c r="BT316" s="205"/>
      <c r="BU316" s="205"/>
      <c r="BV316" s="205"/>
      <c r="BW316" s="205"/>
      <c r="BX316" s="205"/>
      <c r="BY316" s="205"/>
      <c r="BZ316" s="205"/>
      <c r="CA316" s="205"/>
      <c r="CB316" s="205"/>
      <c r="CC316" s="205"/>
      <c r="CD316" s="205"/>
      <c r="CE316" s="205"/>
      <c r="CF316" s="205"/>
      <c r="CG316" s="205"/>
      <c r="CH316" s="205"/>
      <c r="CI316" s="205"/>
      <c r="CJ316" s="205"/>
      <c r="CK316" s="205"/>
      <c r="CL316" s="205"/>
      <c r="CM316" s="205"/>
      <c r="CN316" s="205"/>
      <c r="CO316" s="654">
        <v>230000</v>
      </c>
      <c r="CP316" s="205">
        <f>CO316*G316</f>
        <v>2990000</v>
      </c>
      <c r="CQ316" s="653">
        <v>250000</v>
      </c>
      <c r="CR316" s="205">
        <f>CQ316*G316</f>
        <v>3250000</v>
      </c>
      <c r="CS316" s="654"/>
      <c r="CT316" s="205"/>
      <c r="CU316" s="653">
        <v>250000</v>
      </c>
      <c r="CV316" s="205">
        <f>CU316*G316</f>
        <v>3250000</v>
      </c>
      <c r="CW316" s="658"/>
      <c r="CX316" s="205"/>
      <c r="CY316" s="658"/>
      <c r="CZ316" s="205"/>
      <c r="DA316" s="205"/>
      <c r="DB316" s="205"/>
      <c r="DC316" s="658"/>
      <c r="DD316" s="205"/>
      <c r="DE316" s="205"/>
      <c r="DF316" s="205"/>
      <c r="DG316" s="205"/>
      <c r="DH316" s="205"/>
      <c r="DI316" s="205"/>
      <c r="DJ316" s="205"/>
      <c r="DK316" s="205"/>
      <c r="DL316" s="205"/>
      <c r="DM316" s="205"/>
      <c r="DN316" s="205"/>
      <c r="DO316" s="205"/>
      <c r="DP316" s="205"/>
      <c r="DQ316" s="205"/>
      <c r="DR316" s="205"/>
      <c r="DS316" s="656">
        <f>+MEDIAN(CO316,CQ316,CU316)</f>
        <v>250000</v>
      </c>
      <c r="DT316" s="656">
        <f>+AVERAGE(CO316,CQ316,CU316)</f>
        <v>243333.33333333334</v>
      </c>
      <c r="DU316" s="656">
        <f>+STDEV(CO316,CQ316,CU316)</f>
        <v>11547.005383792515</v>
      </c>
      <c r="DV316" s="657">
        <f t="shared" si="63"/>
        <v>4.7453446782708963E-2</v>
      </c>
      <c r="DW316" s="662">
        <f t="shared" si="64"/>
        <v>243334</v>
      </c>
      <c r="DX316" s="326">
        <f t="shared" si="60"/>
        <v>3163342</v>
      </c>
      <c r="DY316" s="10" t="s">
        <v>329</v>
      </c>
    </row>
    <row r="317" spans="1:132" s="96" customFormat="1" ht="91" hidden="1" x14ac:dyDescent="0.3">
      <c r="A317" s="19">
        <v>127</v>
      </c>
      <c r="B317" s="93" t="s">
        <v>55</v>
      </c>
      <c r="C317" s="93" t="s">
        <v>194</v>
      </c>
      <c r="D317" s="93" t="s">
        <v>118</v>
      </c>
      <c r="E317" s="94" t="s">
        <v>431</v>
      </c>
      <c r="F317" s="93" t="s">
        <v>120</v>
      </c>
      <c r="G317" s="92">
        <v>10</v>
      </c>
      <c r="H317" s="92">
        <v>8</v>
      </c>
      <c r="I317" s="303"/>
      <c r="J317" s="303"/>
      <c r="K317" s="303"/>
      <c r="L317" s="303"/>
      <c r="M317" s="303"/>
      <c r="N317" s="303"/>
      <c r="O317" s="304"/>
      <c r="P317" s="305"/>
      <c r="Q317" s="97"/>
      <c r="R317" s="97"/>
      <c r="S317" s="97"/>
      <c r="T317" s="97"/>
      <c r="U317" s="97"/>
      <c r="V317" s="97"/>
      <c r="W317" s="97"/>
      <c r="X317" s="97"/>
      <c r="Y317" s="97"/>
      <c r="Z317" s="97"/>
      <c r="AA317" s="97"/>
      <c r="AB317" s="97"/>
      <c r="AC317" s="97"/>
      <c r="AD317" s="97"/>
      <c r="AE317" s="97"/>
      <c r="AF317" s="97"/>
      <c r="AG317" s="97"/>
      <c r="AH317" s="97"/>
      <c r="AI317" s="97"/>
      <c r="AJ317" s="97"/>
      <c r="AK317" s="97"/>
      <c r="AL317" s="97"/>
      <c r="AM317" s="97"/>
      <c r="AN317" s="97"/>
      <c r="AO317" s="97"/>
      <c r="AP317" s="97"/>
      <c r="AQ317" s="97"/>
      <c r="AR317" s="97"/>
      <c r="AS317" s="97"/>
      <c r="AT317" s="97"/>
      <c r="AU317" s="97"/>
      <c r="AV317" s="97"/>
      <c r="AW317" s="97"/>
      <c r="AX317" s="97"/>
      <c r="AY317" s="97"/>
      <c r="AZ317" s="97"/>
      <c r="BA317" s="97"/>
      <c r="BB317" s="97"/>
      <c r="BC317" s="97"/>
      <c r="BD317" s="97"/>
      <c r="BE317" s="97"/>
      <c r="BF317" s="97"/>
      <c r="BG317" s="97"/>
      <c r="BH317" s="97"/>
      <c r="BI317" s="97"/>
      <c r="BJ317" s="97"/>
      <c r="BK317" s="306"/>
      <c r="BL317" s="97"/>
      <c r="BM317" s="306"/>
      <c r="BN317" s="97"/>
      <c r="BO317" s="97"/>
      <c r="BP317" s="97"/>
      <c r="BQ317" s="97"/>
      <c r="BR317" s="97"/>
      <c r="BS317" s="97"/>
      <c r="BT317" s="97"/>
      <c r="BU317" s="97"/>
      <c r="BV317" s="97"/>
      <c r="BW317" s="97"/>
      <c r="BX317" s="97"/>
      <c r="BY317" s="97"/>
      <c r="BZ317" s="97"/>
      <c r="CA317" s="97"/>
      <c r="CB317" s="97"/>
      <c r="CC317" s="97"/>
      <c r="CD317" s="97"/>
      <c r="CE317" s="97"/>
      <c r="CF317" s="97"/>
      <c r="CG317" s="97"/>
      <c r="CH317" s="97"/>
      <c r="CI317" s="97"/>
      <c r="CJ317" s="97"/>
      <c r="CK317" s="97"/>
      <c r="CL317" s="97"/>
      <c r="CM317" s="97"/>
      <c r="CN317" s="97"/>
      <c r="CO317" s="97">
        <v>200000</v>
      </c>
      <c r="CP317" s="97">
        <f>CO317*G317*H317</f>
        <v>16000000</v>
      </c>
      <c r="CQ317" s="307">
        <v>190000</v>
      </c>
      <c r="CR317" s="97">
        <f>CQ317*G317*H317</f>
        <v>15200000</v>
      </c>
      <c r="CS317" s="308">
        <v>150000</v>
      </c>
      <c r="CT317" s="97">
        <f>CS317*G317*H317</f>
        <v>12000000</v>
      </c>
      <c r="CU317" s="307">
        <v>190000</v>
      </c>
      <c r="CV317" s="97">
        <f>CU317*G317*H317</f>
        <v>15200000</v>
      </c>
      <c r="CW317" s="309"/>
      <c r="CX317" s="97"/>
      <c r="CY317" s="309"/>
      <c r="CZ317" s="97"/>
      <c r="DA317" s="97"/>
      <c r="DB317" s="97"/>
      <c r="DC317" s="309"/>
      <c r="DD317" s="97"/>
      <c r="DE317" s="97"/>
      <c r="DF317" s="97"/>
      <c r="DG317" s="97"/>
      <c r="DH317" s="97"/>
      <c r="DI317" s="97"/>
      <c r="DJ317" s="97"/>
      <c r="DK317" s="97"/>
      <c r="DL317" s="97"/>
      <c r="DM317" s="97"/>
      <c r="DN317" s="97"/>
      <c r="DO317" s="97"/>
      <c r="DP317" s="97"/>
      <c r="DQ317" s="97"/>
      <c r="DR317" s="97"/>
      <c r="DS317" s="310">
        <f>+MEDIAN(CO317,CQ317,CS317,CU317)</f>
        <v>190000</v>
      </c>
      <c r="DT317" s="310">
        <f>+AVERAGE(CO317,CQ317,CS317,CU317)</f>
        <v>182500</v>
      </c>
      <c r="DU317" s="310">
        <f>+STDEV(CO317,CQ317,CS317,CU317)</f>
        <v>22173.557826083452</v>
      </c>
      <c r="DV317" s="95">
        <f t="shared" si="63"/>
        <v>0.12149894699223809</v>
      </c>
      <c r="DW317" s="373">
        <f t="shared" si="64"/>
        <v>182500</v>
      </c>
      <c r="DX317" s="333">
        <f t="shared" si="60"/>
        <v>14600000</v>
      </c>
      <c r="DY317" s="10" t="s">
        <v>329</v>
      </c>
      <c r="DZ317" s="607"/>
      <c r="EA317" s="607"/>
      <c r="EB317" s="607"/>
    </row>
    <row r="318" spans="1:132" s="96" customFormat="1" ht="52" hidden="1" x14ac:dyDescent="0.3">
      <c r="A318" s="19">
        <v>128</v>
      </c>
      <c r="B318" s="93" t="s">
        <v>55</v>
      </c>
      <c r="C318" s="93" t="s">
        <v>194</v>
      </c>
      <c r="D318" s="93" t="s">
        <v>412</v>
      </c>
      <c r="E318" s="94" t="s">
        <v>110</v>
      </c>
      <c r="F318" s="93" t="s">
        <v>93</v>
      </c>
      <c r="G318" s="92">
        <v>10</v>
      </c>
      <c r="H318" s="92">
        <v>8</v>
      </c>
      <c r="I318" s="303"/>
      <c r="J318" s="303"/>
      <c r="K318" s="303"/>
      <c r="L318" s="303"/>
      <c r="M318" s="303"/>
      <c r="N318" s="303"/>
      <c r="O318" s="304"/>
      <c r="P318" s="305"/>
      <c r="Q318" s="97"/>
      <c r="R318" s="97"/>
      <c r="S318" s="97"/>
      <c r="T318" s="97"/>
      <c r="U318" s="97"/>
      <c r="V318" s="97"/>
      <c r="W318" s="97"/>
      <c r="X318" s="97"/>
      <c r="Y318" s="97"/>
      <c r="Z318" s="97"/>
      <c r="AA318" s="97"/>
      <c r="AB318" s="97"/>
      <c r="AC318" s="97"/>
      <c r="AD318" s="97"/>
      <c r="AE318" s="97"/>
      <c r="AF318" s="97"/>
      <c r="AG318" s="306"/>
      <c r="AH318" s="97"/>
      <c r="AI318" s="97"/>
      <c r="AJ318" s="97"/>
      <c r="AK318" s="97"/>
      <c r="AL318" s="97"/>
      <c r="AM318" s="97"/>
      <c r="AN318" s="97"/>
      <c r="AO318" s="97"/>
      <c r="AP318" s="97"/>
      <c r="AQ318" s="97"/>
      <c r="AR318" s="97"/>
      <c r="AS318" s="97"/>
      <c r="AT318" s="97"/>
      <c r="AU318" s="97"/>
      <c r="AV318" s="97"/>
      <c r="AW318" s="97"/>
      <c r="AX318" s="97"/>
      <c r="AY318" s="97"/>
      <c r="AZ318" s="97"/>
      <c r="BA318" s="97"/>
      <c r="BB318" s="97"/>
      <c r="BC318" s="97"/>
      <c r="BD318" s="97"/>
      <c r="BE318" s="97"/>
      <c r="BF318" s="97"/>
      <c r="BG318" s="97"/>
      <c r="BH318" s="97"/>
      <c r="BI318" s="97"/>
      <c r="BJ318" s="97"/>
      <c r="BK318" s="306"/>
      <c r="BL318" s="97"/>
      <c r="BM318" s="306"/>
      <c r="BN318" s="97"/>
      <c r="BO318" s="97"/>
      <c r="BP318" s="97"/>
      <c r="BQ318" s="97"/>
      <c r="BR318" s="97"/>
      <c r="BS318" s="97"/>
      <c r="BT318" s="97"/>
      <c r="BU318" s="97"/>
      <c r="BV318" s="97"/>
      <c r="BW318" s="97"/>
      <c r="BX318" s="97"/>
      <c r="BY318" s="97"/>
      <c r="BZ318" s="97"/>
      <c r="CA318" s="97"/>
      <c r="CB318" s="97"/>
      <c r="CC318" s="97"/>
      <c r="CD318" s="97"/>
      <c r="CE318" s="97"/>
      <c r="CF318" s="97"/>
      <c r="CG318" s="97"/>
      <c r="CH318" s="97"/>
      <c r="CI318" s="97"/>
      <c r="CJ318" s="97"/>
      <c r="CK318" s="97"/>
      <c r="CL318" s="97"/>
      <c r="CM318" s="97"/>
      <c r="CN318" s="97"/>
      <c r="CO318" s="308">
        <v>260000</v>
      </c>
      <c r="CP318" s="97">
        <f>CO318*G318</f>
        <v>2600000</v>
      </c>
      <c r="CQ318" s="307">
        <v>250000</v>
      </c>
      <c r="CR318" s="97"/>
      <c r="CS318" s="308">
        <v>350000</v>
      </c>
      <c r="CT318" s="97">
        <f>CS318*G318*H318</f>
        <v>28000000</v>
      </c>
      <c r="CU318" s="307">
        <v>250000</v>
      </c>
      <c r="CV318" s="97">
        <f>CU318*G318*H318</f>
        <v>20000000</v>
      </c>
      <c r="CW318" s="309"/>
      <c r="CX318" s="97"/>
      <c r="CY318" s="309"/>
      <c r="CZ318" s="97"/>
      <c r="DA318" s="97"/>
      <c r="DB318" s="97"/>
      <c r="DC318" s="309"/>
      <c r="DD318" s="97"/>
      <c r="DE318" s="97"/>
      <c r="DF318" s="97"/>
      <c r="DG318" s="97"/>
      <c r="DH318" s="97"/>
      <c r="DI318" s="97"/>
      <c r="DJ318" s="97"/>
      <c r="DK318" s="97"/>
      <c r="DL318" s="97"/>
      <c r="DM318" s="97"/>
      <c r="DN318" s="97"/>
      <c r="DO318" s="97"/>
      <c r="DP318" s="97"/>
      <c r="DQ318" s="97"/>
      <c r="DR318" s="97"/>
      <c r="DS318" s="310">
        <f>+MEDIAN(CO318,CQ318,CS318,CU318)</f>
        <v>255000</v>
      </c>
      <c r="DT318" s="310">
        <f>+AVERAGE(CO318,CQ318,CS318,CU318)</f>
        <v>277500</v>
      </c>
      <c r="DU318" s="310">
        <f>+STDEV(CO318,CQ318,CS318,CU318)</f>
        <v>48562.674281111555</v>
      </c>
      <c r="DV318" s="95">
        <f t="shared" si="63"/>
        <v>0.17500062804004163</v>
      </c>
      <c r="DW318" s="373">
        <f t="shared" si="64"/>
        <v>255000</v>
      </c>
      <c r="DX318" s="333">
        <f t="shared" si="60"/>
        <v>20400000</v>
      </c>
      <c r="DY318" s="94" t="s">
        <v>322</v>
      </c>
      <c r="DZ318" s="607"/>
      <c r="EA318" s="607"/>
      <c r="EB318" s="607"/>
    </row>
    <row r="319" spans="1:132" ht="65" hidden="1" x14ac:dyDescent="0.3">
      <c r="A319" s="19">
        <v>129</v>
      </c>
      <c r="B319" s="9" t="s">
        <v>55</v>
      </c>
      <c r="C319" s="648" t="s">
        <v>194</v>
      </c>
      <c r="D319" s="9" t="s">
        <v>66</v>
      </c>
      <c r="E319" s="10" t="s">
        <v>1347</v>
      </c>
      <c r="F319" s="9" t="s">
        <v>19</v>
      </c>
      <c r="G319" s="11">
        <v>100</v>
      </c>
      <c r="H319" s="11">
        <v>1</v>
      </c>
      <c r="I319" s="649"/>
      <c r="J319" s="649"/>
      <c r="K319" s="649"/>
      <c r="L319" s="649"/>
      <c r="M319" s="649"/>
      <c r="N319" s="649"/>
      <c r="O319" s="650"/>
      <c r="P319" s="651"/>
      <c r="Q319" s="205"/>
      <c r="R319" s="205"/>
      <c r="S319" s="205"/>
      <c r="T319" s="205"/>
      <c r="U319" s="205"/>
      <c r="V319" s="205"/>
      <c r="W319" s="205"/>
      <c r="X319" s="205"/>
      <c r="Y319" s="205"/>
      <c r="Z319" s="205"/>
      <c r="AA319" s="205"/>
      <c r="AB319" s="205"/>
      <c r="AC319" s="205"/>
      <c r="AD319" s="205"/>
      <c r="AE319" s="205"/>
      <c r="AF319" s="205"/>
      <c r="AG319" s="206"/>
      <c r="AH319" s="205"/>
      <c r="AI319" s="205"/>
      <c r="AJ319" s="205"/>
      <c r="AK319" s="205"/>
      <c r="AL319" s="205"/>
      <c r="AM319" s="205"/>
      <c r="AN319" s="205"/>
      <c r="AO319" s="205"/>
      <c r="AP319" s="205"/>
      <c r="AQ319" s="205"/>
      <c r="AR319" s="205"/>
      <c r="AS319" s="205"/>
      <c r="AT319" s="205"/>
      <c r="AU319" s="205"/>
      <c r="AV319" s="205"/>
      <c r="AW319" s="205"/>
      <c r="AX319" s="205"/>
      <c r="AY319" s="205"/>
      <c r="AZ319" s="205"/>
      <c r="BA319" s="205"/>
      <c r="BB319" s="205"/>
      <c r="BC319" s="205"/>
      <c r="BD319" s="205"/>
      <c r="BE319" s="205"/>
      <c r="BF319" s="205"/>
      <c r="BG319" s="205"/>
      <c r="BH319" s="205"/>
      <c r="BI319" s="205"/>
      <c r="BJ319" s="205"/>
      <c r="BK319" s="206"/>
      <c r="BL319" s="205"/>
      <c r="BM319" s="206"/>
      <c r="BN319" s="205"/>
      <c r="BO319" s="205"/>
      <c r="BP319" s="205"/>
      <c r="BQ319" s="205"/>
      <c r="BR319" s="205"/>
      <c r="BS319" s="205"/>
      <c r="BT319" s="205"/>
      <c r="BU319" s="205"/>
      <c r="BV319" s="205"/>
      <c r="BW319" s="205"/>
      <c r="BX319" s="205"/>
      <c r="BY319" s="205"/>
      <c r="BZ319" s="205"/>
      <c r="CA319" s="205"/>
      <c r="CB319" s="205"/>
      <c r="CC319" s="205"/>
      <c r="CD319" s="205"/>
      <c r="CE319" s="205"/>
      <c r="CF319" s="205"/>
      <c r="CG319" s="205"/>
      <c r="CH319" s="205"/>
      <c r="CI319" s="205"/>
      <c r="CJ319" s="205"/>
      <c r="CK319" s="205"/>
      <c r="CL319" s="205"/>
      <c r="CM319" s="205"/>
      <c r="CN319" s="205"/>
      <c r="CO319" s="654">
        <v>350000</v>
      </c>
      <c r="CP319" s="205">
        <f>CO319*G319</f>
        <v>35000000</v>
      </c>
      <c r="CQ319" s="653">
        <v>350000</v>
      </c>
      <c r="CR319" s="205">
        <f>CQ319*G319</f>
        <v>35000000</v>
      </c>
      <c r="CS319" s="654"/>
      <c r="CT319" s="205"/>
      <c r="CU319" s="653">
        <v>350000</v>
      </c>
      <c r="CV319" s="205">
        <f>CU319*G319</f>
        <v>35000000</v>
      </c>
      <c r="CW319" s="658"/>
      <c r="CX319" s="205"/>
      <c r="CY319" s="658"/>
      <c r="CZ319" s="205"/>
      <c r="DA319" s="205"/>
      <c r="DB319" s="205"/>
      <c r="DC319" s="658"/>
      <c r="DD319" s="205"/>
      <c r="DE319" s="205"/>
      <c r="DF319" s="205"/>
      <c r="DG319" s="205"/>
      <c r="DH319" s="205"/>
      <c r="DI319" s="205"/>
      <c r="DJ319" s="205"/>
      <c r="DK319" s="205"/>
      <c r="DL319" s="205"/>
      <c r="DM319" s="205"/>
      <c r="DN319" s="205"/>
      <c r="DO319" s="205"/>
      <c r="DP319" s="205"/>
      <c r="DQ319" s="205"/>
      <c r="DR319" s="205"/>
      <c r="DS319" s="656">
        <f>+MEDIAN(CO319,CQ319,CU319)</f>
        <v>350000</v>
      </c>
      <c r="DT319" s="656">
        <f>+AVERAGE(CO319,CQ319,CU319)</f>
        <v>350000</v>
      </c>
      <c r="DU319" s="656">
        <f>+STDEV(CO319,CQ319,CU319)</f>
        <v>0</v>
      </c>
      <c r="DV319" s="657">
        <f>DU319/DT319</f>
        <v>0</v>
      </c>
      <c r="DW319" s="662">
        <f>+ROUNDUP(IF(DV319&lt;15%,DT319,DS319),0)</f>
        <v>350000</v>
      </c>
      <c r="DX319" s="326">
        <f t="shared" si="60"/>
        <v>35000000</v>
      </c>
      <c r="DY319" s="10" t="s">
        <v>329</v>
      </c>
    </row>
    <row r="320" spans="1:132" s="96" customFormat="1" ht="39" hidden="1" x14ac:dyDescent="0.3">
      <c r="A320" s="19">
        <v>130</v>
      </c>
      <c r="B320" s="93" t="s">
        <v>55</v>
      </c>
      <c r="C320" s="91" t="s">
        <v>194</v>
      </c>
      <c r="D320" s="98" t="s">
        <v>414</v>
      </c>
      <c r="E320" s="94" t="s">
        <v>45</v>
      </c>
      <c r="F320" s="98" t="s">
        <v>255</v>
      </c>
      <c r="G320" s="99">
        <v>8</v>
      </c>
      <c r="H320" s="92">
        <v>8</v>
      </c>
      <c r="I320" s="303"/>
      <c r="J320" s="303"/>
      <c r="K320" s="303"/>
      <c r="L320" s="303"/>
      <c r="M320" s="303"/>
      <c r="N320" s="303"/>
      <c r="O320" s="304"/>
      <c r="P320" s="305"/>
      <c r="Q320" s="97"/>
      <c r="R320" s="97"/>
      <c r="S320" s="97"/>
      <c r="T320" s="97"/>
      <c r="U320" s="97"/>
      <c r="V320" s="97"/>
      <c r="W320" s="97"/>
      <c r="X320" s="97"/>
      <c r="Y320" s="97"/>
      <c r="Z320" s="97"/>
      <c r="AA320" s="97"/>
      <c r="AB320" s="97"/>
      <c r="AC320" s="97"/>
      <c r="AD320" s="97"/>
      <c r="AE320" s="97"/>
      <c r="AF320" s="97"/>
      <c r="AG320" s="97"/>
      <c r="AH320" s="97"/>
      <c r="AI320" s="97"/>
      <c r="AJ320" s="97"/>
      <c r="AK320" s="97">
        <v>22000</v>
      </c>
      <c r="AL320" s="97">
        <f>AK320*G320</f>
        <v>176000</v>
      </c>
      <c r="AM320" s="311"/>
      <c r="AN320" s="97"/>
      <c r="AO320" s="97">
        <f>28800+(28800*5.2%)</f>
        <v>30297.599999999999</v>
      </c>
      <c r="AP320" s="97">
        <f>AO320*G320</f>
        <v>242380.79999999999</v>
      </c>
      <c r="AQ320" s="97"/>
      <c r="AR320" s="97"/>
      <c r="AS320" s="97">
        <v>36000</v>
      </c>
      <c r="AT320" s="97">
        <f>AS320*G320</f>
        <v>288000</v>
      </c>
      <c r="AU320" s="97"/>
      <c r="AV320" s="97"/>
      <c r="AW320" s="97"/>
      <c r="AX320" s="97"/>
      <c r="AY320" s="97"/>
      <c r="AZ320" s="97"/>
      <c r="BA320" s="97"/>
      <c r="BB320" s="97"/>
      <c r="BC320" s="97"/>
      <c r="BD320" s="97"/>
      <c r="BE320" s="97"/>
      <c r="BF320" s="97"/>
      <c r="BG320" s="97"/>
      <c r="BH320" s="97"/>
      <c r="BI320" s="97"/>
      <c r="BJ320" s="97"/>
      <c r="BK320" s="306"/>
      <c r="BL320" s="97"/>
      <c r="BM320" s="306"/>
      <c r="BN320" s="97"/>
      <c r="BO320" s="97"/>
      <c r="BP320" s="97"/>
      <c r="BQ320" s="97"/>
      <c r="BR320" s="97"/>
      <c r="BS320" s="97"/>
      <c r="BT320" s="97"/>
      <c r="BU320" s="97"/>
      <c r="BV320" s="97"/>
      <c r="BW320" s="97"/>
      <c r="BX320" s="97"/>
      <c r="BY320" s="97"/>
      <c r="BZ320" s="97"/>
      <c r="CA320" s="97"/>
      <c r="CB320" s="97"/>
      <c r="CC320" s="97"/>
      <c r="CD320" s="97"/>
      <c r="CE320" s="97"/>
      <c r="CF320" s="97"/>
      <c r="CG320" s="97"/>
      <c r="CH320" s="97"/>
      <c r="CI320" s="97"/>
      <c r="CJ320" s="97"/>
      <c r="CK320" s="97"/>
      <c r="CL320" s="97"/>
      <c r="CM320" s="97"/>
      <c r="CN320" s="97"/>
      <c r="CO320" s="97"/>
      <c r="CP320" s="97"/>
      <c r="CQ320" s="97"/>
      <c r="CR320" s="97"/>
      <c r="CS320" s="97"/>
      <c r="CT320" s="97"/>
      <c r="CU320" s="97"/>
      <c r="CV320" s="97"/>
      <c r="CW320" s="97"/>
      <c r="CX320" s="97"/>
      <c r="CY320" s="97"/>
      <c r="CZ320" s="97"/>
      <c r="DA320" s="97"/>
      <c r="DB320" s="97"/>
      <c r="DC320" s="97"/>
      <c r="DD320" s="97"/>
      <c r="DE320" s="97"/>
      <c r="DF320" s="97"/>
      <c r="DG320" s="97"/>
      <c r="DH320" s="97"/>
      <c r="DI320" s="97"/>
      <c r="DJ320" s="97"/>
      <c r="DK320" s="97"/>
      <c r="DL320" s="97"/>
      <c r="DM320" s="97"/>
      <c r="DN320" s="97"/>
      <c r="DO320" s="97"/>
      <c r="DP320" s="97"/>
      <c r="DQ320" s="97"/>
      <c r="DR320" s="97"/>
      <c r="DS320" s="310">
        <f>+MEDIAN(AK320,AO320,AS320)</f>
        <v>30297.599999999999</v>
      </c>
      <c r="DT320" s="310">
        <f>+AVERAGE(AK320,AO320,AS320)</f>
        <v>29432.533333333336</v>
      </c>
      <c r="DU320" s="310">
        <f>+STDEV(AK320,AO320,AS320)</f>
        <v>7039.9755151089194</v>
      </c>
      <c r="DV320" s="95">
        <f>DU320/DT320</f>
        <v>0.23919026729295875</v>
      </c>
      <c r="DW320" s="373">
        <f>+ROUNDUP(IF(DV320&lt;15%,DT320,DS320),0)</f>
        <v>30298</v>
      </c>
      <c r="DX320" s="333">
        <f t="shared" si="60"/>
        <v>1939072</v>
      </c>
      <c r="DY320" s="94" t="s">
        <v>309</v>
      </c>
      <c r="DZ320" s="607"/>
      <c r="EA320" s="607"/>
      <c r="EB320" s="607"/>
    </row>
    <row r="321" spans="1:132" ht="39" hidden="1" x14ac:dyDescent="0.3">
      <c r="A321" s="19">
        <v>131</v>
      </c>
      <c r="B321" s="9" t="s">
        <v>55</v>
      </c>
      <c r="C321" s="9" t="s">
        <v>194</v>
      </c>
      <c r="D321" s="9" t="s">
        <v>417</v>
      </c>
      <c r="E321" s="10" t="s">
        <v>200</v>
      </c>
      <c r="F321" s="9" t="s">
        <v>20</v>
      </c>
      <c r="G321" s="11">
        <v>1</v>
      </c>
      <c r="H321" s="11">
        <v>1</v>
      </c>
      <c r="I321" s="191"/>
      <c r="J321" s="191"/>
      <c r="K321" s="191"/>
      <c r="L321" s="191"/>
      <c r="M321" s="191"/>
      <c r="N321" s="191"/>
      <c r="O321" s="211"/>
      <c r="P321" s="212"/>
      <c r="Q321" s="32"/>
      <c r="R321" s="32"/>
      <c r="S321" s="32"/>
      <c r="T321" s="32"/>
      <c r="U321" s="32"/>
      <c r="V321" s="32"/>
      <c r="W321" s="32"/>
      <c r="X321" s="32"/>
      <c r="Y321" s="32"/>
      <c r="Z321" s="32"/>
      <c r="AA321" s="32"/>
      <c r="AB321" s="32"/>
      <c r="AC321" s="52"/>
      <c r="AD321" s="32"/>
      <c r="AE321" s="52">
        <f>1310000+(1310000*5.2%)</f>
        <v>1378120</v>
      </c>
      <c r="AF321" s="32">
        <f>AE321*G321</f>
        <v>1378120</v>
      </c>
      <c r="AG321" s="32"/>
      <c r="AH321" s="32"/>
      <c r="AI321" s="32"/>
      <c r="AJ321" s="32"/>
      <c r="AK321" s="32"/>
      <c r="AL321" s="32"/>
      <c r="AM321" s="32"/>
      <c r="AN321" s="32"/>
      <c r="AO321" s="32"/>
      <c r="AP321" s="32"/>
      <c r="AQ321" s="32"/>
      <c r="AR321" s="32"/>
      <c r="AS321" s="32"/>
      <c r="AT321" s="32"/>
      <c r="AU321" s="32"/>
      <c r="AV321" s="32"/>
      <c r="AW321" s="32"/>
      <c r="AX321" s="32"/>
      <c r="AY321" s="32"/>
      <c r="AZ321" s="32"/>
      <c r="BA321" s="52">
        <f>1200000+(1200000*5.2%)</f>
        <v>1262400</v>
      </c>
      <c r="BB321" s="32">
        <f>BA321*G321</f>
        <v>1262400</v>
      </c>
      <c r="BC321" s="32"/>
      <c r="BD321" s="32"/>
      <c r="BE321" s="32"/>
      <c r="BF321" s="32"/>
      <c r="BG321" s="32"/>
      <c r="BH321" s="32"/>
      <c r="BI321" s="52">
        <f>1455000+(1455000*5.2%)</f>
        <v>1530660</v>
      </c>
      <c r="BJ321" s="32">
        <f>BI321*G321</f>
        <v>1530660</v>
      </c>
      <c r="BK321" s="192"/>
      <c r="BL321" s="32"/>
      <c r="BM321" s="192"/>
      <c r="BN321" s="32"/>
      <c r="BO321" s="32"/>
      <c r="BP321" s="32"/>
      <c r="BQ321" s="32"/>
      <c r="BR321" s="32"/>
      <c r="BS321" s="32"/>
      <c r="BT321" s="32"/>
      <c r="BU321" s="32"/>
      <c r="BV321" s="32"/>
      <c r="BW321" s="32"/>
      <c r="BX321" s="32"/>
      <c r="BY321" s="32"/>
      <c r="BZ321" s="32"/>
      <c r="CA321" s="32"/>
      <c r="CB321" s="32"/>
      <c r="CC321" s="32"/>
      <c r="CD321" s="32"/>
      <c r="CE321" s="32"/>
      <c r="CF321" s="32"/>
      <c r="CG321" s="32"/>
      <c r="CH321" s="32"/>
      <c r="CI321" s="32"/>
      <c r="CJ321" s="32"/>
      <c r="CK321" s="32"/>
      <c r="CL321" s="32"/>
      <c r="CM321" s="32"/>
      <c r="CN321" s="32"/>
      <c r="CO321" s="211"/>
      <c r="CP321" s="32"/>
      <c r="CQ321" s="225"/>
      <c r="CR321" s="32"/>
      <c r="CS321" s="28"/>
      <c r="CT321" s="25"/>
      <c r="CU321" s="225"/>
      <c r="CV321" s="25"/>
      <c r="CW321" s="245"/>
      <c r="CX321" s="25"/>
      <c r="CY321" s="245"/>
      <c r="CZ321" s="25"/>
      <c r="DA321" s="25"/>
      <c r="DB321" s="25"/>
      <c r="DC321" s="245"/>
      <c r="DD321" s="25"/>
      <c r="DE321" s="25"/>
      <c r="DF321" s="25"/>
      <c r="DG321" s="25"/>
      <c r="DH321" s="25"/>
      <c r="DI321" s="25"/>
      <c r="DJ321" s="25"/>
      <c r="DK321" s="25"/>
      <c r="DL321" s="25"/>
      <c r="DM321" s="25"/>
      <c r="DN321" s="25"/>
      <c r="DO321" s="25"/>
      <c r="DP321" s="25"/>
      <c r="DQ321" s="25"/>
      <c r="DR321" s="25"/>
      <c r="DS321" s="13">
        <f>+MEDIAN(AE321,BA321,BI321)</f>
        <v>1378120</v>
      </c>
      <c r="DT321" s="13">
        <f>+AVERAGE(AE321,BA321,BI321)</f>
        <v>1390393.3333333333</v>
      </c>
      <c r="DU321" s="13">
        <f>+STDEV(AE321,BA321,BI321)</f>
        <v>134550.48470122035</v>
      </c>
      <c r="DV321" s="17">
        <f>DU321/DT321</f>
        <v>9.6771526067841979E-2</v>
      </c>
      <c r="DW321" s="373">
        <f>+ROUNDUP(IF(DV321&lt;15%,DT321,DS321),0)</f>
        <v>1390394</v>
      </c>
      <c r="DX321" s="326">
        <f t="shared" si="60"/>
        <v>1390394</v>
      </c>
      <c r="DY321" s="10" t="s">
        <v>329</v>
      </c>
    </row>
    <row r="322" spans="1:132" s="353" customFormat="1" ht="182" hidden="1" x14ac:dyDescent="0.3">
      <c r="A322" s="133">
        <v>132</v>
      </c>
      <c r="B322" s="134" t="s">
        <v>55</v>
      </c>
      <c r="C322" s="134" t="s">
        <v>194</v>
      </c>
      <c r="D322" s="134" t="s">
        <v>1139</v>
      </c>
      <c r="E322" s="132" t="s">
        <v>521</v>
      </c>
      <c r="F322" s="134" t="s">
        <v>1143</v>
      </c>
      <c r="G322" s="136">
        <v>3</v>
      </c>
      <c r="H322" s="136">
        <v>1</v>
      </c>
      <c r="I322" s="229"/>
      <c r="J322" s="229"/>
      <c r="K322" s="229"/>
      <c r="L322" s="229"/>
      <c r="M322" s="229"/>
      <c r="N322" s="229"/>
      <c r="O322" s="230"/>
      <c r="P322" s="231"/>
      <c r="Q322" s="150"/>
      <c r="R322" s="150"/>
      <c r="S322" s="150"/>
      <c r="T322" s="150"/>
      <c r="U322" s="150"/>
      <c r="V322" s="150"/>
      <c r="W322" s="150"/>
      <c r="X322" s="150"/>
      <c r="Y322" s="150"/>
      <c r="Z322" s="150"/>
      <c r="AA322" s="150"/>
      <c r="AB322" s="150"/>
      <c r="AC322" s="150"/>
      <c r="AD322" s="150"/>
      <c r="AE322" s="150"/>
      <c r="AF322" s="150"/>
      <c r="AG322" s="150"/>
      <c r="AH322" s="150"/>
      <c r="AI322" s="150"/>
      <c r="AJ322" s="150"/>
      <c r="AK322" s="150"/>
      <c r="AL322" s="150"/>
      <c r="AM322" s="150"/>
      <c r="AN322" s="150"/>
      <c r="AO322" s="150"/>
      <c r="AP322" s="150"/>
      <c r="AQ322" s="150"/>
      <c r="AR322" s="150"/>
      <c r="AS322" s="150"/>
      <c r="AT322" s="150"/>
      <c r="AU322" s="150"/>
      <c r="AV322" s="150"/>
      <c r="AW322" s="150"/>
      <c r="AX322" s="150"/>
      <c r="AY322" s="150"/>
      <c r="AZ322" s="150"/>
      <c r="BA322" s="150"/>
      <c r="BB322" s="150"/>
      <c r="BC322" s="150"/>
      <c r="BD322" s="150"/>
      <c r="BE322" s="150"/>
      <c r="BF322" s="150"/>
      <c r="BG322" s="150"/>
      <c r="BH322" s="150"/>
      <c r="BI322" s="150"/>
      <c r="BJ322" s="150"/>
      <c r="BK322" s="232"/>
      <c r="BL322" s="150"/>
      <c r="BM322" s="232"/>
      <c r="BN322" s="150"/>
      <c r="BO322" s="150"/>
      <c r="BP322" s="150"/>
      <c r="BQ322" s="150"/>
      <c r="BR322" s="150"/>
      <c r="BS322" s="150"/>
      <c r="BT322" s="150"/>
      <c r="BU322" s="150"/>
      <c r="BV322" s="150"/>
      <c r="BW322" s="150"/>
      <c r="BX322" s="150"/>
      <c r="BY322" s="150"/>
      <c r="BZ322" s="150"/>
      <c r="CA322" s="150"/>
      <c r="CB322" s="150"/>
      <c r="CC322" s="150"/>
      <c r="CD322" s="150"/>
      <c r="CE322" s="150"/>
      <c r="CF322" s="150"/>
      <c r="CG322" s="150"/>
      <c r="CH322" s="150"/>
      <c r="CI322" s="150"/>
      <c r="CJ322" s="150"/>
      <c r="CK322" s="150"/>
      <c r="CL322" s="150"/>
      <c r="CM322" s="150"/>
      <c r="CN322" s="150"/>
      <c r="CO322" s="230"/>
      <c r="CP322" s="150"/>
      <c r="CQ322" s="264"/>
      <c r="CR322" s="150"/>
      <c r="CS322" s="276"/>
      <c r="CT322" s="150"/>
      <c r="CU322" s="264"/>
      <c r="CV322" s="150"/>
      <c r="CW322" s="300"/>
      <c r="CX322" s="150"/>
      <c r="CY322" s="300"/>
      <c r="CZ322" s="150"/>
      <c r="DA322" s="150"/>
      <c r="DB322" s="150"/>
      <c r="DC322" s="300"/>
      <c r="DD322" s="150"/>
      <c r="DE322" s="150"/>
      <c r="DF322" s="150"/>
      <c r="DG322" s="150"/>
      <c r="DH322" s="150"/>
      <c r="DI322" s="150"/>
      <c r="DJ322" s="150"/>
      <c r="DK322" s="150"/>
      <c r="DL322" s="150"/>
      <c r="DM322" s="150"/>
      <c r="DN322" s="150"/>
      <c r="DO322" s="150"/>
      <c r="DP322" s="150"/>
      <c r="DQ322" s="150"/>
      <c r="DR322" s="150"/>
      <c r="DS322" s="146"/>
      <c r="DT322" s="146"/>
      <c r="DU322" s="146"/>
      <c r="DV322" s="138"/>
      <c r="DW322" s="273">
        <f>+DZ322+EB322</f>
        <v>3150000</v>
      </c>
      <c r="DX322" s="146">
        <f t="shared" si="60"/>
        <v>9450000</v>
      </c>
      <c r="DY322" s="139" t="s">
        <v>1165</v>
      </c>
      <c r="DZ322" s="604">
        <v>2500000</v>
      </c>
      <c r="EA322" s="604">
        <f>+DZ322*G322*H322</f>
        <v>7500000</v>
      </c>
      <c r="EB322" s="604">
        <f>+DZ322*26%</f>
        <v>650000</v>
      </c>
    </row>
    <row r="323" spans="1:132" ht="65" hidden="1" x14ac:dyDescent="0.3">
      <c r="A323" s="19">
        <v>133</v>
      </c>
      <c r="B323" s="9" t="s">
        <v>55</v>
      </c>
      <c r="C323" s="9" t="s">
        <v>194</v>
      </c>
      <c r="D323" s="9" t="s">
        <v>201</v>
      </c>
      <c r="E323" s="10" t="s">
        <v>333</v>
      </c>
      <c r="F323" s="9" t="s">
        <v>67</v>
      </c>
      <c r="G323" s="11">
        <v>1</v>
      </c>
      <c r="H323" s="11">
        <v>1</v>
      </c>
      <c r="I323" s="191"/>
      <c r="J323" s="191"/>
      <c r="K323" s="191"/>
      <c r="L323" s="191"/>
      <c r="M323" s="191"/>
      <c r="N323" s="191"/>
      <c r="O323" s="211"/>
      <c r="P323" s="212"/>
      <c r="Q323" s="32"/>
      <c r="R323" s="32"/>
      <c r="S323" s="32"/>
      <c r="T323" s="32"/>
      <c r="U323" s="32"/>
      <c r="V323" s="32"/>
      <c r="W323" s="32"/>
      <c r="X323" s="32"/>
      <c r="Y323" s="32"/>
      <c r="Z323" s="32"/>
      <c r="AA323" s="32"/>
      <c r="AB323" s="32"/>
      <c r="AC323" s="52"/>
      <c r="AD323" s="32"/>
      <c r="AE323" s="52"/>
      <c r="AF323" s="32"/>
      <c r="AG323" s="32"/>
      <c r="AH323" s="32"/>
      <c r="AI323" s="32"/>
      <c r="AJ323" s="32"/>
      <c r="AK323" s="32"/>
      <c r="AL323" s="32"/>
      <c r="AM323" s="32"/>
      <c r="AN323" s="32"/>
      <c r="AO323" s="32"/>
      <c r="AP323" s="32"/>
      <c r="AQ323" s="32"/>
      <c r="AR323" s="32"/>
      <c r="AS323" s="32"/>
      <c r="AT323" s="32"/>
      <c r="AU323" s="32"/>
      <c r="AV323" s="32"/>
      <c r="AW323" s="32"/>
      <c r="AX323" s="32"/>
      <c r="AY323" s="32"/>
      <c r="AZ323" s="32"/>
      <c r="BA323" s="52"/>
      <c r="BB323" s="32"/>
      <c r="BC323" s="32"/>
      <c r="BD323" s="32"/>
      <c r="BE323" s="32"/>
      <c r="BF323" s="32"/>
      <c r="BG323" s="32"/>
      <c r="BH323" s="32"/>
      <c r="BI323" s="52"/>
      <c r="BJ323" s="32"/>
      <c r="BK323" s="192"/>
      <c r="BL323" s="32"/>
      <c r="BM323" s="192"/>
      <c r="BN323" s="32"/>
      <c r="BO323" s="32"/>
      <c r="BP323" s="32"/>
      <c r="BQ323" s="32"/>
      <c r="BR323" s="32"/>
      <c r="BS323" s="32"/>
      <c r="BT323" s="32"/>
      <c r="BU323" s="32"/>
      <c r="BV323" s="32"/>
      <c r="BW323" s="32"/>
      <c r="BX323" s="32"/>
      <c r="BY323" s="32"/>
      <c r="BZ323" s="32"/>
      <c r="CA323" s="32"/>
      <c r="CB323" s="32"/>
      <c r="CC323" s="32"/>
      <c r="CD323" s="32"/>
      <c r="CE323" s="32"/>
      <c r="CF323" s="32"/>
      <c r="CG323" s="32"/>
      <c r="CH323" s="32"/>
      <c r="CI323" s="32"/>
      <c r="CJ323" s="32"/>
      <c r="CK323" s="32"/>
      <c r="CL323" s="32"/>
      <c r="CM323" s="32"/>
      <c r="CN323" s="32"/>
      <c r="CO323" s="211"/>
      <c r="CP323" s="32"/>
      <c r="CQ323" s="225"/>
      <c r="CR323" s="32"/>
      <c r="CS323" s="28"/>
      <c r="CT323" s="25"/>
      <c r="CU323" s="225"/>
      <c r="CV323" s="25"/>
      <c r="CW323" s="245"/>
      <c r="CX323" s="25"/>
      <c r="CY323" s="245"/>
      <c r="CZ323" s="25"/>
      <c r="DA323" s="25">
        <v>1423500</v>
      </c>
      <c r="DB323" s="25">
        <f>DA323*G323*H323</f>
        <v>1423500</v>
      </c>
      <c r="DC323" s="245"/>
      <c r="DD323" s="25"/>
      <c r="DE323" s="25"/>
      <c r="DF323" s="25"/>
      <c r="DG323" s="25"/>
      <c r="DH323" s="25"/>
      <c r="DI323" s="25"/>
      <c r="DJ323" s="25"/>
      <c r="DK323" s="25"/>
      <c r="DL323" s="25"/>
      <c r="DM323" s="25"/>
      <c r="DN323" s="25"/>
      <c r="DO323" s="25"/>
      <c r="DP323" s="25"/>
      <c r="DQ323" s="25"/>
      <c r="DR323" s="25"/>
      <c r="DS323" s="13"/>
      <c r="DT323" s="13"/>
      <c r="DU323" s="13"/>
      <c r="DV323" s="17"/>
      <c r="DW323" s="373">
        <f>DA323</f>
        <v>1423500</v>
      </c>
      <c r="DX323" s="326">
        <f t="shared" si="60"/>
        <v>1423500</v>
      </c>
      <c r="DY323" s="10" t="s">
        <v>334</v>
      </c>
    </row>
    <row r="324" spans="1:132" ht="208" hidden="1" x14ac:dyDescent="0.3">
      <c r="A324" s="19">
        <v>134</v>
      </c>
      <c r="B324" s="14" t="s">
        <v>55</v>
      </c>
      <c r="C324" s="14" t="s">
        <v>194</v>
      </c>
      <c r="D324" s="14" t="s">
        <v>83</v>
      </c>
      <c r="E324" s="39" t="s">
        <v>202</v>
      </c>
      <c r="F324" s="14" t="s">
        <v>19</v>
      </c>
      <c r="G324" s="15">
        <v>270</v>
      </c>
      <c r="H324" s="15">
        <v>1</v>
      </c>
      <c r="I324" s="194"/>
      <c r="J324" s="194"/>
      <c r="K324" s="194"/>
      <c r="L324" s="194"/>
      <c r="M324" s="194"/>
      <c r="N324" s="194"/>
      <c r="O324" s="213"/>
      <c r="P324" s="242"/>
      <c r="Q324" s="197"/>
      <c r="R324" s="197"/>
      <c r="S324" s="197"/>
      <c r="T324" s="197"/>
      <c r="U324" s="197"/>
      <c r="V324" s="197"/>
      <c r="W324" s="197"/>
      <c r="X324" s="197"/>
      <c r="Y324" s="197"/>
      <c r="Z324" s="197"/>
      <c r="AA324" s="197"/>
      <c r="AB324" s="197"/>
      <c r="AC324" s="197"/>
      <c r="AD324" s="197"/>
      <c r="AE324" s="197"/>
      <c r="AF324" s="197"/>
      <c r="AG324" s="197"/>
      <c r="AH324" s="197"/>
      <c r="AI324" s="197"/>
      <c r="AJ324" s="197"/>
      <c r="AK324" s="197">
        <v>27000</v>
      </c>
      <c r="AL324" s="197">
        <v>6750000</v>
      </c>
      <c r="AM324" s="197">
        <v>18936</v>
      </c>
      <c r="AN324" s="197">
        <v>4734000</v>
      </c>
      <c r="AO324" s="197">
        <v>14096.8</v>
      </c>
      <c r="AP324" s="197">
        <v>3524200</v>
      </c>
      <c r="AQ324" s="197">
        <v>17778.8</v>
      </c>
      <c r="AR324" s="197">
        <v>4444700</v>
      </c>
      <c r="AS324" s="197"/>
      <c r="AT324" s="197"/>
      <c r="AU324" s="197"/>
      <c r="AV324" s="197"/>
      <c r="AW324" s="197"/>
      <c r="AX324" s="197"/>
      <c r="AY324" s="197"/>
      <c r="AZ324" s="197"/>
      <c r="BA324" s="197"/>
      <c r="BB324" s="197"/>
      <c r="BC324" s="197"/>
      <c r="BD324" s="197"/>
      <c r="BE324" s="197"/>
      <c r="BF324" s="197"/>
      <c r="BG324" s="197"/>
      <c r="BH324" s="197"/>
      <c r="BI324" s="197"/>
      <c r="BJ324" s="197"/>
      <c r="BK324" s="195"/>
      <c r="BL324" s="197"/>
      <c r="BM324" s="195"/>
      <c r="BN324" s="197"/>
      <c r="BO324" s="197"/>
      <c r="BP324" s="197"/>
      <c r="BQ324" s="197"/>
      <c r="BR324" s="197"/>
      <c r="BS324" s="197"/>
      <c r="BT324" s="197"/>
      <c r="BU324" s="197"/>
      <c r="BV324" s="197"/>
      <c r="BW324" s="197"/>
      <c r="BX324" s="197"/>
      <c r="BY324" s="197"/>
      <c r="BZ324" s="197"/>
      <c r="CA324" s="197"/>
      <c r="CB324" s="197"/>
      <c r="CC324" s="197"/>
      <c r="CD324" s="197"/>
      <c r="CE324" s="197"/>
      <c r="CF324" s="197"/>
      <c r="CG324" s="197"/>
      <c r="CH324" s="197"/>
      <c r="CI324" s="197"/>
      <c r="CJ324" s="197"/>
      <c r="CK324" s="197"/>
      <c r="CL324" s="197"/>
      <c r="CM324" s="197"/>
      <c r="CN324" s="197"/>
      <c r="CO324" s="197"/>
      <c r="CP324" s="197"/>
      <c r="CQ324" s="197"/>
      <c r="CR324" s="197"/>
      <c r="CS324" s="197"/>
      <c r="CT324" s="197"/>
      <c r="CU324" s="197"/>
      <c r="CV324" s="197"/>
      <c r="CW324" s="197"/>
      <c r="CX324" s="197"/>
      <c r="CY324" s="197"/>
      <c r="CZ324" s="197"/>
      <c r="DA324" s="197"/>
      <c r="DB324" s="197"/>
      <c r="DC324" s="197"/>
      <c r="DD324" s="197"/>
      <c r="DE324" s="197"/>
      <c r="DF324" s="197"/>
      <c r="DG324" s="197"/>
      <c r="DH324" s="197"/>
      <c r="DI324" s="197"/>
      <c r="DJ324" s="197"/>
      <c r="DK324" s="197"/>
      <c r="DL324" s="197"/>
      <c r="DM324" s="197"/>
      <c r="DN324" s="197"/>
      <c r="DO324" s="197"/>
      <c r="DP324" s="197"/>
      <c r="DQ324" s="197"/>
      <c r="DR324" s="197"/>
      <c r="DS324" s="73">
        <f>+MEDIAN(AK324,AM324,AO324,AQ324)</f>
        <v>18357.400000000001</v>
      </c>
      <c r="DT324" s="73">
        <f>+AVERAGE(AK324,AM324,AO324,AQ324)</f>
        <v>19452.900000000001</v>
      </c>
      <c r="DU324" s="73">
        <f>+STDEV(AK324,AM324,AO324,AQ324)</f>
        <v>5438.0242135049912</v>
      </c>
      <c r="DV324" s="72">
        <f>DU324/DT324</f>
        <v>0.27954825313989129</v>
      </c>
      <c r="DW324" s="376">
        <f>+ROUNDUP(IF(DV324&lt;15%,DT324,DS324),0)</f>
        <v>18358</v>
      </c>
      <c r="DX324" s="331">
        <f t="shared" si="60"/>
        <v>4956660</v>
      </c>
      <c r="DY324" s="39" t="s">
        <v>309</v>
      </c>
    </row>
    <row r="325" spans="1:132" s="63" customFormat="1" hidden="1" x14ac:dyDescent="0.3">
      <c r="A325" s="66" t="s">
        <v>415</v>
      </c>
      <c r="B325" s="66"/>
      <c r="C325" s="66"/>
      <c r="D325" s="66"/>
      <c r="E325" s="66"/>
      <c r="F325" s="67"/>
      <c r="G325" s="67"/>
      <c r="H325" s="67"/>
      <c r="I325" s="214"/>
      <c r="J325" s="214"/>
      <c r="K325" s="214"/>
      <c r="L325" s="214"/>
      <c r="M325" s="214"/>
      <c r="N325" s="214"/>
      <c r="O325" s="215"/>
      <c r="P325" s="215"/>
      <c r="Q325" s="215"/>
      <c r="R325" s="215"/>
      <c r="S325" s="215"/>
      <c r="T325" s="215"/>
      <c r="U325" s="215"/>
      <c r="V325" s="215"/>
      <c r="W325" s="215"/>
      <c r="X325" s="215"/>
      <c r="Y325" s="215"/>
      <c r="Z325" s="215"/>
      <c r="AA325" s="215"/>
      <c r="AB325" s="215"/>
      <c r="AC325" s="215"/>
      <c r="AD325" s="215"/>
      <c r="AE325" s="215"/>
      <c r="AF325" s="215"/>
      <c r="AG325" s="215"/>
      <c r="AH325" s="215"/>
      <c r="AI325" s="215"/>
      <c r="AJ325" s="215"/>
      <c r="AK325" s="215"/>
      <c r="AL325" s="215"/>
      <c r="AM325" s="215"/>
      <c r="AN325" s="215"/>
      <c r="AO325" s="215"/>
      <c r="AP325" s="215"/>
      <c r="AQ325" s="215"/>
      <c r="AR325" s="215"/>
      <c r="AS325" s="215"/>
      <c r="AT325" s="215"/>
      <c r="AU325" s="215"/>
      <c r="AV325" s="215"/>
      <c r="AW325" s="215"/>
      <c r="AX325" s="215"/>
      <c r="AY325" s="215"/>
      <c r="AZ325" s="215"/>
      <c r="BA325" s="215"/>
      <c r="BB325" s="215"/>
      <c r="BC325" s="215"/>
      <c r="BD325" s="215"/>
      <c r="BE325" s="215"/>
      <c r="BF325" s="215"/>
      <c r="BG325" s="215"/>
      <c r="BH325" s="215"/>
      <c r="BI325" s="215"/>
      <c r="BJ325" s="215"/>
      <c r="BK325" s="215"/>
      <c r="BL325" s="216"/>
      <c r="BM325" s="215"/>
      <c r="BN325" s="216"/>
      <c r="BO325" s="216"/>
      <c r="BP325" s="216"/>
      <c r="BQ325" s="216"/>
      <c r="BR325" s="216"/>
      <c r="BS325" s="216"/>
      <c r="BT325" s="216"/>
      <c r="BU325" s="216"/>
      <c r="BV325" s="216"/>
      <c r="BW325" s="216"/>
      <c r="BX325" s="216"/>
      <c r="BY325" s="216"/>
      <c r="BZ325" s="216"/>
      <c r="CA325" s="216"/>
      <c r="CB325" s="216"/>
      <c r="CC325" s="216"/>
      <c r="CD325" s="216"/>
      <c r="CE325" s="216"/>
      <c r="CF325" s="216"/>
      <c r="CG325" s="216"/>
      <c r="CH325" s="216"/>
      <c r="CI325" s="216"/>
      <c r="CJ325" s="216"/>
      <c r="CK325" s="216"/>
      <c r="CL325" s="216"/>
      <c r="CM325" s="216"/>
      <c r="CN325" s="216"/>
      <c r="CO325" s="216"/>
      <c r="CP325" s="216"/>
      <c r="CQ325" s="216"/>
      <c r="CR325" s="216"/>
      <c r="CS325" s="216"/>
      <c r="CT325" s="216"/>
      <c r="CU325" s="216"/>
      <c r="CV325" s="216"/>
      <c r="CW325" s="216"/>
      <c r="CX325" s="216"/>
      <c r="CY325" s="216"/>
      <c r="CZ325" s="216"/>
      <c r="DA325" s="216"/>
      <c r="DB325" s="216"/>
      <c r="DC325" s="216"/>
      <c r="DD325" s="216"/>
      <c r="DE325" s="216"/>
      <c r="DF325" s="216"/>
      <c r="DG325" s="216"/>
      <c r="DH325" s="216"/>
      <c r="DI325" s="216"/>
      <c r="DJ325" s="216"/>
      <c r="DK325" s="216"/>
      <c r="DL325" s="216"/>
      <c r="DM325" s="216"/>
      <c r="DN325" s="216"/>
      <c r="DO325" s="216"/>
      <c r="DP325" s="216"/>
      <c r="DQ325" s="216"/>
      <c r="DR325" s="216"/>
      <c r="DS325" s="215"/>
      <c r="DT325" s="215"/>
      <c r="DU325" s="215"/>
      <c r="DV325" s="68"/>
      <c r="DW325" s="69">
        <f>SUM(DW294:DW324)</f>
        <v>26437901</v>
      </c>
      <c r="DX325" s="69">
        <f>SUM(DX294:DX324)</f>
        <v>189149539</v>
      </c>
      <c r="DY325" s="165"/>
      <c r="DZ325" s="609"/>
      <c r="EA325" s="609"/>
      <c r="EB325" s="609"/>
    </row>
    <row r="326" spans="1:132" ht="91" hidden="1" x14ac:dyDescent="0.3">
      <c r="A326" s="70">
        <v>135</v>
      </c>
      <c r="B326" s="40" t="s">
        <v>55</v>
      </c>
      <c r="C326" s="40" t="s">
        <v>203</v>
      </c>
      <c r="D326" s="40" t="s">
        <v>118</v>
      </c>
      <c r="E326" s="42" t="s">
        <v>431</v>
      </c>
      <c r="F326" s="40" t="s">
        <v>120</v>
      </c>
      <c r="G326" s="43">
        <v>8</v>
      </c>
      <c r="H326" s="43">
        <v>3</v>
      </c>
      <c r="I326" s="207"/>
      <c r="J326" s="207"/>
      <c r="K326" s="207"/>
      <c r="L326" s="207"/>
      <c r="M326" s="207"/>
      <c r="N326" s="207"/>
      <c r="O326" s="208"/>
      <c r="P326" s="217"/>
      <c r="Q326" s="209"/>
      <c r="R326" s="209"/>
      <c r="S326" s="209"/>
      <c r="T326" s="209"/>
      <c r="U326" s="209"/>
      <c r="V326" s="209"/>
      <c r="W326" s="209"/>
      <c r="X326" s="209"/>
      <c r="Y326" s="209"/>
      <c r="Z326" s="209"/>
      <c r="AA326" s="209"/>
      <c r="AB326" s="209"/>
      <c r="AC326" s="209"/>
      <c r="AD326" s="209"/>
      <c r="AE326" s="209"/>
      <c r="AF326" s="209"/>
      <c r="AG326" s="209"/>
      <c r="AH326" s="209"/>
      <c r="AI326" s="209"/>
      <c r="AJ326" s="209"/>
      <c r="AK326" s="209"/>
      <c r="AL326" s="209"/>
      <c r="AM326" s="209"/>
      <c r="AN326" s="209"/>
      <c r="AO326" s="209"/>
      <c r="AP326" s="209"/>
      <c r="AQ326" s="209"/>
      <c r="AR326" s="209"/>
      <c r="AS326" s="209"/>
      <c r="AT326" s="209"/>
      <c r="AU326" s="209"/>
      <c r="AV326" s="209"/>
      <c r="AW326" s="209"/>
      <c r="AX326" s="209"/>
      <c r="AY326" s="209"/>
      <c r="AZ326" s="209"/>
      <c r="BA326" s="209"/>
      <c r="BB326" s="209"/>
      <c r="BC326" s="209"/>
      <c r="BD326" s="209"/>
      <c r="BE326" s="209"/>
      <c r="BF326" s="209"/>
      <c r="BG326" s="209"/>
      <c r="BH326" s="209"/>
      <c r="BI326" s="209"/>
      <c r="BJ326" s="209"/>
      <c r="BK326" s="210"/>
      <c r="BL326" s="209"/>
      <c r="BM326" s="210"/>
      <c r="BN326" s="209"/>
      <c r="BO326" s="209"/>
      <c r="BP326" s="209"/>
      <c r="BQ326" s="209"/>
      <c r="BR326" s="209"/>
      <c r="BS326" s="209"/>
      <c r="BT326" s="209"/>
      <c r="BU326" s="209"/>
      <c r="BV326" s="209"/>
      <c r="BW326" s="209"/>
      <c r="BX326" s="209"/>
      <c r="BY326" s="209"/>
      <c r="BZ326" s="209"/>
      <c r="CA326" s="209"/>
      <c r="CB326" s="209"/>
      <c r="CC326" s="209"/>
      <c r="CD326" s="209"/>
      <c r="CE326" s="209"/>
      <c r="CF326" s="209"/>
      <c r="CG326" s="209"/>
      <c r="CH326" s="209"/>
      <c r="CI326" s="209"/>
      <c r="CJ326" s="209"/>
      <c r="CK326" s="209"/>
      <c r="CL326" s="209"/>
      <c r="CM326" s="209"/>
      <c r="CN326" s="209"/>
      <c r="CO326" s="209">
        <v>200000</v>
      </c>
      <c r="CP326" s="209">
        <f>CO326*G326*H326</f>
        <v>4800000</v>
      </c>
      <c r="CQ326" s="218">
        <v>190000</v>
      </c>
      <c r="CR326" s="209">
        <f>CQ326*G326*H326</f>
        <v>4560000</v>
      </c>
      <c r="CS326" s="239">
        <v>150000</v>
      </c>
      <c r="CT326" s="209">
        <f>CS326*G326*H326</f>
        <v>3600000</v>
      </c>
      <c r="CU326" s="218">
        <v>190000</v>
      </c>
      <c r="CV326" s="209">
        <f>CU326*G326*H326</f>
        <v>4560000</v>
      </c>
      <c r="CW326" s="248"/>
      <c r="CX326" s="209"/>
      <c r="CY326" s="248"/>
      <c r="CZ326" s="209"/>
      <c r="DA326" s="209"/>
      <c r="DB326" s="209"/>
      <c r="DC326" s="248"/>
      <c r="DD326" s="209"/>
      <c r="DE326" s="209"/>
      <c r="DF326" s="209"/>
      <c r="DG326" s="209"/>
      <c r="DH326" s="209"/>
      <c r="DI326" s="209"/>
      <c r="DJ326" s="209"/>
      <c r="DK326" s="209"/>
      <c r="DL326" s="209"/>
      <c r="DM326" s="209"/>
      <c r="DN326" s="209"/>
      <c r="DO326" s="209"/>
      <c r="DP326" s="209"/>
      <c r="DQ326" s="209"/>
      <c r="DR326" s="209"/>
      <c r="DS326" s="65">
        <f>+MEDIAN(CO326,CQ326,CS326,CU326)</f>
        <v>190000</v>
      </c>
      <c r="DT326" s="65">
        <f>+AVERAGE(CO326,CQ326,CS326,CU326)</f>
        <v>182500</v>
      </c>
      <c r="DU326" s="65">
        <f>+STDEV(CO326,CQ326,CS326,CU326)</f>
        <v>22173.557826083452</v>
      </c>
      <c r="DV326" s="64">
        <f>DU326/DT326</f>
        <v>0.12149894699223809</v>
      </c>
      <c r="DW326" s="375">
        <f>+ROUNDUP(IF(DV326&lt;15%,DT326,DS326),0)</f>
        <v>182500</v>
      </c>
      <c r="DX326" s="330">
        <f t="shared" ref="DX326:DX342" si="65">+ROUND(DW326*G326*H326,0)</f>
        <v>4380000</v>
      </c>
      <c r="DY326" s="10" t="s">
        <v>329</v>
      </c>
    </row>
    <row r="327" spans="1:132" ht="104" hidden="1" x14ac:dyDescent="0.3">
      <c r="A327" s="19">
        <v>136</v>
      </c>
      <c r="B327" s="9" t="s">
        <v>55</v>
      </c>
      <c r="C327" s="9" t="s">
        <v>203</v>
      </c>
      <c r="D327" s="9" t="s">
        <v>466</v>
      </c>
      <c r="E327" s="10" t="s">
        <v>465</v>
      </c>
      <c r="F327" s="9" t="s">
        <v>19</v>
      </c>
      <c r="G327" s="11">
        <v>160</v>
      </c>
      <c r="H327" s="11">
        <v>1</v>
      </c>
      <c r="I327" s="340"/>
      <c r="J327" s="340"/>
      <c r="K327" s="340"/>
      <c r="L327" s="340"/>
      <c r="M327" s="340"/>
      <c r="N327" s="340"/>
      <c r="O327" s="341"/>
      <c r="P327" s="342"/>
      <c r="Q327" s="25"/>
      <c r="R327" s="25"/>
      <c r="S327" s="25"/>
      <c r="T327" s="25"/>
      <c r="U327" s="25"/>
      <c r="V327" s="25"/>
      <c r="W327" s="25"/>
      <c r="X327" s="25"/>
      <c r="Y327" s="25"/>
      <c r="Z327" s="25"/>
      <c r="AA327" s="25"/>
      <c r="AB327" s="25"/>
      <c r="AC327" s="25"/>
      <c r="AD327" s="25"/>
      <c r="AE327" s="25"/>
      <c r="AF327" s="25"/>
      <c r="AG327" s="25"/>
      <c r="AH327" s="25"/>
      <c r="AI327" s="25"/>
      <c r="AJ327" s="25"/>
      <c r="AK327" s="25"/>
      <c r="AL327" s="25"/>
      <c r="AM327" s="25"/>
      <c r="AN327" s="25"/>
      <c r="AO327" s="25"/>
      <c r="AP327" s="25"/>
      <c r="AQ327" s="25"/>
      <c r="AR327" s="25"/>
      <c r="AS327" s="25"/>
      <c r="AT327" s="25"/>
      <c r="AU327" s="25"/>
      <c r="AV327" s="25"/>
      <c r="AW327" s="25"/>
      <c r="AX327" s="25"/>
      <c r="AY327" s="25"/>
      <c r="AZ327" s="25"/>
      <c r="BA327" s="25"/>
      <c r="BB327" s="25"/>
      <c r="BC327" s="25"/>
      <c r="BD327" s="25"/>
      <c r="BE327" s="25"/>
      <c r="BF327" s="25"/>
      <c r="BG327" s="25"/>
      <c r="BH327" s="25"/>
      <c r="BI327" s="25"/>
      <c r="BJ327" s="25"/>
      <c r="BK327" s="343"/>
      <c r="BL327" s="25"/>
      <c r="BM327" s="343"/>
      <c r="BN327" s="25"/>
      <c r="BO327" s="25"/>
      <c r="BP327" s="25"/>
      <c r="BQ327" s="25"/>
      <c r="BR327" s="25"/>
      <c r="BS327" s="25"/>
      <c r="BT327" s="25"/>
      <c r="BU327" s="25"/>
      <c r="BV327" s="25"/>
      <c r="BW327" s="25"/>
      <c r="BX327" s="25"/>
      <c r="BY327" s="25"/>
      <c r="BZ327" s="25"/>
      <c r="CA327" s="25"/>
      <c r="CB327" s="25"/>
      <c r="CC327" s="25"/>
      <c r="CD327" s="25"/>
      <c r="CE327" s="25"/>
      <c r="CF327" s="25"/>
      <c r="CG327" s="25"/>
      <c r="CH327" s="25"/>
      <c r="CI327" s="25"/>
      <c r="CJ327" s="25"/>
      <c r="CK327" s="25"/>
      <c r="CL327" s="25"/>
      <c r="CM327" s="25"/>
      <c r="CN327" s="25"/>
      <c r="CO327" s="28"/>
      <c r="CP327" s="25"/>
      <c r="CQ327" s="344"/>
      <c r="CR327" s="356"/>
      <c r="CS327" s="28"/>
      <c r="CT327" s="25"/>
      <c r="CU327" s="344"/>
      <c r="CV327" s="25"/>
      <c r="CW327" s="352"/>
      <c r="CX327" s="25"/>
      <c r="CY327" s="352"/>
      <c r="CZ327" s="25"/>
      <c r="DA327" s="25"/>
      <c r="DB327" s="25"/>
      <c r="DC327" s="352"/>
      <c r="DD327" s="25"/>
      <c r="DE327" s="25"/>
      <c r="DF327" s="25"/>
      <c r="DG327" s="25"/>
      <c r="DH327" s="25"/>
      <c r="DI327" s="355">
        <v>6500</v>
      </c>
      <c r="DJ327" s="25">
        <f>DI327*G327*H327</f>
        <v>1040000</v>
      </c>
      <c r="DK327" s="355">
        <v>6000</v>
      </c>
      <c r="DL327" s="25">
        <f>DK327*G327*H327</f>
        <v>960000</v>
      </c>
      <c r="DM327" s="355">
        <v>6000</v>
      </c>
      <c r="DN327" s="25">
        <f>DM327*G327*H327</f>
        <v>960000</v>
      </c>
      <c r="DO327" s="25"/>
      <c r="DP327" s="25"/>
      <c r="DQ327" s="25"/>
      <c r="DR327" s="25"/>
      <c r="DS327" s="13">
        <f>+MEDIAN(DI327,DK327,DM327)</f>
        <v>6000</v>
      </c>
      <c r="DT327" s="13">
        <f>+AVERAGE(DI327,DK327,DM327)</f>
        <v>6166.666666666667</v>
      </c>
      <c r="DU327" s="13">
        <f>+STDEV(DI327,DK327,DM327)</f>
        <v>288.67513459481285</v>
      </c>
      <c r="DV327" s="17">
        <f>DU327/DT327</f>
        <v>4.6812183988348029E-2</v>
      </c>
      <c r="DW327" s="373">
        <f>+ROUNDUP(IF(DV327&lt;15%,DT327,DS327),0)</f>
        <v>6167</v>
      </c>
      <c r="DX327" s="326">
        <f t="shared" si="65"/>
        <v>986720</v>
      </c>
      <c r="DY327" s="10" t="s">
        <v>329</v>
      </c>
    </row>
    <row r="328" spans="1:132" s="111" customFormat="1" ht="195" hidden="1" x14ac:dyDescent="0.3">
      <c r="A328" s="70">
        <v>137</v>
      </c>
      <c r="B328" s="106" t="s">
        <v>55</v>
      </c>
      <c r="C328" s="106" t="s">
        <v>203</v>
      </c>
      <c r="D328" s="106" t="s">
        <v>83</v>
      </c>
      <c r="E328" s="107" t="s">
        <v>204</v>
      </c>
      <c r="F328" s="106" t="s">
        <v>19</v>
      </c>
      <c r="G328" s="108">
        <v>165</v>
      </c>
      <c r="H328" s="108">
        <v>3</v>
      </c>
      <c r="I328" s="244"/>
      <c r="J328" s="244"/>
      <c r="K328" s="244"/>
      <c r="L328" s="244"/>
      <c r="M328" s="244"/>
      <c r="N328" s="244"/>
      <c r="O328" s="294"/>
      <c r="P328" s="295"/>
      <c r="Q328" s="109"/>
      <c r="R328" s="109"/>
      <c r="S328" s="109"/>
      <c r="T328" s="109"/>
      <c r="U328" s="109"/>
      <c r="V328" s="109"/>
      <c r="W328" s="109"/>
      <c r="X328" s="109"/>
      <c r="Y328" s="109"/>
      <c r="Z328" s="109"/>
      <c r="AA328" s="109"/>
      <c r="AB328" s="109"/>
      <c r="AC328" s="109"/>
      <c r="AD328" s="109"/>
      <c r="AE328" s="109"/>
      <c r="AF328" s="109"/>
      <c r="AG328" s="109"/>
      <c r="AH328" s="109"/>
      <c r="AI328" s="109"/>
      <c r="AJ328" s="109"/>
      <c r="AK328" s="109">
        <v>27000</v>
      </c>
      <c r="AL328" s="109">
        <f>AK328*G328</f>
        <v>4455000</v>
      </c>
      <c r="AM328" s="109">
        <f>18000+(18000*5.2%)</f>
        <v>18936</v>
      </c>
      <c r="AN328" s="109">
        <f>AM328*G328</f>
        <v>3124440</v>
      </c>
      <c r="AO328" s="109">
        <f>13400+(13400*5.2%)</f>
        <v>14096.8</v>
      </c>
      <c r="AP328" s="109">
        <f>AO328*G328</f>
        <v>2325972</v>
      </c>
      <c r="AQ328" s="109">
        <f>16900+(16900*5.2%)</f>
        <v>17778.8</v>
      </c>
      <c r="AR328" s="109">
        <f>AQ328*G328</f>
        <v>2933502</v>
      </c>
      <c r="AS328" s="109"/>
      <c r="AT328" s="109"/>
      <c r="AU328" s="109"/>
      <c r="AV328" s="109"/>
      <c r="AW328" s="109"/>
      <c r="AX328" s="109"/>
      <c r="AY328" s="109"/>
      <c r="AZ328" s="109"/>
      <c r="BA328" s="109"/>
      <c r="BB328" s="109"/>
      <c r="BC328" s="109"/>
      <c r="BD328" s="109"/>
      <c r="BE328" s="109"/>
      <c r="BF328" s="109"/>
      <c r="BG328" s="109"/>
      <c r="BH328" s="109"/>
      <c r="BI328" s="109"/>
      <c r="BJ328" s="109"/>
      <c r="BK328" s="296"/>
      <c r="BL328" s="109"/>
      <c r="BM328" s="296"/>
      <c r="BN328" s="109"/>
      <c r="BO328" s="109"/>
      <c r="BP328" s="109"/>
      <c r="BQ328" s="109"/>
      <c r="BR328" s="109"/>
      <c r="BS328" s="109"/>
      <c r="BT328" s="109"/>
      <c r="BU328" s="109"/>
      <c r="BV328" s="109"/>
      <c r="BW328" s="109"/>
      <c r="BX328" s="109"/>
      <c r="BY328" s="109"/>
      <c r="BZ328" s="109"/>
      <c r="CA328" s="109"/>
      <c r="CB328" s="109"/>
      <c r="CC328" s="109"/>
      <c r="CD328" s="109"/>
      <c r="CE328" s="109"/>
      <c r="CF328" s="109"/>
      <c r="CG328" s="109"/>
      <c r="CH328" s="109"/>
      <c r="CI328" s="109"/>
      <c r="CJ328" s="109"/>
      <c r="CK328" s="109"/>
      <c r="CL328" s="109"/>
      <c r="CM328" s="109"/>
      <c r="CN328" s="109"/>
      <c r="CO328" s="109"/>
      <c r="CP328" s="109"/>
      <c r="CQ328" s="109"/>
      <c r="CR328" s="109"/>
      <c r="CS328" s="109"/>
      <c r="CT328" s="109"/>
      <c r="CU328" s="109"/>
      <c r="CV328" s="109"/>
      <c r="CW328" s="109"/>
      <c r="CX328" s="109"/>
      <c r="CY328" s="109"/>
      <c r="CZ328" s="109"/>
      <c r="DA328" s="109"/>
      <c r="DB328" s="109"/>
      <c r="DC328" s="109"/>
      <c r="DD328" s="109"/>
      <c r="DE328" s="109"/>
      <c r="DF328" s="109"/>
      <c r="DG328" s="109"/>
      <c r="DH328" s="109"/>
      <c r="DI328" s="109"/>
      <c r="DJ328" s="109"/>
      <c r="DK328" s="109"/>
      <c r="DL328" s="109"/>
      <c r="DM328" s="109"/>
      <c r="DN328" s="109"/>
      <c r="DO328" s="109"/>
      <c r="DP328" s="109"/>
      <c r="DQ328" s="109"/>
      <c r="DR328" s="109"/>
      <c r="DS328" s="115">
        <f>+MEDIAN(AK328,AM328,AO328,AQ328)</f>
        <v>18357.400000000001</v>
      </c>
      <c r="DT328" s="115">
        <f>+AVERAGE(AK328,AM328,AO328,AQ328)</f>
        <v>19452.900000000001</v>
      </c>
      <c r="DU328" s="115">
        <f>+STDEV(AK328,AM328,AO328,AQ328)</f>
        <v>5438.0242135049912</v>
      </c>
      <c r="DV328" s="110">
        <f>DU328/DT328</f>
        <v>0.27954825313989129</v>
      </c>
      <c r="DW328" s="373">
        <f>+ROUNDUP(IF(DV328&lt;15%,DT328,DS328),0)</f>
        <v>18358</v>
      </c>
      <c r="DX328" s="329">
        <f t="shared" si="65"/>
        <v>9087210</v>
      </c>
      <c r="DY328" s="107" t="s">
        <v>309</v>
      </c>
      <c r="DZ328" s="612"/>
      <c r="EA328" s="612"/>
      <c r="EB328" s="612"/>
    </row>
    <row r="329" spans="1:132" ht="208" hidden="1" x14ac:dyDescent="0.3">
      <c r="A329" s="415">
        <v>138</v>
      </c>
      <c r="B329" s="416" t="s">
        <v>55</v>
      </c>
      <c r="C329" s="416" t="s">
        <v>203</v>
      </c>
      <c r="D329" s="416" t="s">
        <v>403</v>
      </c>
      <c r="E329" s="418" t="s">
        <v>1170</v>
      </c>
      <c r="F329" s="416" t="s">
        <v>28</v>
      </c>
      <c r="G329" s="420">
        <v>1</v>
      </c>
      <c r="H329" s="420">
        <v>1</v>
      </c>
      <c r="I329" s="421"/>
      <c r="J329" s="421"/>
      <c r="K329" s="421"/>
      <c r="L329" s="421"/>
      <c r="M329" s="421"/>
      <c r="N329" s="421"/>
      <c r="O329" s="422"/>
      <c r="P329" s="423"/>
      <c r="Q329" s="424"/>
      <c r="R329" s="424"/>
      <c r="S329" s="424"/>
      <c r="T329" s="424"/>
      <c r="U329" s="424"/>
      <c r="V329" s="424"/>
      <c r="W329" s="424"/>
      <c r="X329" s="424"/>
      <c r="Y329" s="424"/>
      <c r="Z329" s="424"/>
      <c r="AA329" s="424"/>
      <c r="AB329" s="424"/>
      <c r="AC329" s="424"/>
      <c r="AD329" s="424"/>
      <c r="AE329" s="424"/>
      <c r="AF329" s="424"/>
      <c r="AG329" s="424"/>
      <c r="AH329" s="424"/>
      <c r="AI329" s="424"/>
      <c r="AJ329" s="424"/>
      <c r="AK329" s="424"/>
      <c r="AL329" s="424"/>
      <c r="AM329" s="424"/>
      <c r="AN329" s="424"/>
      <c r="AO329" s="424"/>
      <c r="AP329" s="424"/>
      <c r="AQ329" s="424"/>
      <c r="AR329" s="424"/>
      <c r="AS329" s="424"/>
      <c r="AT329" s="424"/>
      <c r="AU329" s="424"/>
      <c r="AV329" s="424"/>
      <c r="AW329" s="424"/>
      <c r="AX329" s="424"/>
      <c r="AY329" s="424"/>
      <c r="AZ329" s="424"/>
      <c r="BA329" s="424"/>
      <c r="BB329" s="424"/>
      <c r="BC329" s="424"/>
      <c r="BD329" s="424"/>
      <c r="BE329" s="424"/>
      <c r="BF329" s="424"/>
      <c r="BG329" s="424"/>
      <c r="BH329" s="424"/>
      <c r="BI329" s="424"/>
      <c r="BJ329" s="424"/>
      <c r="BK329" s="425"/>
      <c r="BL329" s="424"/>
      <c r="BM329" s="425"/>
      <c r="BN329" s="424"/>
      <c r="BO329" s="424"/>
      <c r="BP329" s="424"/>
      <c r="BQ329" s="424"/>
      <c r="BR329" s="424"/>
      <c r="BS329" s="424"/>
      <c r="BT329" s="424"/>
      <c r="BU329" s="424"/>
      <c r="BV329" s="424"/>
      <c r="BW329" s="424"/>
      <c r="BX329" s="424"/>
      <c r="BY329" s="424"/>
      <c r="BZ329" s="424"/>
      <c r="CA329" s="424"/>
      <c r="CB329" s="424"/>
      <c r="CC329" s="424"/>
      <c r="CD329" s="424"/>
      <c r="CE329" s="424"/>
      <c r="CF329" s="424"/>
      <c r="CG329" s="424"/>
      <c r="CH329" s="424"/>
      <c r="CI329" s="424"/>
      <c r="CJ329" s="424"/>
      <c r="CK329" s="424"/>
      <c r="CL329" s="424"/>
      <c r="CM329" s="424"/>
      <c r="CN329" s="424"/>
      <c r="CO329" s="424"/>
      <c r="CP329" s="441"/>
      <c r="CQ329" s="424"/>
      <c r="CR329" s="424"/>
      <c r="CS329" s="424"/>
      <c r="CT329" s="424"/>
      <c r="CU329" s="424"/>
      <c r="CV329" s="424"/>
      <c r="CW329" s="424"/>
      <c r="CX329" s="424"/>
      <c r="CY329" s="424"/>
      <c r="CZ329" s="424"/>
      <c r="DA329" s="424"/>
      <c r="DB329" s="424"/>
      <c r="DC329" s="424"/>
      <c r="DD329" s="424"/>
      <c r="DE329" s="424"/>
      <c r="DF329" s="424"/>
      <c r="DG329" s="424"/>
      <c r="DH329" s="424"/>
      <c r="DI329" s="424"/>
      <c r="DJ329" s="424"/>
      <c r="DK329" s="424"/>
      <c r="DL329" s="424"/>
      <c r="DM329" s="424"/>
      <c r="DN329" s="424"/>
      <c r="DO329" s="424"/>
      <c r="DP329" s="424"/>
      <c r="DQ329" s="424"/>
      <c r="DR329" s="424"/>
      <c r="DS329" s="425"/>
      <c r="DT329" s="425"/>
      <c r="DU329" s="425"/>
      <c r="DV329" s="569"/>
      <c r="DW329" s="428">
        <f>4000000*1.34</f>
        <v>5360000</v>
      </c>
      <c r="DX329" s="426">
        <f t="shared" si="65"/>
        <v>5360000</v>
      </c>
      <c r="DY329" s="429" t="s">
        <v>1141</v>
      </c>
    </row>
    <row r="330" spans="1:132" ht="39" hidden="1" x14ac:dyDescent="0.3">
      <c r="A330" s="70">
        <v>139</v>
      </c>
      <c r="B330" s="9" t="s">
        <v>55</v>
      </c>
      <c r="C330" s="9" t="s">
        <v>203</v>
      </c>
      <c r="D330" s="9" t="s">
        <v>205</v>
      </c>
      <c r="E330" s="10" t="s">
        <v>206</v>
      </c>
      <c r="F330" s="9" t="s">
        <v>20</v>
      </c>
      <c r="G330" s="11">
        <v>4</v>
      </c>
      <c r="H330" s="11">
        <v>1</v>
      </c>
      <c r="I330" s="191"/>
      <c r="J330" s="191"/>
      <c r="K330" s="191"/>
      <c r="L330" s="191"/>
      <c r="M330" s="191"/>
      <c r="N330" s="191"/>
      <c r="O330" s="211"/>
      <c r="P330" s="212"/>
      <c r="Q330" s="32"/>
      <c r="R330" s="32"/>
      <c r="S330" s="32"/>
      <c r="T330" s="32"/>
      <c r="U330" s="32"/>
      <c r="V330" s="32"/>
      <c r="W330" s="32"/>
      <c r="X330" s="32"/>
      <c r="Y330" s="32"/>
      <c r="Z330" s="32"/>
      <c r="AA330" s="32"/>
      <c r="AB330" s="32"/>
      <c r="AC330" s="32"/>
      <c r="AD330" s="32"/>
      <c r="AE330" s="32"/>
      <c r="AF330" s="32"/>
      <c r="AG330" s="32"/>
      <c r="AH330" s="32"/>
      <c r="AI330" s="32"/>
      <c r="AJ330" s="32"/>
      <c r="AK330" s="32"/>
      <c r="AL330" s="32"/>
      <c r="AM330" s="32"/>
      <c r="AN330" s="32"/>
      <c r="AO330" s="32"/>
      <c r="AP330" s="32"/>
      <c r="AQ330" s="32"/>
      <c r="AR330" s="32"/>
      <c r="AS330" s="32"/>
      <c r="AT330" s="32"/>
      <c r="AU330" s="32"/>
      <c r="AV330" s="32"/>
      <c r="AW330" s="32"/>
      <c r="AX330" s="32"/>
      <c r="AY330" s="32"/>
      <c r="AZ330" s="32"/>
      <c r="BA330" s="32"/>
      <c r="BB330" s="32"/>
      <c r="BC330" s="32"/>
      <c r="BD330" s="32"/>
      <c r="BE330" s="32"/>
      <c r="BF330" s="32"/>
      <c r="BG330" s="32"/>
      <c r="BH330" s="32"/>
      <c r="BI330" s="32"/>
      <c r="BJ330" s="32"/>
      <c r="BK330" s="192"/>
      <c r="BL330" s="32"/>
      <c r="BM330" s="192"/>
      <c r="BN330" s="32"/>
      <c r="BO330" s="32"/>
      <c r="BP330" s="32"/>
      <c r="BQ330" s="32"/>
      <c r="BR330" s="32"/>
      <c r="BS330" s="32"/>
      <c r="BT330" s="32"/>
      <c r="BU330" s="32"/>
      <c r="BV330" s="32"/>
      <c r="BW330" s="32"/>
      <c r="BX330" s="32"/>
      <c r="BY330" s="32"/>
      <c r="BZ330" s="32"/>
      <c r="CA330" s="32"/>
      <c r="CB330" s="32"/>
      <c r="CC330" s="32"/>
      <c r="CD330" s="32"/>
      <c r="CE330" s="32"/>
      <c r="CF330" s="32"/>
      <c r="CG330" s="32"/>
      <c r="CH330" s="32"/>
      <c r="CI330" s="32"/>
      <c r="CJ330" s="32"/>
      <c r="CK330" s="32"/>
      <c r="CL330" s="32"/>
      <c r="CM330" s="32"/>
      <c r="CN330" s="32"/>
      <c r="CO330" s="224">
        <v>1500000</v>
      </c>
      <c r="CP330" s="32">
        <f>CO330*G330</f>
        <v>6000000</v>
      </c>
      <c r="CQ330" s="225"/>
      <c r="CR330" s="32"/>
      <c r="CS330" s="28">
        <v>1100000</v>
      </c>
      <c r="CT330" s="25">
        <f>CS330*G330</f>
        <v>4400000</v>
      </c>
      <c r="CU330" s="225"/>
      <c r="CV330" s="25"/>
      <c r="CW330" s="245"/>
      <c r="CX330" s="25"/>
      <c r="CY330" s="245"/>
      <c r="CZ330" s="25"/>
      <c r="DA330" s="25"/>
      <c r="DB330" s="25"/>
      <c r="DC330" s="245"/>
      <c r="DD330" s="25"/>
      <c r="DE330" s="25"/>
      <c r="DF330" s="25"/>
      <c r="DG330" s="25"/>
      <c r="DH330" s="25"/>
      <c r="DI330" s="25"/>
      <c r="DJ330" s="25"/>
      <c r="DK330" s="25"/>
      <c r="DL330" s="25"/>
      <c r="DM330" s="25"/>
      <c r="DN330" s="25"/>
      <c r="DO330" s="25"/>
      <c r="DP330" s="25"/>
      <c r="DQ330" s="25"/>
      <c r="DR330" s="25"/>
      <c r="DS330" s="13">
        <f>+MEDIAN(CO330,CS330)</f>
        <v>1300000</v>
      </c>
      <c r="DT330" s="13">
        <f>+AVERAGE(CO330,CS330)</f>
        <v>1300000</v>
      </c>
      <c r="DU330" s="13">
        <f>+STDEV(CO330,CS330)</f>
        <v>282842.71247461904</v>
      </c>
      <c r="DV330" s="17">
        <f t="shared" ref="DV330:DV339" si="66">DU330/DT330</f>
        <v>0.2175713172881685</v>
      </c>
      <c r="DW330" s="373">
        <f>+ROUNDUP(IF(DV330&lt;15%,DT330,DS330),0)</f>
        <v>1300000</v>
      </c>
      <c r="DX330" s="326">
        <f t="shared" si="65"/>
        <v>5200000</v>
      </c>
      <c r="DY330" s="10" t="s">
        <v>322</v>
      </c>
    </row>
    <row r="331" spans="1:132" ht="39" hidden="1" x14ac:dyDescent="0.3">
      <c r="A331" s="19">
        <v>140</v>
      </c>
      <c r="B331" s="9" t="s">
        <v>55</v>
      </c>
      <c r="C331" s="9" t="s">
        <v>203</v>
      </c>
      <c r="D331" s="9" t="s">
        <v>267</v>
      </c>
      <c r="E331" s="10" t="s">
        <v>207</v>
      </c>
      <c r="F331" s="59" t="s">
        <v>31</v>
      </c>
      <c r="G331" s="11">
        <v>4</v>
      </c>
      <c r="H331" s="11">
        <v>1</v>
      </c>
      <c r="I331" s="191"/>
      <c r="J331" s="191"/>
      <c r="K331" s="191"/>
      <c r="L331" s="191"/>
      <c r="M331" s="191"/>
      <c r="N331" s="191"/>
      <c r="O331" s="211"/>
      <c r="P331" s="212"/>
      <c r="Q331" s="32"/>
      <c r="R331" s="32"/>
      <c r="S331" s="32"/>
      <c r="T331" s="32"/>
      <c r="U331" s="32"/>
      <c r="V331" s="32"/>
      <c r="W331" s="32"/>
      <c r="X331" s="32"/>
      <c r="Y331" s="32"/>
      <c r="Z331" s="32"/>
      <c r="AA331" s="32">
        <v>4000000</v>
      </c>
      <c r="AB331" s="32">
        <f>AA331*G331</f>
        <v>16000000</v>
      </c>
      <c r="AC331" s="32"/>
      <c r="AD331" s="32"/>
      <c r="AE331" s="32"/>
      <c r="AF331" s="32"/>
      <c r="AG331" s="32">
        <v>4100000</v>
      </c>
      <c r="AH331" s="32">
        <f>AG331*G331</f>
        <v>16400000</v>
      </c>
      <c r="AI331" s="32"/>
      <c r="AJ331" s="32"/>
      <c r="AK331" s="32"/>
      <c r="AL331" s="32"/>
      <c r="AM331" s="32"/>
      <c r="AN331" s="32"/>
      <c r="AO331" s="32"/>
      <c r="AP331" s="32"/>
      <c r="AQ331" s="32"/>
      <c r="AR331" s="32"/>
      <c r="AS331" s="32"/>
      <c r="AT331" s="32"/>
      <c r="AU331" s="32"/>
      <c r="AV331" s="32"/>
      <c r="AW331" s="32"/>
      <c r="AX331" s="32"/>
      <c r="AY331" s="32"/>
      <c r="AZ331" s="32"/>
      <c r="BA331" s="32"/>
      <c r="BB331" s="32"/>
      <c r="BC331" s="32"/>
      <c r="BD331" s="32"/>
      <c r="BE331" s="32"/>
      <c r="BF331" s="32"/>
      <c r="BG331" s="32"/>
      <c r="BH331" s="32"/>
      <c r="BI331" s="32"/>
      <c r="BJ331" s="32"/>
      <c r="BK331" s="192"/>
      <c r="BL331" s="32"/>
      <c r="BM331" s="192"/>
      <c r="BN331" s="32"/>
      <c r="BO331" s="32"/>
      <c r="BP331" s="32"/>
      <c r="BQ331" s="32"/>
      <c r="BR331" s="32"/>
      <c r="BS331" s="32"/>
      <c r="BT331" s="32"/>
      <c r="BU331" s="32"/>
      <c r="BV331" s="32"/>
      <c r="BW331" s="32"/>
      <c r="BX331" s="32"/>
      <c r="BY331" s="32"/>
      <c r="BZ331" s="32"/>
      <c r="CA331" s="32"/>
      <c r="CB331" s="32"/>
      <c r="CC331" s="32"/>
      <c r="CD331" s="32"/>
      <c r="CE331" s="32"/>
      <c r="CF331" s="32"/>
      <c r="CG331" s="32"/>
      <c r="CH331" s="32"/>
      <c r="CI331" s="32"/>
      <c r="CJ331" s="32"/>
      <c r="CK331" s="32"/>
      <c r="CL331" s="32"/>
      <c r="CM331" s="32"/>
      <c r="CN331" s="32"/>
      <c r="CO331" s="32"/>
      <c r="CP331" s="32"/>
      <c r="CQ331" s="32"/>
      <c r="CR331" s="32"/>
      <c r="CS331" s="32"/>
      <c r="CT331" s="32"/>
      <c r="CU331" s="32"/>
      <c r="CV331" s="32"/>
      <c r="CW331" s="32"/>
      <c r="CX331" s="32"/>
      <c r="CY331" s="32"/>
      <c r="CZ331" s="32"/>
      <c r="DA331" s="32"/>
      <c r="DB331" s="32"/>
      <c r="DC331" s="32"/>
      <c r="DD331" s="32"/>
      <c r="DE331" s="32"/>
      <c r="DF331" s="32"/>
      <c r="DG331" s="32"/>
      <c r="DH331" s="32"/>
      <c r="DI331" s="32"/>
      <c r="DJ331" s="32"/>
      <c r="DK331" s="32"/>
      <c r="DL331" s="32"/>
      <c r="DM331" s="32"/>
      <c r="DN331" s="32"/>
      <c r="DO331" s="32"/>
      <c r="DP331" s="32"/>
      <c r="DQ331" s="32"/>
      <c r="DR331" s="32"/>
      <c r="DS331" s="13">
        <f>+MEDIAN(AA331,AG331)</f>
        <v>4050000</v>
      </c>
      <c r="DT331" s="13">
        <f>+AVERAGE(AA331,AG331)</f>
        <v>4050000</v>
      </c>
      <c r="DU331" s="13">
        <f>+STDEV(AA331,AG331)</f>
        <v>70710.67811865476</v>
      </c>
      <c r="DV331" s="17">
        <f t="shared" si="66"/>
        <v>1.7459426695964137E-2</v>
      </c>
      <c r="DW331" s="373">
        <f>+ROUNDUP(IF(DV331&lt;15%,DT331,DS331),0)</f>
        <v>4050000</v>
      </c>
      <c r="DX331" s="326">
        <f t="shared" si="65"/>
        <v>16200000</v>
      </c>
      <c r="DY331" s="10" t="s">
        <v>308</v>
      </c>
    </row>
    <row r="332" spans="1:132" ht="117" hidden="1" x14ac:dyDescent="0.3">
      <c r="A332" s="70">
        <v>141</v>
      </c>
      <c r="B332" s="9" t="s">
        <v>55</v>
      </c>
      <c r="C332" s="20" t="s">
        <v>203</v>
      </c>
      <c r="D332" s="9" t="s">
        <v>373</v>
      </c>
      <c r="E332" s="10" t="s">
        <v>23</v>
      </c>
      <c r="F332" s="59" t="s">
        <v>473</v>
      </c>
      <c r="G332" s="21">
        <v>4</v>
      </c>
      <c r="H332" s="11">
        <v>1</v>
      </c>
      <c r="I332" s="191"/>
      <c r="J332" s="191"/>
      <c r="K332" s="191"/>
      <c r="L332" s="191"/>
      <c r="M332" s="191"/>
      <c r="N332" s="191"/>
      <c r="O332" s="211"/>
      <c r="P332" s="212"/>
      <c r="Q332" s="32"/>
      <c r="R332" s="32"/>
      <c r="S332" s="32"/>
      <c r="T332" s="32"/>
      <c r="U332" s="32"/>
      <c r="V332" s="32"/>
      <c r="W332" s="32"/>
      <c r="X332" s="32"/>
      <c r="Y332" s="32"/>
      <c r="Z332" s="32"/>
      <c r="AA332" s="32">
        <v>3500000</v>
      </c>
      <c r="AB332" s="32">
        <f>AA332*H332</f>
        <v>3500000</v>
      </c>
      <c r="AC332" s="32"/>
      <c r="AD332" s="32"/>
      <c r="AE332" s="32"/>
      <c r="AF332" s="32"/>
      <c r="AG332" s="32">
        <v>3700000</v>
      </c>
      <c r="AH332" s="32">
        <f>AG332*G332*H332</f>
        <v>14800000</v>
      </c>
      <c r="AI332" s="32"/>
      <c r="AJ332" s="32"/>
      <c r="AK332" s="32"/>
      <c r="AL332" s="32"/>
      <c r="AM332" s="32"/>
      <c r="AN332" s="32"/>
      <c r="AO332" s="32"/>
      <c r="AP332" s="32"/>
      <c r="AQ332" s="32"/>
      <c r="AR332" s="32"/>
      <c r="AS332" s="32"/>
      <c r="AT332" s="32"/>
      <c r="AU332" s="32"/>
      <c r="AV332" s="32"/>
      <c r="AW332" s="32"/>
      <c r="AX332" s="32"/>
      <c r="AY332" s="32"/>
      <c r="AZ332" s="32"/>
      <c r="BA332" s="32"/>
      <c r="BB332" s="32"/>
      <c r="BC332" s="32"/>
      <c r="BD332" s="32"/>
      <c r="BE332" s="32"/>
      <c r="BF332" s="32"/>
      <c r="BG332" s="32"/>
      <c r="BH332" s="32"/>
      <c r="BI332" s="32"/>
      <c r="BJ332" s="32"/>
      <c r="BK332" s="192"/>
      <c r="BL332" s="32"/>
      <c r="BM332" s="192"/>
      <c r="BN332" s="32"/>
      <c r="BO332" s="32"/>
      <c r="BP332" s="32"/>
      <c r="BQ332" s="32"/>
      <c r="BR332" s="32"/>
      <c r="BS332" s="32"/>
      <c r="BT332" s="32"/>
      <c r="BU332" s="32"/>
      <c r="BV332" s="32"/>
      <c r="BW332" s="32"/>
      <c r="BX332" s="32"/>
      <c r="BY332" s="32"/>
      <c r="BZ332" s="32"/>
      <c r="CA332" s="32"/>
      <c r="CB332" s="32"/>
      <c r="CC332" s="32"/>
      <c r="CD332" s="32"/>
      <c r="CE332" s="32"/>
      <c r="CF332" s="32"/>
      <c r="CG332" s="32"/>
      <c r="CH332" s="32"/>
      <c r="CI332" s="32"/>
      <c r="CJ332" s="32"/>
      <c r="CK332" s="32"/>
      <c r="CL332" s="32"/>
      <c r="CM332" s="32"/>
      <c r="CN332" s="32"/>
      <c r="CO332" s="32"/>
      <c r="CP332" s="32"/>
      <c r="CQ332" s="32"/>
      <c r="CR332" s="32"/>
      <c r="CS332" s="32"/>
      <c r="CT332" s="32"/>
      <c r="CU332" s="32"/>
      <c r="CV332" s="32"/>
      <c r="CW332" s="32"/>
      <c r="CX332" s="32"/>
      <c r="CY332" s="32"/>
      <c r="CZ332" s="32"/>
      <c r="DA332" s="32"/>
      <c r="DB332" s="32"/>
      <c r="DC332" s="32"/>
      <c r="DD332" s="32"/>
      <c r="DE332" s="32"/>
      <c r="DF332" s="32"/>
      <c r="DG332" s="32"/>
      <c r="DH332" s="32"/>
      <c r="DI332" s="32"/>
      <c r="DJ332" s="32"/>
      <c r="DK332" s="32"/>
      <c r="DL332" s="32"/>
      <c r="DM332" s="32"/>
      <c r="DN332" s="32"/>
      <c r="DO332" s="32"/>
      <c r="DP332" s="32"/>
      <c r="DQ332" s="32"/>
      <c r="DR332" s="32"/>
      <c r="DS332" s="13">
        <f>+MEDIAN(AA332,AG332)</f>
        <v>3600000</v>
      </c>
      <c r="DT332" s="13">
        <f>+AVERAGE(AA332,AG332)</f>
        <v>3600000</v>
      </c>
      <c r="DU332" s="13">
        <f>+STDEV(AA332,AG332)</f>
        <v>141421.35623730952</v>
      </c>
      <c r="DV332" s="17">
        <f t="shared" si="66"/>
        <v>3.9283710065919311E-2</v>
      </c>
      <c r="DW332" s="373">
        <f>+ROUNDUP(IF(DV332&lt;15%,DT332,DS332),0)</f>
        <v>3600000</v>
      </c>
      <c r="DX332" s="13">
        <f t="shared" si="65"/>
        <v>14400000</v>
      </c>
      <c r="DY332" s="10" t="s">
        <v>308</v>
      </c>
    </row>
    <row r="333" spans="1:132" ht="39" hidden="1" x14ac:dyDescent="0.3">
      <c r="A333" s="19">
        <v>142</v>
      </c>
      <c r="B333" s="9" t="s">
        <v>55</v>
      </c>
      <c r="C333" s="9" t="s">
        <v>203</v>
      </c>
      <c r="D333" s="9" t="s">
        <v>295</v>
      </c>
      <c r="E333" s="10" t="s">
        <v>208</v>
      </c>
      <c r="F333" s="27" t="s">
        <v>31</v>
      </c>
      <c r="G333" s="11">
        <v>400</v>
      </c>
      <c r="H333" s="11">
        <v>1</v>
      </c>
      <c r="I333" s="191"/>
      <c r="J333" s="191"/>
      <c r="K333" s="191"/>
      <c r="L333" s="191"/>
      <c r="M333" s="191"/>
      <c r="N333" s="191"/>
      <c r="O333" s="211"/>
      <c r="P333" s="212"/>
      <c r="Q333" s="32"/>
      <c r="R333" s="32"/>
      <c r="S333" s="32"/>
      <c r="T333" s="32"/>
      <c r="U333" s="32"/>
      <c r="V333" s="32"/>
      <c r="X333" s="32"/>
      <c r="Y333" s="32"/>
      <c r="Z333" s="32"/>
      <c r="AA333" s="32">
        <v>3500</v>
      </c>
      <c r="AB333" s="32">
        <f>AA333*G333</f>
        <v>1400000</v>
      </c>
      <c r="AC333" s="32"/>
      <c r="AD333" s="32"/>
      <c r="AE333" s="32"/>
      <c r="AF333" s="32"/>
      <c r="AG333" s="32">
        <v>3200</v>
      </c>
      <c r="AH333" s="32">
        <f>AG333*G333</f>
        <v>1280000</v>
      </c>
      <c r="AI333" s="32"/>
      <c r="AJ333" s="32"/>
      <c r="AK333" s="32"/>
      <c r="AL333" s="32"/>
      <c r="AM333" s="32"/>
      <c r="AN333" s="32"/>
      <c r="AO333" s="32"/>
      <c r="AP333" s="32"/>
      <c r="AQ333" s="32"/>
      <c r="AR333" s="32"/>
      <c r="AS333" s="32"/>
      <c r="AT333" s="32"/>
      <c r="AU333" s="32"/>
      <c r="AV333" s="32"/>
      <c r="AW333" s="32"/>
      <c r="AX333" s="32"/>
      <c r="AY333" s="32"/>
      <c r="AZ333" s="32"/>
      <c r="BA333" s="32"/>
      <c r="BB333" s="32"/>
      <c r="BC333" s="32"/>
      <c r="BD333" s="32"/>
      <c r="BE333" s="32"/>
      <c r="BF333" s="32"/>
      <c r="BG333" s="32"/>
      <c r="BH333" s="32"/>
      <c r="BI333" s="32"/>
      <c r="BJ333" s="32"/>
      <c r="BK333" s="192"/>
      <c r="BL333" s="32"/>
      <c r="BM333" s="192"/>
      <c r="BN333" s="32"/>
      <c r="BO333" s="32"/>
      <c r="BP333" s="32"/>
      <c r="BQ333" s="32"/>
      <c r="BR333" s="32"/>
      <c r="BS333" s="32"/>
      <c r="BT333" s="32"/>
      <c r="BU333" s="32"/>
      <c r="BV333" s="32"/>
      <c r="BW333" s="32"/>
      <c r="BX333" s="32"/>
      <c r="BY333" s="32"/>
      <c r="BZ333" s="32"/>
      <c r="CA333" s="32"/>
      <c r="CB333" s="32"/>
      <c r="CC333" s="32"/>
      <c r="CD333" s="32"/>
      <c r="CE333" s="32"/>
      <c r="CF333" s="32"/>
      <c r="CG333" s="32"/>
      <c r="CH333" s="32"/>
      <c r="CI333" s="32"/>
      <c r="CJ333" s="32"/>
      <c r="CK333" s="32"/>
      <c r="CL333" s="32"/>
      <c r="CM333" s="32"/>
      <c r="CN333" s="32"/>
      <c r="CO333" s="32"/>
      <c r="CP333" s="32"/>
      <c r="CQ333" s="32"/>
      <c r="CR333" s="32"/>
      <c r="CS333" s="32"/>
      <c r="CT333" s="32"/>
      <c r="CU333" s="32"/>
      <c r="CV333" s="32"/>
      <c r="CW333" s="32"/>
      <c r="CX333" s="32"/>
      <c r="CY333" s="32"/>
      <c r="CZ333" s="32"/>
      <c r="DA333" s="32"/>
      <c r="DB333" s="32"/>
      <c r="DC333" s="32"/>
      <c r="DD333" s="32"/>
      <c r="DE333" s="32"/>
      <c r="DF333" s="32"/>
      <c r="DG333" s="32"/>
      <c r="DH333" s="32"/>
      <c r="DI333" s="32"/>
      <c r="DJ333" s="32"/>
      <c r="DK333" s="32"/>
      <c r="DL333" s="32"/>
      <c r="DM333" s="32"/>
      <c r="DN333" s="32"/>
      <c r="DO333" s="32"/>
      <c r="DP333" s="32"/>
      <c r="DQ333" s="32"/>
      <c r="DR333" s="32"/>
      <c r="DS333" s="13">
        <f>+MEDIAN(AA333,AG333)</f>
        <v>3350</v>
      </c>
      <c r="DT333" s="13">
        <f>+AVERAGE(AA333,AG333)</f>
        <v>3350</v>
      </c>
      <c r="DU333" s="13">
        <f>+STDEV(AA333,AG333)</f>
        <v>212.13203435596427</v>
      </c>
      <c r="DV333" s="17">
        <f t="shared" si="66"/>
        <v>6.332299533013859E-2</v>
      </c>
      <c r="DW333" s="373">
        <f>+ROUNDUP(IF(DV333&lt;15%,DT333,DS333),0)</f>
        <v>3350</v>
      </c>
      <c r="DX333" s="326">
        <f t="shared" si="65"/>
        <v>1340000</v>
      </c>
      <c r="DY333" s="10" t="s">
        <v>308</v>
      </c>
    </row>
    <row r="334" spans="1:132" ht="39" hidden="1" x14ac:dyDescent="0.3">
      <c r="A334" s="70">
        <v>143</v>
      </c>
      <c r="B334" s="9" t="s">
        <v>55</v>
      </c>
      <c r="C334" s="9" t="s">
        <v>203</v>
      </c>
      <c r="D334" s="9" t="s">
        <v>223</v>
      </c>
      <c r="E334" s="10" t="s">
        <v>209</v>
      </c>
      <c r="F334" s="9" t="s">
        <v>477</v>
      </c>
      <c r="G334" s="11">
        <v>4</v>
      </c>
      <c r="H334" s="11">
        <v>1</v>
      </c>
      <c r="I334" s="191"/>
      <c r="J334" s="191"/>
      <c r="K334" s="191"/>
      <c r="L334" s="191"/>
      <c r="M334" s="191"/>
      <c r="N334" s="191"/>
      <c r="O334" s="211"/>
      <c r="P334" s="212"/>
      <c r="Q334" s="32"/>
      <c r="R334" s="32"/>
      <c r="S334" s="32"/>
      <c r="T334" s="32"/>
      <c r="U334" s="32"/>
      <c r="V334" s="32"/>
      <c r="W334" s="32"/>
      <c r="X334" s="32"/>
      <c r="Y334" s="32"/>
      <c r="Z334" s="32"/>
      <c r="AA334" s="32">
        <v>900000</v>
      </c>
      <c r="AB334" s="32">
        <f>AA334*G334</f>
        <v>3600000</v>
      </c>
      <c r="AC334" s="32"/>
      <c r="AD334" s="32"/>
      <c r="AE334" s="32"/>
      <c r="AF334" s="32"/>
      <c r="AG334" s="32">
        <v>890000</v>
      </c>
      <c r="AH334" s="32">
        <f>AG334*G334</f>
        <v>3560000</v>
      </c>
      <c r="AI334" s="32"/>
      <c r="AJ334" s="32"/>
      <c r="AK334" s="32"/>
      <c r="AL334" s="32"/>
      <c r="AM334" s="32"/>
      <c r="AN334" s="32"/>
      <c r="AO334" s="32"/>
      <c r="AP334" s="32"/>
      <c r="AQ334" s="32"/>
      <c r="AR334" s="32"/>
      <c r="AS334" s="32"/>
      <c r="AT334" s="32"/>
      <c r="AU334" s="32">
        <v>599000</v>
      </c>
      <c r="AV334" s="32">
        <f>AU334*G334</f>
        <v>2396000</v>
      </c>
      <c r="AW334" s="32">
        <v>599000</v>
      </c>
      <c r="AX334" s="32">
        <f>AW334*263</f>
        <v>157537000</v>
      </c>
      <c r="AY334" s="32">
        <v>550000</v>
      </c>
      <c r="AZ334" s="32">
        <f>AY334*G334</f>
        <v>2200000</v>
      </c>
      <c r="BA334" s="32"/>
      <c r="BB334" s="32"/>
      <c r="BC334" s="32"/>
      <c r="BD334" s="32"/>
      <c r="BE334" s="32"/>
      <c r="BF334" s="32"/>
      <c r="BG334" s="32"/>
      <c r="BH334" s="32"/>
      <c r="BI334" s="32"/>
      <c r="BJ334" s="32"/>
      <c r="BK334" s="192"/>
      <c r="BL334" s="32"/>
      <c r="BM334" s="192"/>
      <c r="BN334" s="32"/>
      <c r="BO334" s="32"/>
      <c r="BP334" s="32"/>
      <c r="BQ334" s="32"/>
      <c r="BR334" s="32"/>
      <c r="BS334" s="32"/>
      <c r="BT334" s="32"/>
      <c r="BU334" s="32"/>
      <c r="BV334" s="32"/>
      <c r="BW334" s="32"/>
      <c r="BX334" s="32"/>
      <c r="BY334" s="32"/>
      <c r="BZ334" s="32"/>
      <c r="CA334" s="32"/>
      <c r="CB334" s="32"/>
      <c r="CC334" s="32"/>
      <c r="CD334" s="32"/>
      <c r="CE334" s="32"/>
      <c r="CF334" s="32"/>
      <c r="CG334" s="32"/>
      <c r="CH334" s="32"/>
      <c r="CI334" s="32"/>
      <c r="CJ334" s="32"/>
      <c r="CK334" s="32"/>
      <c r="CL334" s="32"/>
      <c r="CM334" s="32"/>
      <c r="CN334" s="32"/>
      <c r="CO334" s="32"/>
      <c r="CP334" s="32"/>
      <c r="CQ334" s="32"/>
      <c r="CR334" s="32"/>
      <c r="CS334" s="32"/>
      <c r="CT334" s="32"/>
      <c r="CU334" s="32"/>
      <c r="CV334" s="32"/>
      <c r="CW334" s="32"/>
      <c r="CX334" s="32"/>
      <c r="CY334" s="32"/>
      <c r="CZ334" s="32"/>
      <c r="DA334" s="32"/>
      <c r="DB334" s="32"/>
      <c r="DC334" s="32"/>
      <c r="DD334" s="32"/>
      <c r="DE334" s="32"/>
      <c r="DF334" s="32"/>
      <c r="DG334" s="32"/>
      <c r="DH334" s="32"/>
      <c r="DI334" s="32"/>
      <c r="DJ334" s="32"/>
      <c r="DK334" s="32"/>
      <c r="DL334" s="32"/>
      <c r="DM334" s="32"/>
      <c r="DN334" s="32"/>
      <c r="DO334" s="32"/>
      <c r="DP334" s="32"/>
      <c r="DQ334" s="32"/>
      <c r="DR334" s="32"/>
      <c r="DS334" s="265">
        <f>MEDIAN(AA334,AG334,AU334,AW334,AY334)</f>
        <v>599000</v>
      </c>
      <c r="DT334" s="265">
        <f>AVERAGE(AA334,AG334,AU334,AW334,AY334)</f>
        <v>707600</v>
      </c>
      <c r="DU334" s="265">
        <f>STDEV(AA334,AG334,AU334,AW334,AY334)</f>
        <v>172273.90980644748</v>
      </c>
      <c r="DV334" s="48">
        <f t="shared" si="66"/>
        <v>0.2434622806761553</v>
      </c>
      <c r="DW334" s="377">
        <f>ROUNDUP(IF(DV334&lt;15%,DT334,DS334),0)</f>
        <v>599000</v>
      </c>
      <c r="DX334" s="326">
        <f t="shared" si="65"/>
        <v>2396000</v>
      </c>
      <c r="DY334" s="29" t="s">
        <v>458</v>
      </c>
    </row>
    <row r="335" spans="1:132" ht="52" hidden="1" x14ac:dyDescent="0.3">
      <c r="A335" s="19">
        <v>144</v>
      </c>
      <c r="B335" s="9" t="s">
        <v>55</v>
      </c>
      <c r="C335" s="9" t="s">
        <v>203</v>
      </c>
      <c r="D335" s="9" t="s">
        <v>186</v>
      </c>
      <c r="E335" s="51" t="s">
        <v>224</v>
      </c>
      <c r="F335" s="9" t="s">
        <v>19</v>
      </c>
      <c r="G335" s="11">
        <v>400</v>
      </c>
      <c r="H335" s="11">
        <v>1</v>
      </c>
      <c r="I335" s="191"/>
      <c r="J335" s="191"/>
      <c r="K335" s="191"/>
      <c r="L335" s="191"/>
      <c r="M335" s="191"/>
      <c r="N335" s="191"/>
      <c r="O335" s="211"/>
      <c r="P335" s="212"/>
      <c r="Q335" s="32"/>
      <c r="R335" s="32"/>
      <c r="S335" s="32"/>
      <c r="T335" s="32"/>
      <c r="U335" s="32"/>
      <c r="V335" s="32"/>
      <c r="W335" s="32"/>
      <c r="X335" s="32"/>
      <c r="Y335" s="32"/>
      <c r="Z335" s="32"/>
      <c r="AA335" s="32"/>
      <c r="AB335" s="32"/>
      <c r="AC335" s="32"/>
      <c r="AD335" s="32"/>
      <c r="AE335" s="32"/>
      <c r="AF335" s="32"/>
      <c r="AG335" s="32"/>
      <c r="AH335" s="32"/>
      <c r="AI335" s="32"/>
      <c r="AJ335" s="32"/>
      <c r="AK335" s="32"/>
      <c r="AL335" s="32"/>
      <c r="AM335" s="32"/>
      <c r="AN335" s="32"/>
      <c r="AO335" s="32"/>
      <c r="AP335" s="32"/>
      <c r="AQ335" s="32"/>
      <c r="AR335" s="32"/>
      <c r="AS335" s="32"/>
      <c r="AT335" s="32"/>
      <c r="AU335" s="32"/>
      <c r="AV335" s="32"/>
      <c r="AW335" s="32"/>
      <c r="AX335" s="32"/>
      <c r="AY335" s="32"/>
      <c r="AZ335" s="32"/>
      <c r="BA335" s="32"/>
      <c r="BB335" s="32"/>
      <c r="BC335" s="13">
        <v>3000</v>
      </c>
      <c r="BD335" s="32">
        <f>BC335*G335</f>
        <v>1200000</v>
      </c>
      <c r="BE335" s="13">
        <v>2700</v>
      </c>
      <c r="BF335" s="32">
        <f>BE335*G335</f>
        <v>1080000</v>
      </c>
      <c r="BG335" s="32"/>
      <c r="BH335" s="32"/>
      <c r="BI335" s="32"/>
      <c r="BJ335" s="32"/>
      <c r="BK335" s="192"/>
      <c r="BL335" s="32"/>
      <c r="BM335" s="192"/>
      <c r="BN335" s="32"/>
      <c r="BO335" s="32"/>
      <c r="BP335" s="32"/>
      <c r="BQ335" s="32"/>
      <c r="BR335" s="32"/>
      <c r="BS335" s="32"/>
      <c r="BT335" s="32"/>
      <c r="BU335" s="32"/>
      <c r="BV335" s="32"/>
      <c r="BW335" s="32"/>
      <c r="BX335" s="32"/>
      <c r="BY335" s="32"/>
      <c r="BZ335" s="32"/>
      <c r="CA335" s="32"/>
      <c r="CB335" s="32"/>
      <c r="CC335" s="32"/>
      <c r="CD335" s="32"/>
      <c r="CE335" s="32"/>
      <c r="CF335" s="32"/>
      <c r="CG335" s="32"/>
      <c r="CH335" s="32"/>
      <c r="CI335" s="32"/>
      <c r="CJ335" s="32"/>
      <c r="CK335" s="32"/>
      <c r="CL335" s="32"/>
      <c r="CM335" s="32"/>
      <c r="CN335" s="32"/>
      <c r="CO335" s="32"/>
      <c r="CP335" s="32"/>
      <c r="CQ335" s="32"/>
      <c r="CR335" s="32"/>
      <c r="CS335" s="32"/>
      <c r="CT335" s="32"/>
      <c r="CU335" s="32"/>
      <c r="CV335" s="32"/>
      <c r="CW335" s="32"/>
      <c r="CX335" s="32"/>
      <c r="CY335" s="32"/>
      <c r="CZ335" s="32"/>
      <c r="DA335" s="32"/>
      <c r="DB335" s="32"/>
      <c r="DC335" s="32"/>
      <c r="DD335" s="32"/>
      <c r="DE335" s="32"/>
      <c r="DF335" s="32"/>
      <c r="DG335" s="32"/>
      <c r="DH335" s="32"/>
      <c r="DI335" s="32"/>
      <c r="DJ335" s="32"/>
      <c r="DK335" s="32"/>
      <c r="DL335" s="32"/>
      <c r="DM335" s="32"/>
      <c r="DN335" s="32"/>
      <c r="DO335" s="32"/>
      <c r="DP335" s="32"/>
      <c r="DQ335" s="32"/>
      <c r="DR335" s="32"/>
      <c r="DS335" s="265">
        <f>MEDIAN(BC335,BE335)</f>
        <v>2850</v>
      </c>
      <c r="DT335" s="265">
        <f>AVERAGE(BC335,BE335)</f>
        <v>2850</v>
      </c>
      <c r="DU335" s="265">
        <f>STDEV(BC335,BE335)</f>
        <v>212.13203435596427</v>
      </c>
      <c r="DV335" s="48">
        <f t="shared" si="66"/>
        <v>7.4432292756478696E-2</v>
      </c>
      <c r="DW335" s="377">
        <f>ROUNDUP(IF(DV335&lt;15%,DT335,DS335),0)</f>
        <v>2850</v>
      </c>
      <c r="DX335" s="326">
        <f t="shared" si="65"/>
        <v>1140000</v>
      </c>
      <c r="DY335" s="10" t="s">
        <v>315</v>
      </c>
    </row>
    <row r="336" spans="1:132" ht="104" hidden="1" x14ac:dyDescent="0.3">
      <c r="A336" s="70">
        <v>145</v>
      </c>
      <c r="B336" s="9" t="s">
        <v>55</v>
      </c>
      <c r="C336" s="9" t="s">
        <v>203</v>
      </c>
      <c r="D336" s="9" t="s">
        <v>226</v>
      </c>
      <c r="E336" s="10" t="s">
        <v>210</v>
      </c>
      <c r="F336" s="9" t="s">
        <v>476</v>
      </c>
      <c r="G336" s="11">
        <v>4</v>
      </c>
      <c r="H336" s="11">
        <v>1</v>
      </c>
      <c r="I336" s="191"/>
      <c r="J336" s="191"/>
      <c r="K336" s="191"/>
      <c r="L336" s="191"/>
      <c r="M336" s="191"/>
      <c r="N336" s="191"/>
      <c r="O336" s="211"/>
      <c r="P336" s="212"/>
      <c r="Q336" s="32"/>
      <c r="R336" s="32"/>
      <c r="S336" s="32"/>
      <c r="T336" s="32"/>
      <c r="U336" s="32"/>
      <c r="V336" s="32"/>
      <c r="W336" s="32"/>
      <c r="X336" s="32"/>
      <c r="Y336" s="32"/>
      <c r="Z336" s="32"/>
      <c r="AA336" s="32"/>
      <c r="AB336" s="32"/>
      <c r="AC336" s="32"/>
      <c r="AD336" s="32"/>
      <c r="AE336" s="32"/>
      <c r="AF336" s="32"/>
      <c r="AG336" s="32"/>
      <c r="AH336" s="32"/>
      <c r="AI336" s="32"/>
      <c r="AJ336" s="32"/>
      <c r="AK336" s="32"/>
      <c r="AL336" s="32"/>
      <c r="AM336" s="32"/>
      <c r="AN336" s="32"/>
      <c r="AO336" s="32"/>
      <c r="AP336" s="32"/>
      <c r="AQ336" s="32"/>
      <c r="AR336" s="32"/>
      <c r="AS336" s="32"/>
      <c r="AT336" s="32"/>
      <c r="AU336" s="32"/>
      <c r="AV336" s="32"/>
      <c r="AW336" s="32"/>
      <c r="AX336" s="32"/>
      <c r="AY336" s="32"/>
      <c r="AZ336" s="32"/>
      <c r="BA336" s="32"/>
      <c r="BB336" s="32"/>
      <c r="BC336" s="32"/>
      <c r="BD336" s="32"/>
      <c r="BE336" s="32"/>
      <c r="BF336" s="32"/>
      <c r="BG336" s="32"/>
      <c r="BH336" s="32"/>
      <c r="BI336" s="32"/>
      <c r="BJ336" s="32"/>
      <c r="BK336" s="192"/>
      <c r="BL336" s="32"/>
      <c r="BM336" s="192"/>
      <c r="BN336" s="32"/>
      <c r="BO336" s="32"/>
      <c r="BP336" s="32"/>
      <c r="BQ336" s="32"/>
      <c r="BR336" s="32"/>
      <c r="BS336" s="32"/>
      <c r="BT336" s="32"/>
      <c r="BU336" s="32"/>
      <c r="BV336" s="32"/>
      <c r="BW336" s="32"/>
      <c r="BX336" s="32"/>
      <c r="BY336" s="32"/>
      <c r="BZ336" s="32"/>
      <c r="CA336" s="32"/>
      <c r="CB336" s="32"/>
      <c r="CC336" s="32"/>
      <c r="CD336" s="32"/>
      <c r="CE336" s="32"/>
      <c r="CF336" s="32"/>
      <c r="CG336" s="32"/>
      <c r="CH336" s="32"/>
      <c r="CI336" s="32"/>
      <c r="CJ336" s="32"/>
      <c r="CK336" s="246">
        <f>1138011+(1138011*5.2%)</f>
        <v>1197187.5719999999</v>
      </c>
      <c r="CL336" s="32">
        <f>CK336*G336</f>
        <v>4788750.2879999997</v>
      </c>
      <c r="CM336" s="246">
        <f>1200000+(1200000*5.2%)</f>
        <v>1262400</v>
      </c>
      <c r="CN336" s="32">
        <f>CM336*G336</f>
        <v>5049600</v>
      </c>
      <c r="CO336" s="32"/>
      <c r="CP336" s="32"/>
      <c r="CQ336" s="32"/>
      <c r="CR336" s="32"/>
      <c r="CS336" s="32"/>
      <c r="CT336" s="32"/>
      <c r="CU336" s="32"/>
      <c r="CV336" s="32"/>
      <c r="CW336" s="32"/>
      <c r="CX336" s="32"/>
      <c r="CY336" s="32"/>
      <c r="CZ336" s="32"/>
      <c r="DA336" s="32"/>
      <c r="DB336" s="32"/>
      <c r="DC336" s="32"/>
      <c r="DD336" s="32"/>
      <c r="DE336" s="32"/>
      <c r="DF336" s="32"/>
      <c r="DG336" s="32"/>
      <c r="DH336" s="32"/>
      <c r="DI336" s="32"/>
      <c r="DJ336" s="32"/>
      <c r="DK336" s="32"/>
      <c r="DL336" s="32"/>
      <c r="DM336" s="32"/>
      <c r="DN336" s="32"/>
      <c r="DO336" s="32"/>
      <c r="DP336" s="32"/>
      <c r="DQ336" s="32"/>
      <c r="DR336" s="32"/>
      <c r="DS336" s="265">
        <f>MEDIAN(CK336,CM336)</f>
        <v>1229793.7859999998</v>
      </c>
      <c r="DT336" s="265">
        <f>AVERAGE(CK336,CM336)</f>
        <v>1229793.7859999998</v>
      </c>
      <c r="DU336" s="265">
        <f>STDEV(CK336,CM336)</f>
        <v>46112.150056439539</v>
      </c>
      <c r="DV336" s="48">
        <f t="shared" si="66"/>
        <v>3.7495839206037058E-2</v>
      </c>
      <c r="DW336" s="377">
        <f>ROUNDUP(IF(DV336&lt;15%,DT336,DS336),0)</f>
        <v>1229794</v>
      </c>
      <c r="DX336" s="326">
        <f t="shared" si="65"/>
        <v>4919176</v>
      </c>
      <c r="DY336" s="10" t="s">
        <v>308</v>
      </c>
    </row>
    <row r="337" spans="1:132" ht="39" hidden="1" x14ac:dyDescent="0.3">
      <c r="A337" s="19">
        <v>146</v>
      </c>
      <c r="B337" s="9" t="s">
        <v>55</v>
      </c>
      <c r="C337" s="9" t="s">
        <v>203</v>
      </c>
      <c r="D337" s="9" t="s">
        <v>199</v>
      </c>
      <c r="E337" s="10" t="s">
        <v>211</v>
      </c>
      <c r="F337" s="9" t="s">
        <v>19</v>
      </c>
      <c r="G337" s="11">
        <v>400</v>
      </c>
      <c r="H337" s="11">
        <v>4</v>
      </c>
      <c r="I337" s="340"/>
      <c r="J337" s="340"/>
      <c r="K337" s="340"/>
      <c r="L337" s="340"/>
      <c r="M337" s="340"/>
      <c r="N337" s="340"/>
      <c r="O337" s="341"/>
      <c r="P337" s="342"/>
      <c r="Q337" s="25"/>
      <c r="R337" s="25"/>
      <c r="S337" s="25"/>
      <c r="T337" s="25"/>
      <c r="U337" s="25"/>
      <c r="V337" s="25"/>
      <c r="W337" s="25"/>
      <c r="X337" s="25"/>
      <c r="Y337" s="25"/>
      <c r="Z337" s="25"/>
      <c r="AA337" s="25"/>
      <c r="AB337" s="25"/>
      <c r="AC337" s="25"/>
      <c r="AD337" s="25"/>
      <c r="AE337" s="25"/>
      <c r="AF337" s="25"/>
      <c r="AG337" s="25"/>
      <c r="AH337" s="25"/>
      <c r="AI337" s="25"/>
      <c r="AJ337" s="25"/>
      <c r="AK337" s="25"/>
      <c r="AL337" s="25"/>
      <c r="AM337" s="25"/>
      <c r="AN337" s="25"/>
      <c r="AO337" s="25"/>
      <c r="AP337" s="25"/>
      <c r="AQ337" s="25"/>
      <c r="AR337" s="25"/>
      <c r="AS337" s="25"/>
      <c r="AT337" s="25"/>
      <c r="AU337" s="25"/>
      <c r="AV337" s="25"/>
      <c r="AW337" s="25"/>
      <c r="AX337" s="25"/>
      <c r="AY337" s="25"/>
      <c r="AZ337" s="25"/>
      <c r="BA337" s="25"/>
      <c r="BB337" s="25"/>
      <c r="BC337" s="25"/>
      <c r="BD337" s="25"/>
      <c r="BE337" s="25"/>
      <c r="BF337" s="25"/>
      <c r="BG337" s="25"/>
      <c r="BH337" s="25"/>
      <c r="BI337" s="25"/>
      <c r="BJ337" s="25"/>
      <c r="BK337" s="343"/>
      <c r="BL337" s="25"/>
      <c r="BM337" s="343"/>
      <c r="BN337" s="25"/>
      <c r="BO337" s="25"/>
      <c r="BP337" s="25"/>
      <c r="BQ337" s="25"/>
      <c r="BR337" s="25"/>
      <c r="BS337" s="25"/>
      <c r="BT337" s="25"/>
      <c r="BU337" s="25"/>
      <c r="BV337" s="25"/>
      <c r="BW337" s="25"/>
      <c r="BX337" s="25"/>
      <c r="BY337" s="25"/>
      <c r="BZ337" s="25"/>
      <c r="CA337" s="25"/>
      <c r="CB337" s="25"/>
      <c r="CC337" s="25"/>
      <c r="CD337" s="25"/>
      <c r="CE337" s="25"/>
      <c r="CF337" s="25"/>
      <c r="CG337" s="25"/>
      <c r="CH337" s="25"/>
      <c r="CI337" s="25"/>
      <c r="CJ337" s="25"/>
      <c r="CK337" s="25"/>
      <c r="CL337" s="25"/>
      <c r="CM337" s="25"/>
      <c r="CN337" s="25"/>
      <c r="CO337" s="341"/>
      <c r="CP337" s="25"/>
      <c r="CQ337" s="344">
        <v>25000</v>
      </c>
      <c r="CR337" s="25">
        <f>CQ337*G337</f>
        <v>10000000</v>
      </c>
      <c r="CS337" s="28"/>
      <c r="CT337" s="25"/>
      <c r="CU337" s="344">
        <v>25000</v>
      </c>
      <c r="CV337" s="25">
        <f>CU337*G337</f>
        <v>10000000</v>
      </c>
      <c r="CW337" s="352"/>
      <c r="CX337" s="25"/>
      <c r="CY337" s="352"/>
      <c r="CZ337" s="25"/>
      <c r="DA337" s="25"/>
      <c r="DB337" s="25"/>
      <c r="DC337" s="352"/>
      <c r="DD337" s="25"/>
      <c r="DE337" s="25"/>
      <c r="DF337" s="25"/>
      <c r="DG337" s="25"/>
      <c r="DH337" s="25"/>
      <c r="DI337" s="25"/>
      <c r="DJ337" s="25"/>
      <c r="DK337" s="25"/>
      <c r="DL337" s="25"/>
      <c r="DM337" s="25"/>
      <c r="DN337" s="25"/>
      <c r="DO337" s="25"/>
      <c r="DP337" s="25"/>
      <c r="DQ337" s="25"/>
      <c r="DR337" s="25"/>
      <c r="DS337" s="13">
        <f>+MEDIAN(CQ337,CU337)</f>
        <v>25000</v>
      </c>
      <c r="DT337" s="13">
        <f>+AVERAGE(CQ337,CU337)</f>
        <v>25000</v>
      </c>
      <c r="DU337" s="13">
        <f>+STDEV(CQ337,CU337)</f>
        <v>0</v>
      </c>
      <c r="DV337" s="17">
        <f t="shared" si="66"/>
        <v>0</v>
      </c>
      <c r="DW337" s="373">
        <f>+ROUNDUP(IF(DV337&lt;15%,DT337,DS337),0)</f>
        <v>25000</v>
      </c>
      <c r="DX337" s="326">
        <f t="shared" si="65"/>
        <v>40000000</v>
      </c>
      <c r="DY337" s="10" t="s">
        <v>322</v>
      </c>
    </row>
    <row r="338" spans="1:132" s="111" customFormat="1" ht="195" hidden="1" x14ac:dyDescent="0.3">
      <c r="A338" s="70">
        <v>147</v>
      </c>
      <c r="B338" s="106" t="s">
        <v>55</v>
      </c>
      <c r="C338" s="106" t="s">
        <v>203</v>
      </c>
      <c r="D338" s="106" t="s">
        <v>225</v>
      </c>
      <c r="E338" s="107" t="s">
        <v>204</v>
      </c>
      <c r="F338" s="106" t="s">
        <v>19</v>
      </c>
      <c r="G338" s="108">
        <v>250</v>
      </c>
      <c r="H338" s="108">
        <v>1</v>
      </c>
      <c r="I338" s="244"/>
      <c r="J338" s="244"/>
      <c r="K338" s="244"/>
      <c r="L338" s="244"/>
      <c r="M338" s="244"/>
      <c r="N338" s="244"/>
      <c r="O338" s="294"/>
      <c r="P338" s="295"/>
      <c r="Q338" s="109"/>
      <c r="R338" s="109"/>
      <c r="S338" s="109"/>
      <c r="T338" s="109"/>
      <c r="U338" s="109"/>
      <c r="V338" s="109"/>
      <c r="W338" s="109"/>
      <c r="X338" s="109"/>
      <c r="Y338" s="109"/>
      <c r="Z338" s="109"/>
      <c r="AA338" s="109"/>
      <c r="AB338" s="109"/>
      <c r="AC338" s="109"/>
      <c r="AD338" s="109"/>
      <c r="AE338" s="109"/>
      <c r="AF338" s="109"/>
      <c r="AG338" s="109"/>
      <c r="AH338" s="109"/>
      <c r="AI338" s="109"/>
      <c r="AJ338" s="109"/>
      <c r="AK338" s="109">
        <v>27000</v>
      </c>
      <c r="AL338" s="109">
        <f>AK338*G338</f>
        <v>6750000</v>
      </c>
      <c r="AM338" s="109">
        <f>18000+(18000*5.2%)</f>
        <v>18936</v>
      </c>
      <c r="AN338" s="109">
        <f>AM338*G338</f>
        <v>4734000</v>
      </c>
      <c r="AO338" s="109">
        <f>13400+(13400*5.2%)</f>
        <v>14096.8</v>
      </c>
      <c r="AP338" s="109">
        <f>AO338*G338</f>
        <v>3524200</v>
      </c>
      <c r="AQ338" s="109">
        <f>16900+(16900*5.2%)</f>
        <v>17778.8</v>
      </c>
      <c r="AR338" s="109">
        <f>AQ338*G338</f>
        <v>4444700</v>
      </c>
      <c r="AS338" s="109"/>
      <c r="AT338" s="109"/>
      <c r="AU338" s="109"/>
      <c r="AV338" s="109"/>
      <c r="AW338" s="109"/>
      <c r="AX338" s="109"/>
      <c r="AY338" s="109"/>
      <c r="AZ338" s="109"/>
      <c r="BA338" s="109"/>
      <c r="BB338" s="109"/>
      <c r="BC338" s="109"/>
      <c r="BD338" s="109"/>
      <c r="BE338" s="109"/>
      <c r="BF338" s="109"/>
      <c r="BG338" s="109"/>
      <c r="BH338" s="109"/>
      <c r="BI338" s="109"/>
      <c r="BJ338" s="109"/>
      <c r="BK338" s="296"/>
      <c r="BL338" s="109"/>
      <c r="BM338" s="296"/>
      <c r="BN338" s="109"/>
      <c r="BO338" s="109"/>
      <c r="BP338" s="109"/>
      <c r="BQ338" s="109"/>
      <c r="BR338" s="109"/>
      <c r="BS338" s="109"/>
      <c r="BT338" s="109"/>
      <c r="BU338" s="109"/>
      <c r="BV338" s="109"/>
      <c r="BW338" s="109"/>
      <c r="BX338" s="109"/>
      <c r="BY338" s="109"/>
      <c r="BZ338" s="109"/>
      <c r="CA338" s="109"/>
      <c r="CB338" s="109"/>
      <c r="CC338" s="109"/>
      <c r="CD338" s="109"/>
      <c r="CE338" s="109"/>
      <c r="CF338" s="109"/>
      <c r="CG338" s="109"/>
      <c r="CH338" s="109"/>
      <c r="CI338" s="109"/>
      <c r="CJ338" s="109"/>
      <c r="CK338" s="109"/>
      <c r="CL338" s="109"/>
      <c r="CM338" s="109"/>
      <c r="CN338" s="109"/>
      <c r="CO338" s="109"/>
      <c r="CP338" s="109"/>
      <c r="CQ338" s="109"/>
      <c r="CR338" s="109"/>
      <c r="CS338" s="109"/>
      <c r="CT338" s="109"/>
      <c r="CU338" s="109"/>
      <c r="CV338" s="109"/>
      <c r="CW338" s="109"/>
      <c r="CX338" s="109"/>
      <c r="CY338" s="109"/>
      <c r="CZ338" s="109"/>
      <c r="DA338" s="109"/>
      <c r="DB338" s="109"/>
      <c r="DC338" s="109"/>
      <c r="DD338" s="109"/>
      <c r="DE338" s="109"/>
      <c r="DF338" s="109"/>
      <c r="DG338" s="109"/>
      <c r="DH338" s="109"/>
      <c r="DI338" s="109"/>
      <c r="DJ338" s="109"/>
      <c r="DK338" s="109"/>
      <c r="DL338" s="109"/>
      <c r="DM338" s="109"/>
      <c r="DN338" s="109"/>
      <c r="DO338" s="109"/>
      <c r="DP338" s="109"/>
      <c r="DQ338" s="109"/>
      <c r="DR338" s="109"/>
      <c r="DS338" s="115">
        <f>+MEDIAN(AK338,AM338,AO338,AQ338)</f>
        <v>18357.400000000001</v>
      </c>
      <c r="DT338" s="115">
        <f>+AVERAGE(AK338,AM338,AO338,AQ338)</f>
        <v>19452.900000000001</v>
      </c>
      <c r="DU338" s="115">
        <f>+STDEV(AK338,AM338,AO338,AQ338)</f>
        <v>5438.0242135049912</v>
      </c>
      <c r="DV338" s="110">
        <f t="shared" si="66"/>
        <v>0.27954825313989129</v>
      </c>
      <c r="DW338" s="373">
        <f>+ROUNDUP(IF(DV338&lt;15%,DT338,DS338),0)</f>
        <v>18358</v>
      </c>
      <c r="DX338" s="329">
        <f t="shared" si="65"/>
        <v>4589500</v>
      </c>
      <c r="DY338" s="107" t="s">
        <v>309</v>
      </c>
      <c r="DZ338" s="612"/>
      <c r="EA338" s="612"/>
      <c r="EB338" s="612"/>
    </row>
    <row r="339" spans="1:132" ht="39" hidden="1" x14ac:dyDescent="0.3">
      <c r="A339" s="19">
        <v>148</v>
      </c>
      <c r="B339" s="9" t="s">
        <v>55</v>
      </c>
      <c r="C339" s="9" t="s">
        <v>203</v>
      </c>
      <c r="D339" s="9" t="s">
        <v>221</v>
      </c>
      <c r="E339" s="44" t="s">
        <v>294</v>
      </c>
      <c r="F339" s="34" t="s">
        <v>240</v>
      </c>
      <c r="G339" s="11">
        <v>1</v>
      </c>
      <c r="H339" s="11">
        <v>1</v>
      </c>
      <c r="I339" s="340"/>
      <c r="J339" s="340"/>
      <c r="K339" s="340"/>
      <c r="L339" s="340"/>
      <c r="M339" s="340"/>
      <c r="N339" s="340"/>
      <c r="O339" s="341"/>
      <c r="P339" s="342"/>
      <c r="Q339" s="25"/>
      <c r="R339" s="25"/>
      <c r="S339" s="25"/>
      <c r="T339" s="25"/>
      <c r="U339" s="25"/>
      <c r="V339" s="25"/>
      <c r="W339" s="25"/>
      <c r="X339" s="25"/>
      <c r="Y339" s="25"/>
      <c r="Z339" s="25"/>
      <c r="AA339" s="25"/>
      <c r="AB339" s="25"/>
      <c r="AC339" s="25"/>
      <c r="AD339" s="46"/>
      <c r="AE339" s="25"/>
      <c r="AF339" s="25"/>
      <c r="AG339" s="343"/>
      <c r="AH339" s="25"/>
      <c r="AI339" s="25"/>
      <c r="AJ339" s="25"/>
      <c r="AK339" s="25"/>
      <c r="AL339" s="25"/>
      <c r="AM339" s="25"/>
      <c r="AN339" s="25"/>
      <c r="AO339" s="25"/>
      <c r="AP339" s="25"/>
      <c r="AQ339" s="25"/>
      <c r="AR339" s="25"/>
      <c r="AS339" s="25"/>
      <c r="AT339" s="25"/>
      <c r="AU339" s="25"/>
      <c r="AV339" s="25"/>
      <c r="AW339" s="25"/>
      <c r="AX339" s="25"/>
      <c r="AY339" s="25"/>
      <c r="AZ339" s="25"/>
      <c r="BA339" s="25"/>
      <c r="BB339" s="25"/>
      <c r="BC339" s="25"/>
      <c r="BD339" s="25"/>
      <c r="BE339" s="25"/>
      <c r="BF339" s="25"/>
      <c r="BG339" s="25">
        <f>500000+(500000*5.2%)</f>
        <v>526000</v>
      </c>
      <c r="BH339" s="25">
        <f>BG339*G339</f>
        <v>526000</v>
      </c>
      <c r="BI339" s="25">
        <f>485000+(485000*5.2%)</f>
        <v>510220</v>
      </c>
      <c r="BJ339" s="25">
        <f>BI339*G339</f>
        <v>510220</v>
      </c>
      <c r="BK339" s="343"/>
      <c r="BL339" s="25"/>
      <c r="BM339" s="343"/>
      <c r="BN339" s="25"/>
      <c r="BO339" s="25"/>
      <c r="BP339" s="25"/>
      <c r="BQ339" s="25"/>
      <c r="BR339" s="25"/>
      <c r="BS339" s="25"/>
      <c r="BT339" s="25"/>
      <c r="BU339" s="25"/>
      <c r="BV339" s="25"/>
      <c r="BW339" s="25"/>
      <c r="BX339" s="25"/>
      <c r="BY339" s="25"/>
      <c r="BZ339" s="25"/>
      <c r="CA339" s="25"/>
      <c r="CB339" s="25"/>
      <c r="CC339" s="25"/>
      <c r="CD339" s="25"/>
      <c r="CE339" s="25"/>
      <c r="CF339" s="25"/>
      <c r="CG339" s="25"/>
      <c r="CH339" s="25"/>
      <c r="CI339" s="25"/>
      <c r="CJ339" s="25"/>
      <c r="CK339" s="25"/>
      <c r="CL339" s="25"/>
      <c r="CM339" s="25"/>
      <c r="CN339" s="25"/>
      <c r="CO339" s="25"/>
      <c r="CP339" s="25"/>
      <c r="CQ339" s="25"/>
      <c r="CR339" s="25"/>
      <c r="CS339" s="25"/>
      <c r="CT339" s="25"/>
      <c r="CU339" s="25"/>
      <c r="CV339" s="25"/>
      <c r="CW339" s="25"/>
      <c r="CX339" s="25"/>
      <c r="CY339" s="25"/>
      <c r="CZ339" s="25"/>
      <c r="DA339" s="25"/>
      <c r="DB339" s="25"/>
      <c r="DC339" s="25"/>
      <c r="DD339" s="25"/>
      <c r="DE339" s="25"/>
      <c r="DF339" s="25"/>
      <c r="DG339" s="25"/>
      <c r="DH339" s="25"/>
      <c r="DI339" s="25"/>
      <c r="DJ339" s="25"/>
      <c r="DK339" s="25"/>
      <c r="DL339" s="25"/>
      <c r="DM339" s="25"/>
      <c r="DN339" s="25"/>
      <c r="DO339" s="25"/>
      <c r="DP339" s="25"/>
      <c r="DQ339" s="25"/>
      <c r="DR339" s="25"/>
      <c r="DS339" s="265">
        <f>MEDIAN(BG339,BI339)</f>
        <v>518110</v>
      </c>
      <c r="DT339" s="265">
        <f>MEDIAN(BG339,BI339)</f>
        <v>518110</v>
      </c>
      <c r="DU339" s="265">
        <f>STDEV(BG339,BI339)</f>
        <v>11158.14500712372</v>
      </c>
      <c r="DV339" s="48">
        <f t="shared" si="66"/>
        <v>2.1536247142737486E-2</v>
      </c>
      <c r="DW339" s="377">
        <f>ROUNDUP(IF(DV339&lt;15%,DT339,DS339),0)</f>
        <v>518110</v>
      </c>
      <c r="DX339" s="326">
        <f t="shared" si="65"/>
        <v>518110</v>
      </c>
      <c r="DY339" s="10" t="s">
        <v>308</v>
      </c>
    </row>
    <row r="340" spans="1:132" ht="186" hidden="1" customHeight="1" x14ac:dyDescent="0.3">
      <c r="A340" s="149">
        <v>149</v>
      </c>
      <c r="B340" s="134" t="s">
        <v>55</v>
      </c>
      <c r="C340" s="134" t="s">
        <v>203</v>
      </c>
      <c r="D340" s="134" t="s">
        <v>1140</v>
      </c>
      <c r="E340" s="132" t="s">
        <v>1173</v>
      </c>
      <c r="F340" s="134" t="s">
        <v>1143</v>
      </c>
      <c r="G340" s="136">
        <v>3</v>
      </c>
      <c r="H340" s="136">
        <v>1</v>
      </c>
      <c r="I340" s="229"/>
      <c r="J340" s="229"/>
      <c r="K340" s="229"/>
      <c r="L340" s="229"/>
      <c r="M340" s="229"/>
      <c r="N340" s="229"/>
      <c r="O340" s="230"/>
      <c r="P340" s="231"/>
      <c r="Q340" s="150"/>
      <c r="R340" s="150"/>
      <c r="S340" s="150"/>
      <c r="T340" s="150"/>
      <c r="U340" s="150"/>
      <c r="V340" s="150"/>
      <c r="W340" s="150"/>
      <c r="X340" s="150"/>
      <c r="Y340" s="150"/>
      <c r="Z340" s="150"/>
      <c r="AA340" s="150"/>
      <c r="AB340" s="150"/>
      <c r="AC340" s="150"/>
      <c r="AD340" s="150"/>
      <c r="AE340" s="150"/>
      <c r="AF340" s="150"/>
      <c r="AG340" s="150"/>
      <c r="AH340" s="150"/>
      <c r="AI340" s="150"/>
      <c r="AJ340" s="150"/>
      <c r="AK340" s="150"/>
      <c r="AL340" s="150"/>
      <c r="AM340" s="150"/>
      <c r="AN340" s="150"/>
      <c r="AO340" s="150"/>
      <c r="AP340" s="150"/>
      <c r="AQ340" s="150"/>
      <c r="AR340" s="150"/>
      <c r="AS340" s="150"/>
      <c r="AT340" s="150"/>
      <c r="AU340" s="150"/>
      <c r="AV340" s="150"/>
      <c r="AW340" s="150"/>
      <c r="AX340" s="150"/>
      <c r="AY340" s="150"/>
      <c r="AZ340" s="150"/>
      <c r="BA340" s="150"/>
      <c r="BB340" s="150"/>
      <c r="BC340" s="150"/>
      <c r="BD340" s="150"/>
      <c r="BE340" s="150"/>
      <c r="BF340" s="150"/>
      <c r="BG340" s="150"/>
      <c r="BH340" s="150"/>
      <c r="BI340" s="150"/>
      <c r="BJ340" s="150"/>
      <c r="BK340" s="232"/>
      <c r="BL340" s="150"/>
      <c r="BM340" s="232"/>
      <c r="BN340" s="150"/>
      <c r="BO340" s="150"/>
      <c r="BP340" s="150"/>
      <c r="BQ340" s="150"/>
      <c r="BR340" s="150"/>
      <c r="BS340" s="150"/>
      <c r="BT340" s="150"/>
      <c r="BU340" s="150"/>
      <c r="BV340" s="150"/>
      <c r="BW340" s="150"/>
      <c r="BX340" s="150"/>
      <c r="BY340" s="150"/>
      <c r="BZ340" s="150"/>
      <c r="CA340" s="150"/>
      <c r="CB340" s="150"/>
      <c r="CC340" s="150"/>
      <c r="CD340" s="150"/>
      <c r="CE340" s="150"/>
      <c r="CF340" s="150"/>
      <c r="CG340" s="150"/>
      <c r="CH340" s="150"/>
      <c r="CI340" s="150"/>
      <c r="CJ340" s="150"/>
      <c r="CK340" s="150"/>
      <c r="CL340" s="150"/>
      <c r="CM340" s="150"/>
      <c r="CN340" s="150"/>
      <c r="CO340" s="230"/>
      <c r="CP340" s="150"/>
      <c r="CQ340" s="264"/>
      <c r="CR340" s="150"/>
      <c r="CS340" s="276"/>
      <c r="CT340" s="150"/>
      <c r="CU340" s="264"/>
      <c r="CV340" s="150"/>
      <c r="CW340" s="300"/>
      <c r="CX340" s="150"/>
      <c r="CY340" s="300"/>
      <c r="CZ340" s="150"/>
      <c r="DA340" s="150"/>
      <c r="DB340" s="150"/>
      <c r="DC340" s="300"/>
      <c r="DD340" s="150"/>
      <c r="DE340" s="150"/>
      <c r="DF340" s="150"/>
      <c r="DG340" s="150"/>
      <c r="DH340" s="150"/>
      <c r="DI340" s="150"/>
      <c r="DJ340" s="150"/>
      <c r="DK340" s="150"/>
      <c r="DL340" s="150"/>
      <c r="DM340" s="150"/>
      <c r="DN340" s="150"/>
      <c r="DO340" s="150"/>
      <c r="DP340" s="150"/>
      <c r="DQ340" s="150"/>
      <c r="DR340" s="150"/>
      <c r="DS340" s="146"/>
      <c r="DT340" s="146"/>
      <c r="DU340" s="146"/>
      <c r="DV340" s="138"/>
      <c r="DW340" s="150">
        <f>+DZ340+EB340</f>
        <v>4788000</v>
      </c>
      <c r="DX340" s="146">
        <f t="shared" si="65"/>
        <v>14364000</v>
      </c>
      <c r="DY340" s="139" t="s">
        <v>1164</v>
      </c>
      <c r="DZ340" s="604">
        <v>3800000</v>
      </c>
      <c r="EA340" s="604">
        <f>+DZ340*G340*H340</f>
        <v>11400000</v>
      </c>
      <c r="EB340" s="604">
        <f>+DZ340*26%</f>
        <v>988000</v>
      </c>
    </row>
    <row r="341" spans="1:132" ht="117" hidden="1" x14ac:dyDescent="0.3">
      <c r="A341" s="19">
        <v>150</v>
      </c>
      <c r="B341" s="9" t="s">
        <v>55</v>
      </c>
      <c r="C341" s="20" t="s">
        <v>203</v>
      </c>
      <c r="D341" s="9" t="s">
        <v>373</v>
      </c>
      <c r="E341" s="10" t="s">
        <v>23</v>
      </c>
      <c r="F341" s="27" t="s">
        <v>473</v>
      </c>
      <c r="G341" s="21">
        <v>1</v>
      </c>
      <c r="H341" s="11">
        <v>1</v>
      </c>
      <c r="I341" s="191"/>
      <c r="J341" s="191"/>
      <c r="K341" s="191"/>
      <c r="L341" s="191"/>
      <c r="M341" s="191"/>
      <c r="N341" s="191"/>
      <c r="O341" s="211"/>
      <c r="P341" s="212"/>
      <c r="Q341" s="32"/>
      <c r="R341" s="32"/>
      <c r="S341" s="32"/>
      <c r="T341" s="32"/>
      <c r="U341" s="32"/>
      <c r="V341" s="32"/>
      <c r="W341" s="32"/>
      <c r="X341" s="32"/>
      <c r="Y341" s="32"/>
      <c r="Z341" s="32"/>
      <c r="AA341" s="32">
        <v>3500000</v>
      </c>
      <c r="AB341" s="32">
        <f>AA341*H341</f>
        <v>3500000</v>
      </c>
      <c r="AC341" s="32"/>
      <c r="AD341" s="32"/>
      <c r="AE341" s="32"/>
      <c r="AF341" s="32"/>
      <c r="AG341" s="32">
        <v>3700000</v>
      </c>
      <c r="AH341" s="32">
        <f>AG341*G341*H341</f>
        <v>3700000</v>
      </c>
      <c r="AI341" s="32"/>
      <c r="AJ341" s="32"/>
      <c r="AK341" s="32"/>
      <c r="AL341" s="32"/>
      <c r="AM341" s="32"/>
      <c r="AN341" s="32"/>
      <c r="AO341" s="32"/>
      <c r="AP341" s="32"/>
      <c r="AQ341" s="32"/>
      <c r="AR341" s="32"/>
      <c r="AS341" s="32"/>
      <c r="AT341" s="32"/>
      <c r="AU341" s="32"/>
      <c r="AV341" s="32"/>
      <c r="AW341" s="32"/>
      <c r="AX341" s="32"/>
      <c r="AY341" s="32"/>
      <c r="AZ341" s="32"/>
      <c r="BA341" s="32"/>
      <c r="BB341" s="32"/>
      <c r="BC341" s="32"/>
      <c r="BD341" s="32"/>
      <c r="BE341" s="32"/>
      <c r="BF341" s="32"/>
      <c r="BG341" s="32"/>
      <c r="BH341" s="32"/>
      <c r="BI341" s="32"/>
      <c r="BJ341" s="32"/>
      <c r="BK341" s="192"/>
      <c r="BL341" s="32"/>
      <c r="BM341" s="192"/>
      <c r="BN341" s="32"/>
      <c r="BO341" s="32"/>
      <c r="BP341" s="32"/>
      <c r="BQ341" s="32"/>
      <c r="BR341" s="32"/>
      <c r="BS341" s="32"/>
      <c r="BT341" s="32"/>
      <c r="BU341" s="32"/>
      <c r="BV341" s="32"/>
      <c r="BW341" s="32"/>
      <c r="BX341" s="32"/>
      <c r="BY341" s="32"/>
      <c r="BZ341" s="32"/>
      <c r="CA341" s="32"/>
      <c r="CB341" s="32"/>
      <c r="CC341" s="32"/>
      <c r="CD341" s="32"/>
      <c r="CE341" s="32"/>
      <c r="CF341" s="32"/>
      <c r="CG341" s="32"/>
      <c r="CH341" s="32"/>
      <c r="CI341" s="32"/>
      <c r="CJ341" s="32"/>
      <c r="CK341" s="32"/>
      <c r="CL341" s="32"/>
      <c r="CM341" s="32"/>
      <c r="CN341" s="32"/>
      <c r="CO341" s="32"/>
      <c r="CP341" s="32"/>
      <c r="CQ341" s="32"/>
      <c r="CR341" s="32"/>
      <c r="CS341" s="32"/>
      <c r="CT341" s="32"/>
      <c r="CU341" s="32"/>
      <c r="CV341" s="32"/>
      <c r="CW341" s="32"/>
      <c r="CX341" s="32"/>
      <c r="CY341" s="32"/>
      <c r="CZ341" s="32"/>
      <c r="DA341" s="32"/>
      <c r="DB341" s="32"/>
      <c r="DC341" s="32"/>
      <c r="DD341" s="32"/>
      <c r="DE341" s="32"/>
      <c r="DF341" s="32"/>
      <c r="DG341" s="32"/>
      <c r="DH341" s="32"/>
      <c r="DI341" s="32"/>
      <c r="DJ341" s="32"/>
      <c r="DK341" s="32"/>
      <c r="DL341" s="32"/>
      <c r="DM341" s="32"/>
      <c r="DN341" s="32"/>
      <c r="DO341" s="32"/>
      <c r="DP341" s="32"/>
      <c r="DQ341" s="32"/>
      <c r="DR341" s="32"/>
      <c r="DS341" s="13">
        <f>+MEDIAN(AA341,AG341)</f>
        <v>3600000</v>
      </c>
      <c r="DT341" s="13">
        <f>+AVERAGE(AA341,AG341)</f>
        <v>3600000</v>
      </c>
      <c r="DU341" s="13">
        <f>+STDEV(AA341,AG341)</f>
        <v>141421.35623730952</v>
      </c>
      <c r="DV341" s="17">
        <f>DU341/DT341</f>
        <v>3.9283710065919311E-2</v>
      </c>
      <c r="DW341" s="373">
        <f>+ROUNDUP(IF(DV341&lt;15%,DT341,DS341),0)</f>
        <v>3600000</v>
      </c>
      <c r="DX341" s="13">
        <f t="shared" si="65"/>
        <v>3600000</v>
      </c>
      <c r="DY341" s="10" t="s">
        <v>308</v>
      </c>
    </row>
    <row r="342" spans="1:132" ht="104" hidden="1" x14ac:dyDescent="0.3">
      <c r="A342" s="70">
        <v>151</v>
      </c>
      <c r="B342" s="9" t="s">
        <v>55</v>
      </c>
      <c r="C342" s="9" t="s">
        <v>203</v>
      </c>
      <c r="D342" s="9" t="s">
        <v>226</v>
      </c>
      <c r="E342" s="10" t="s">
        <v>212</v>
      </c>
      <c r="F342" s="9" t="s">
        <v>476</v>
      </c>
      <c r="G342" s="11">
        <v>1</v>
      </c>
      <c r="H342" s="11">
        <v>1</v>
      </c>
      <c r="I342" s="191"/>
      <c r="J342" s="191"/>
      <c r="K342" s="191"/>
      <c r="L342" s="191"/>
      <c r="M342" s="191"/>
      <c r="N342" s="191"/>
      <c r="O342" s="211"/>
      <c r="P342" s="212"/>
      <c r="Q342" s="32"/>
      <c r="R342" s="32"/>
      <c r="S342" s="32"/>
      <c r="T342" s="32"/>
      <c r="U342" s="32"/>
      <c r="V342" s="32"/>
      <c r="W342" s="32"/>
      <c r="X342" s="32"/>
      <c r="Y342" s="32"/>
      <c r="Z342" s="32"/>
      <c r="AA342" s="32"/>
      <c r="AB342" s="32"/>
      <c r="AC342" s="32"/>
      <c r="AD342" s="32"/>
      <c r="AE342" s="32"/>
      <c r="AF342" s="32"/>
      <c r="AG342" s="32"/>
      <c r="AH342" s="32"/>
      <c r="AI342" s="32"/>
      <c r="AJ342" s="32"/>
      <c r="AK342" s="32"/>
      <c r="AL342" s="32"/>
      <c r="AM342" s="32"/>
      <c r="AN342" s="32"/>
      <c r="AO342" s="32"/>
      <c r="AP342" s="32"/>
      <c r="AQ342" s="32"/>
      <c r="AR342" s="32"/>
      <c r="AS342" s="32"/>
      <c r="AT342" s="32"/>
      <c r="AU342" s="32"/>
      <c r="AV342" s="32"/>
      <c r="AW342" s="32"/>
      <c r="AX342" s="32"/>
      <c r="AY342" s="32"/>
      <c r="AZ342" s="32"/>
      <c r="BA342" s="32"/>
      <c r="BB342" s="32"/>
      <c r="BC342" s="32"/>
      <c r="BD342" s="32"/>
      <c r="BE342" s="32"/>
      <c r="BF342" s="32"/>
      <c r="BG342" s="32"/>
      <c r="BH342" s="32"/>
      <c r="BI342" s="32"/>
      <c r="BJ342" s="32"/>
      <c r="BK342" s="192"/>
      <c r="BL342" s="32"/>
      <c r="BM342" s="192"/>
      <c r="BN342" s="32"/>
      <c r="BO342" s="32"/>
      <c r="BP342" s="32"/>
      <c r="BQ342" s="32"/>
      <c r="BR342" s="32"/>
      <c r="BS342" s="32"/>
      <c r="BT342" s="32"/>
      <c r="BU342" s="32"/>
      <c r="BV342" s="32"/>
      <c r="BW342" s="32"/>
      <c r="BX342" s="32"/>
      <c r="BY342" s="32"/>
      <c r="BZ342" s="32"/>
      <c r="CA342" s="32"/>
      <c r="CB342" s="32"/>
      <c r="CC342" s="32"/>
      <c r="CD342" s="32"/>
      <c r="CE342" s="32"/>
      <c r="CF342" s="32"/>
      <c r="CG342" s="32"/>
      <c r="CH342" s="32"/>
      <c r="CI342" s="32"/>
      <c r="CJ342" s="32"/>
      <c r="CK342" s="246">
        <f>1138011+(1138011*5.2%)</f>
        <v>1197187.5719999999</v>
      </c>
      <c r="CL342" s="32">
        <f>CK342*G342</f>
        <v>1197187.5719999999</v>
      </c>
      <c r="CM342" s="246">
        <f>1200000+(1200000*5.2%)</f>
        <v>1262400</v>
      </c>
      <c r="CN342" s="32">
        <f>CM342*G342</f>
        <v>1262400</v>
      </c>
      <c r="CO342" s="32"/>
      <c r="CP342" s="32"/>
      <c r="CQ342" s="32"/>
      <c r="CR342" s="32"/>
      <c r="CS342" s="32"/>
      <c r="CT342" s="32"/>
      <c r="CU342" s="32"/>
      <c r="CV342" s="32"/>
      <c r="CW342" s="32"/>
      <c r="CX342" s="32"/>
      <c r="CY342" s="32"/>
      <c r="CZ342" s="32"/>
      <c r="DA342" s="32"/>
      <c r="DB342" s="32"/>
      <c r="DC342" s="32"/>
      <c r="DD342" s="32"/>
      <c r="DE342" s="32"/>
      <c r="DF342" s="32"/>
      <c r="DG342" s="32"/>
      <c r="DH342" s="32"/>
      <c r="DI342" s="32"/>
      <c r="DJ342" s="32"/>
      <c r="DK342" s="32"/>
      <c r="DL342" s="32"/>
      <c r="DM342" s="32"/>
      <c r="DN342" s="32"/>
      <c r="DO342" s="32"/>
      <c r="DP342" s="32"/>
      <c r="DQ342" s="32"/>
      <c r="DR342" s="32"/>
      <c r="DS342" s="265">
        <f>MEDIAN(CK342,CM342)</f>
        <v>1229793.7859999998</v>
      </c>
      <c r="DT342" s="265">
        <f>AVERAGE(CK342,CM342)</f>
        <v>1229793.7859999998</v>
      </c>
      <c r="DU342" s="265">
        <f>STDEV(CK342,CM342)</f>
        <v>46112.150056439539</v>
      </c>
      <c r="DV342" s="48">
        <f>DU342/DT342</f>
        <v>3.7495839206037058E-2</v>
      </c>
      <c r="DW342" s="377">
        <f>ROUNDUP(IF(DV342&lt;15%,DT342,DS342),0)</f>
        <v>1229794</v>
      </c>
      <c r="DX342" s="326">
        <f t="shared" si="65"/>
        <v>1229794</v>
      </c>
      <c r="DY342" s="10" t="s">
        <v>308</v>
      </c>
    </row>
    <row r="343" spans="1:132" ht="39" hidden="1" x14ac:dyDescent="0.3">
      <c r="A343" s="19">
        <v>152</v>
      </c>
      <c r="B343" s="9" t="s">
        <v>55</v>
      </c>
      <c r="C343" s="9" t="s">
        <v>203</v>
      </c>
      <c r="D343" s="26" t="s">
        <v>520</v>
      </c>
      <c r="E343" s="10" t="s">
        <v>59</v>
      </c>
      <c r="F343" s="27" t="s">
        <v>473</v>
      </c>
      <c r="G343" s="11">
        <v>1</v>
      </c>
      <c r="H343" s="11">
        <v>1</v>
      </c>
      <c r="I343" s="191"/>
      <c r="J343" s="191"/>
      <c r="K343" s="191"/>
      <c r="L343" s="191"/>
      <c r="M343" s="191"/>
      <c r="N343" s="191"/>
      <c r="O343" s="211"/>
      <c r="P343" s="212"/>
      <c r="Q343" s="32"/>
      <c r="R343" s="32"/>
      <c r="S343" s="32"/>
      <c r="T343" s="32"/>
      <c r="U343" s="32"/>
      <c r="V343" s="32"/>
      <c r="W343" s="32"/>
      <c r="X343" s="32"/>
      <c r="Y343" s="32"/>
      <c r="Z343" s="32"/>
      <c r="AA343" s="32">
        <v>4500000</v>
      </c>
      <c r="AB343" s="32">
        <f>AA343*H343</f>
        <v>4500000</v>
      </c>
      <c r="AC343" s="32"/>
      <c r="AD343" s="32"/>
      <c r="AE343" s="32"/>
      <c r="AF343" s="32"/>
      <c r="AG343" s="32">
        <v>4200000</v>
      </c>
      <c r="AH343" s="32">
        <f>AG343*G343*H343</f>
        <v>4200000</v>
      </c>
      <c r="AI343" s="32"/>
      <c r="AJ343" s="32"/>
      <c r="AK343" s="32"/>
      <c r="AL343" s="32"/>
      <c r="AM343" s="32"/>
      <c r="AN343" s="32"/>
      <c r="AO343" s="32"/>
      <c r="AP343" s="32"/>
      <c r="AQ343" s="32"/>
      <c r="AR343" s="32"/>
      <c r="AS343" s="32"/>
      <c r="AT343" s="32"/>
      <c r="AU343" s="32"/>
      <c r="AV343" s="32"/>
      <c r="AW343" s="32"/>
      <c r="AX343" s="32"/>
      <c r="AY343" s="32"/>
      <c r="AZ343" s="32"/>
      <c r="BA343" s="32"/>
      <c r="BB343" s="32"/>
      <c r="BC343" s="32"/>
      <c r="BD343" s="32"/>
      <c r="BE343" s="32"/>
      <c r="BF343" s="32"/>
      <c r="BG343" s="32"/>
      <c r="BH343" s="32"/>
      <c r="BI343" s="32"/>
      <c r="BJ343" s="32"/>
      <c r="BK343" s="192"/>
      <c r="BL343" s="32"/>
      <c r="BM343" s="192"/>
      <c r="BN343" s="32"/>
      <c r="BO343" s="32"/>
      <c r="BP343" s="32"/>
      <c r="BQ343" s="32"/>
      <c r="BR343" s="32"/>
      <c r="BS343" s="32"/>
      <c r="BT343" s="32"/>
      <c r="BU343" s="32"/>
      <c r="BV343" s="32"/>
      <c r="BW343" s="32"/>
      <c r="BX343" s="32"/>
      <c r="BY343" s="32"/>
      <c r="BZ343" s="32"/>
      <c r="CA343" s="32"/>
      <c r="CB343" s="32"/>
      <c r="CC343" s="32"/>
      <c r="CD343" s="32"/>
      <c r="CE343" s="32"/>
      <c r="CF343" s="32"/>
      <c r="CG343" s="32"/>
      <c r="CH343" s="32"/>
      <c r="CI343" s="32"/>
      <c r="CJ343" s="32"/>
      <c r="CK343" s="32"/>
      <c r="CL343" s="32"/>
      <c r="CM343" s="32"/>
      <c r="CN343" s="32"/>
      <c r="CO343" s="32"/>
      <c r="CP343" s="32"/>
      <c r="CQ343" s="32"/>
      <c r="CR343" s="32"/>
      <c r="CS343" s="32"/>
      <c r="CT343" s="32"/>
      <c r="CU343" s="32"/>
      <c r="CV343" s="32"/>
      <c r="CW343" s="32"/>
      <c r="CX343" s="32"/>
      <c r="CY343" s="32"/>
      <c r="CZ343" s="32"/>
      <c r="DA343" s="32"/>
      <c r="DB343" s="32"/>
      <c r="DC343" s="32"/>
      <c r="DD343" s="32"/>
      <c r="DE343" s="32"/>
      <c r="DF343" s="32"/>
      <c r="DG343" s="32"/>
      <c r="DH343" s="32"/>
      <c r="DI343" s="32"/>
      <c r="DJ343" s="32"/>
      <c r="DK343" s="32"/>
      <c r="DL343" s="32"/>
      <c r="DM343" s="32"/>
      <c r="DN343" s="32"/>
      <c r="DO343" s="32"/>
      <c r="DP343" s="32"/>
      <c r="DQ343" s="32"/>
      <c r="DR343" s="32"/>
      <c r="DS343" s="13">
        <f>+MEDIAN(AA343,AG343)</f>
        <v>4350000</v>
      </c>
      <c r="DT343" s="13">
        <f>+AVERAGE(AA343,AG343)</f>
        <v>4350000</v>
      </c>
      <c r="DU343" s="13">
        <f>+STDEV(AA343,AG343)</f>
        <v>212132.03435596425</v>
      </c>
      <c r="DV343" s="17">
        <f>DU343/DT343</f>
        <v>4.8765984909417068E-2</v>
      </c>
      <c r="DW343" s="373">
        <f>+ROUNDUP(IF(DV343&lt;15%,DT343,DS343),0)</f>
        <v>4350000</v>
      </c>
      <c r="DX343" s="326">
        <f>DW343*G343</f>
        <v>4350000</v>
      </c>
      <c r="DY343" s="10" t="s">
        <v>308</v>
      </c>
    </row>
    <row r="344" spans="1:132" ht="143" hidden="1" x14ac:dyDescent="0.3">
      <c r="A344" s="70">
        <v>153</v>
      </c>
      <c r="B344" s="9" t="s">
        <v>55</v>
      </c>
      <c r="C344" s="648" t="s">
        <v>203</v>
      </c>
      <c r="D344" s="9" t="s">
        <v>374</v>
      </c>
      <c r="E344" s="10" t="s">
        <v>1343</v>
      </c>
      <c r="F344" s="59" t="s">
        <v>473</v>
      </c>
      <c r="G344" s="11">
        <v>1</v>
      </c>
      <c r="H344" s="11">
        <v>1</v>
      </c>
      <c r="I344" s="649"/>
      <c r="J344" s="649"/>
      <c r="K344" s="649"/>
      <c r="L344" s="649"/>
      <c r="M344" s="649"/>
      <c r="N344" s="649"/>
      <c r="O344" s="650"/>
      <c r="P344" s="651"/>
      <c r="Q344" s="205"/>
      <c r="R344" s="205"/>
      <c r="S344" s="205"/>
      <c r="T344" s="205"/>
      <c r="U344" s="205"/>
      <c r="V344" s="205"/>
      <c r="W344" s="205"/>
      <c r="X344" s="205"/>
      <c r="Y344" s="205"/>
      <c r="Z344" s="205"/>
      <c r="AA344" s="205">
        <v>6000000</v>
      </c>
      <c r="AB344" s="205">
        <f>AA344*G344*H344</f>
        <v>6000000</v>
      </c>
      <c r="AC344" s="205"/>
      <c r="AD344" s="205"/>
      <c r="AE344" s="205"/>
      <c r="AF344" s="205"/>
      <c r="AG344" s="205">
        <v>6000000</v>
      </c>
      <c r="AH344" s="205">
        <f>AG344*G344</f>
        <v>6000000</v>
      </c>
      <c r="AI344" s="205"/>
      <c r="AJ344" s="205"/>
      <c r="AK344" s="205"/>
      <c r="AL344" s="205"/>
      <c r="AM344" s="205"/>
      <c r="AN344" s="205"/>
      <c r="AO344" s="205"/>
      <c r="AP344" s="205"/>
      <c r="AQ344" s="205"/>
      <c r="AR344" s="205"/>
      <c r="AS344" s="205"/>
      <c r="AT344" s="205"/>
      <c r="AU344" s="205"/>
      <c r="AV344" s="205"/>
      <c r="AW344" s="205"/>
      <c r="AX344" s="205"/>
      <c r="AY344" s="205"/>
      <c r="AZ344" s="205"/>
      <c r="BA344" s="205"/>
      <c r="BB344" s="205"/>
      <c r="BC344" s="205"/>
      <c r="BD344" s="205"/>
      <c r="BE344" s="205"/>
      <c r="BF344" s="205"/>
      <c r="BG344" s="205"/>
      <c r="BH344" s="205"/>
      <c r="BI344" s="205"/>
      <c r="BJ344" s="205"/>
      <c r="BK344" s="206"/>
      <c r="BL344" s="205"/>
      <c r="BM344" s="206"/>
      <c r="BN344" s="205"/>
      <c r="BO344" s="205"/>
      <c r="BP344" s="205"/>
      <c r="BQ344" s="205"/>
      <c r="BR344" s="205"/>
      <c r="BS344" s="205"/>
      <c r="BT344" s="205"/>
      <c r="BU344" s="205"/>
      <c r="BV344" s="205"/>
      <c r="BW344" s="205"/>
      <c r="BX344" s="205"/>
      <c r="BY344" s="205"/>
      <c r="BZ344" s="205"/>
      <c r="CA344" s="205"/>
      <c r="CB344" s="205"/>
      <c r="CC344" s="205"/>
      <c r="CD344" s="205"/>
      <c r="CE344" s="205"/>
      <c r="CF344" s="205"/>
      <c r="CG344" s="205"/>
      <c r="CH344" s="205"/>
      <c r="CI344" s="205"/>
      <c r="CJ344" s="205"/>
      <c r="CK344" s="205"/>
      <c r="CL344" s="205"/>
      <c r="CM344" s="205"/>
      <c r="CN344" s="205"/>
      <c r="CO344" s="205"/>
      <c r="CP344" s="205"/>
      <c r="CQ344" s="205"/>
      <c r="CR344" s="205"/>
      <c r="CS344" s="205"/>
      <c r="CT344" s="205"/>
      <c r="CU344" s="205"/>
      <c r="CV344" s="205"/>
      <c r="CW344" s="205"/>
      <c r="CX344" s="205"/>
      <c r="CY344" s="205"/>
      <c r="CZ344" s="205"/>
      <c r="DA344" s="205"/>
      <c r="DB344" s="205"/>
      <c r="DC344" s="205"/>
      <c r="DD344" s="205"/>
      <c r="DE344" s="205"/>
      <c r="DF344" s="205"/>
      <c r="DG344" s="205"/>
      <c r="DH344" s="205"/>
      <c r="DI344" s="205"/>
      <c r="DJ344" s="205"/>
      <c r="DK344" s="205"/>
      <c r="DL344" s="205"/>
      <c r="DM344" s="205"/>
      <c r="DN344" s="205"/>
      <c r="DO344" s="205"/>
      <c r="DP344" s="205"/>
      <c r="DQ344" s="205"/>
      <c r="DR344" s="205"/>
      <c r="DS344" s="656">
        <f>+MEDIAN(AA344,AG344)</f>
        <v>6000000</v>
      </c>
      <c r="DT344" s="656">
        <f>+AVERAGE(AA344,AG344)</f>
        <v>6000000</v>
      </c>
      <c r="DU344" s="656">
        <f>+STDEV(AA344,AG344)</f>
        <v>0</v>
      </c>
      <c r="DV344" s="657">
        <f>DU344/DT344</f>
        <v>0</v>
      </c>
      <c r="DW344" s="662">
        <f>+ROUNDUP(IF(DV344&lt;15%,DT344,DS344),0)</f>
        <v>6000000</v>
      </c>
      <c r="DX344" s="326">
        <f>DW344*G344</f>
        <v>6000000</v>
      </c>
      <c r="DY344" s="10" t="s">
        <v>308</v>
      </c>
    </row>
    <row r="345" spans="1:132" ht="190.5" hidden="1" customHeight="1" x14ac:dyDescent="0.3">
      <c r="A345" s="133">
        <v>154</v>
      </c>
      <c r="B345" s="134" t="s">
        <v>55</v>
      </c>
      <c r="C345" s="134" t="s">
        <v>203</v>
      </c>
      <c r="D345" s="134" t="s">
        <v>1140</v>
      </c>
      <c r="E345" s="132" t="s">
        <v>1172</v>
      </c>
      <c r="F345" s="134" t="s">
        <v>1143</v>
      </c>
      <c r="G345" s="136">
        <v>3</v>
      </c>
      <c r="H345" s="136">
        <v>1</v>
      </c>
      <c r="I345" s="229"/>
      <c r="J345" s="229"/>
      <c r="K345" s="229"/>
      <c r="L345" s="229"/>
      <c r="M345" s="229"/>
      <c r="N345" s="229"/>
      <c r="O345" s="230"/>
      <c r="P345" s="231"/>
      <c r="Q345" s="150"/>
      <c r="R345" s="150"/>
      <c r="S345" s="150"/>
      <c r="T345" s="150"/>
      <c r="U345" s="150"/>
      <c r="V345" s="150"/>
      <c r="W345" s="150"/>
      <c r="X345" s="150"/>
      <c r="Y345" s="150"/>
      <c r="Z345" s="150"/>
      <c r="AA345" s="150"/>
      <c r="AB345" s="150"/>
      <c r="AC345" s="150"/>
      <c r="AD345" s="237"/>
      <c r="AE345" s="150"/>
      <c r="AF345" s="150"/>
      <c r="AG345" s="232"/>
      <c r="AH345" s="150"/>
      <c r="AI345" s="150"/>
      <c r="AJ345" s="150"/>
      <c r="AK345" s="150"/>
      <c r="AL345" s="150"/>
      <c r="AM345" s="150"/>
      <c r="AN345" s="150"/>
      <c r="AO345" s="150"/>
      <c r="AP345" s="150"/>
      <c r="AQ345" s="150"/>
      <c r="AR345" s="150"/>
      <c r="AS345" s="150"/>
      <c r="AT345" s="150"/>
      <c r="AU345" s="150"/>
      <c r="AV345" s="150"/>
      <c r="AW345" s="150"/>
      <c r="AX345" s="150"/>
      <c r="AY345" s="150"/>
      <c r="AZ345" s="150"/>
      <c r="BA345" s="150"/>
      <c r="BB345" s="150"/>
      <c r="BC345" s="150"/>
      <c r="BD345" s="150"/>
      <c r="BE345" s="150"/>
      <c r="BF345" s="150"/>
      <c r="BG345" s="150"/>
      <c r="BH345" s="150"/>
      <c r="BI345" s="150"/>
      <c r="BJ345" s="150"/>
      <c r="BK345" s="232"/>
      <c r="BL345" s="150"/>
      <c r="BM345" s="232"/>
      <c r="BN345" s="150"/>
      <c r="BO345" s="150"/>
      <c r="BP345" s="150"/>
      <c r="BQ345" s="150"/>
      <c r="BR345" s="150"/>
      <c r="BS345" s="150"/>
      <c r="BT345" s="150"/>
      <c r="BU345" s="150"/>
      <c r="BV345" s="150"/>
      <c r="BW345" s="150"/>
      <c r="BX345" s="150"/>
      <c r="BY345" s="150"/>
      <c r="BZ345" s="150"/>
      <c r="CA345" s="150"/>
      <c r="CB345" s="150"/>
      <c r="CC345" s="150"/>
      <c r="CD345" s="150"/>
      <c r="CE345" s="150"/>
      <c r="CF345" s="150"/>
      <c r="CG345" s="150"/>
      <c r="CH345" s="150"/>
      <c r="CI345" s="150"/>
      <c r="CJ345" s="150"/>
      <c r="CK345" s="150"/>
      <c r="CL345" s="150"/>
      <c r="CM345" s="150"/>
      <c r="CN345" s="150"/>
      <c r="CO345" s="230"/>
      <c r="CP345" s="150"/>
      <c r="CQ345" s="150"/>
      <c r="CR345" s="150"/>
      <c r="CS345" s="276"/>
      <c r="CT345" s="150"/>
      <c r="CU345" s="150"/>
      <c r="CV345" s="150"/>
      <c r="CW345" s="300"/>
      <c r="CX345" s="150"/>
      <c r="CY345" s="300"/>
      <c r="CZ345" s="150"/>
      <c r="DA345" s="150"/>
      <c r="DB345" s="150"/>
      <c r="DC345" s="300"/>
      <c r="DD345" s="150"/>
      <c r="DE345" s="150"/>
      <c r="DF345" s="150"/>
      <c r="DG345" s="150"/>
      <c r="DH345" s="150"/>
      <c r="DI345" s="150"/>
      <c r="DJ345" s="150"/>
      <c r="DK345" s="150"/>
      <c r="DL345" s="150"/>
      <c r="DM345" s="150"/>
      <c r="DN345" s="150"/>
      <c r="DO345" s="150"/>
      <c r="DP345" s="150"/>
      <c r="DQ345" s="150"/>
      <c r="DR345" s="150"/>
      <c r="DS345" s="232"/>
      <c r="DT345" s="232"/>
      <c r="DU345" s="232"/>
      <c r="DV345" s="137"/>
      <c r="DW345" s="150">
        <f>+DZ345+EB345</f>
        <v>4788000</v>
      </c>
      <c r="DX345" s="146">
        <f t="shared" ref="DX345:DX353" si="67">+ROUND(DW345*G345*H345,0)</f>
        <v>14364000</v>
      </c>
      <c r="DY345" s="139" t="s">
        <v>1164</v>
      </c>
      <c r="DZ345" s="604">
        <v>3800000</v>
      </c>
      <c r="EA345" s="604">
        <f>+DZ345*G345*H345</f>
        <v>11400000</v>
      </c>
      <c r="EB345" s="604">
        <f>+DZ345*26%</f>
        <v>988000</v>
      </c>
    </row>
    <row r="346" spans="1:132" ht="65" hidden="1" x14ac:dyDescent="0.3">
      <c r="A346" s="70">
        <v>155</v>
      </c>
      <c r="B346" s="9" t="s">
        <v>55</v>
      </c>
      <c r="C346" s="9" t="s">
        <v>203</v>
      </c>
      <c r="D346" s="9" t="s">
        <v>102</v>
      </c>
      <c r="E346" s="10" t="s">
        <v>333</v>
      </c>
      <c r="F346" s="9" t="s">
        <v>67</v>
      </c>
      <c r="G346" s="11">
        <v>1</v>
      </c>
      <c r="H346" s="11">
        <v>1</v>
      </c>
      <c r="I346" s="191"/>
      <c r="J346" s="191"/>
      <c r="K346" s="191"/>
      <c r="L346" s="191"/>
      <c r="M346" s="191"/>
      <c r="N346" s="191"/>
      <c r="O346" s="211"/>
      <c r="P346" s="212"/>
      <c r="Q346" s="32"/>
      <c r="R346" s="32"/>
      <c r="S346" s="32"/>
      <c r="T346" s="32"/>
      <c r="U346" s="32"/>
      <c r="V346" s="32"/>
      <c r="W346" s="32"/>
      <c r="X346" s="32"/>
      <c r="Y346" s="32"/>
      <c r="Z346" s="32"/>
      <c r="AA346" s="32"/>
      <c r="AB346" s="32"/>
      <c r="AC346" s="52"/>
      <c r="AD346" s="32"/>
      <c r="AE346" s="52"/>
      <c r="AF346" s="32"/>
      <c r="AG346" s="32"/>
      <c r="AH346" s="32"/>
      <c r="AI346" s="32"/>
      <c r="AJ346" s="32"/>
      <c r="AK346" s="32"/>
      <c r="AL346" s="32"/>
      <c r="AM346" s="32"/>
      <c r="AN346" s="32"/>
      <c r="AO346" s="32"/>
      <c r="AP346" s="32"/>
      <c r="AQ346" s="32"/>
      <c r="AR346" s="32"/>
      <c r="AS346" s="32"/>
      <c r="AT346" s="32"/>
      <c r="AU346" s="32"/>
      <c r="AV346" s="32"/>
      <c r="AW346" s="32"/>
      <c r="AX346" s="32"/>
      <c r="AY346" s="32"/>
      <c r="AZ346" s="32"/>
      <c r="BA346" s="52"/>
      <c r="BB346" s="32"/>
      <c r="BC346" s="32"/>
      <c r="BD346" s="32"/>
      <c r="BE346" s="32"/>
      <c r="BF346" s="32"/>
      <c r="BG346" s="32"/>
      <c r="BH346" s="32"/>
      <c r="BI346" s="52"/>
      <c r="BJ346" s="32"/>
      <c r="BK346" s="192"/>
      <c r="BL346" s="32"/>
      <c r="BM346" s="192"/>
      <c r="BN346" s="32"/>
      <c r="BO346" s="32"/>
      <c r="BP346" s="32"/>
      <c r="BQ346" s="32"/>
      <c r="BR346" s="32"/>
      <c r="BS346" s="32"/>
      <c r="BT346" s="32"/>
      <c r="BU346" s="32"/>
      <c r="BV346" s="32"/>
      <c r="BW346" s="32"/>
      <c r="BX346" s="32"/>
      <c r="BY346" s="32"/>
      <c r="BZ346" s="32"/>
      <c r="CA346" s="32"/>
      <c r="CB346" s="32"/>
      <c r="CC346" s="32"/>
      <c r="CD346" s="32"/>
      <c r="CE346" s="32"/>
      <c r="CF346" s="32"/>
      <c r="CG346" s="32"/>
      <c r="CH346" s="32"/>
      <c r="CI346" s="32"/>
      <c r="CJ346" s="32"/>
      <c r="CK346" s="32"/>
      <c r="CL346" s="32"/>
      <c r="CM346" s="32"/>
      <c r="CN346" s="32"/>
      <c r="CO346" s="211"/>
      <c r="CP346" s="32"/>
      <c r="CQ346" s="225"/>
      <c r="CR346" s="32"/>
      <c r="CS346" s="28"/>
      <c r="CT346" s="25"/>
      <c r="CU346" s="225"/>
      <c r="CV346" s="25"/>
      <c r="CW346" s="245"/>
      <c r="CX346" s="25"/>
      <c r="CY346" s="245"/>
      <c r="CZ346" s="25"/>
      <c r="DA346" s="25">
        <v>1423500</v>
      </c>
      <c r="DB346" s="25">
        <f>DA346*G346*H346</f>
        <v>1423500</v>
      </c>
      <c r="DC346" s="245"/>
      <c r="DD346" s="25"/>
      <c r="DE346" s="25"/>
      <c r="DF346" s="25"/>
      <c r="DG346" s="25"/>
      <c r="DH346" s="25"/>
      <c r="DI346" s="25"/>
      <c r="DJ346" s="25"/>
      <c r="DK346" s="25"/>
      <c r="DL346" s="25"/>
      <c r="DM346" s="25"/>
      <c r="DN346" s="25"/>
      <c r="DO346" s="25"/>
      <c r="DP346" s="25"/>
      <c r="DQ346" s="25"/>
      <c r="DR346" s="25"/>
      <c r="DS346" s="13"/>
      <c r="DT346" s="13"/>
      <c r="DU346" s="13"/>
      <c r="DV346" s="17"/>
      <c r="DW346" s="373">
        <f>DA346</f>
        <v>1423500</v>
      </c>
      <c r="DX346" s="326">
        <f t="shared" si="67"/>
        <v>1423500</v>
      </c>
      <c r="DY346" s="10" t="s">
        <v>334</v>
      </c>
    </row>
    <row r="347" spans="1:132" ht="39" hidden="1" x14ac:dyDescent="0.3">
      <c r="A347" s="19">
        <v>156</v>
      </c>
      <c r="B347" s="9" t="s">
        <v>55</v>
      </c>
      <c r="C347" s="9" t="s">
        <v>203</v>
      </c>
      <c r="D347" s="9" t="s">
        <v>417</v>
      </c>
      <c r="E347" s="10" t="s">
        <v>200</v>
      </c>
      <c r="F347" s="9" t="s">
        <v>20</v>
      </c>
      <c r="G347" s="11">
        <v>1</v>
      </c>
      <c r="H347" s="11">
        <v>1</v>
      </c>
      <c r="I347" s="191"/>
      <c r="J347" s="191"/>
      <c r="K347" s="191"/>
      <c r="L347" s="191"/>
      <c r="M347" s="191"/>
      <c r="N347" s="191"/>
      <c r="O347" s="211"/>
      <c r="P347" s="212"/>
      <c r="Q347" s="32"/>
      <c r="R347" s="32"/>
      <c r="S347" s="32"/>
      <c r="T347" s="32"/>
      <c r="U347" s="32"/>
      <c r="V347" s="32"/>
      <c r="W347" s="32"/>
      <c r="X347" s="32"/>
      <c r="Y347" s="32"/>
      <c r="Z347" s="32"/>
      <c r="AA347" s="32"/>
      <c r="AB347" s="32"/>
      <c r="AC347" s="52"/>
      <c r="AD347" s="32"/>
      <c r="AE347" s="52">
        <f>1310000+(1310000*5.2%)</f>
        <v>1378120</v>
      </c>
      <c r="AF347" s="32">
        <f>AE347*G347</f>
        <v>1378120</v>
      </c>
      <c r="AG347" s="32"/>
      <c r="AH347" s="32"/>
      <c r="AI347" s="32"/>
      <c r="AJ347" s="32"/>
      <c r="AK347" s="32"/>
      <c r="AL347" s="32"/>
      <c r="AM347" s="32"/>
      <c r="AN347" s="32"/>
      <c r="AO347" s="32"/>
      <c r="AP347" s="32"/>
      <c r="AQ347" s="32"/>
      <c r="AR347" s="32"/>
      <c r="AS347" s="32"/>
      <c r="AT347" s="32"/>
      <c r="AU347" s="32"/>
      <c r="AV347" s="32"/>
      <c r="AW347" s="32"/>
      <c r="AX347" s="32"/>
      <c r="AY347" s="32"/>
      <c r="AZ347" s="32"/>
      <c r="BA347" s="52">
        <f>1200000+(1200000*5.2%)</f>
        <v>1262400</v>
      </c>
      <c r="BB347" s="32">
        <f>BA347*G347</f>
        <v>1262400</v>
      </c>
      <c r="BC347" s="32"/>
      <c r="BD347" s="32"/>
      <c r="BE347" s="32"/>
      <c r="BF347" s="32"/>
      <c r="BG347" s="32"/>
      <c r="BH347" s="32"/>
      <c r="BI347" s="52">
        <f>1455000+(1455000*5.2%)</f>
        <v>1530660</v>
      </c>
      <c r="BJ347" s="32">
        <f>BI347*G347</f>
        <v>1530660</v>
      </c>
      <c r="BK347" s="192"/>
      <c r="BL347" s="32"/>
      <c r="BM347" s="192"/>
      <c r="BN347" s="32"/>
      <c r="BO347" s="32"/>
      <c r="BP347" s="32"/>
      <c r="BQ347" s="32"/>
      <c r="BR347" s="32"/>
      <c r="BS347" s="32"/>
      <c r="BT347" s="32"/>
      <c r="BU347" s="32"/>
      <c r="BV347" s="32"/>
      <c r="BW347" s="32"/>
      <c r="BX347" s="32"/>
      <c r="BY347" s="32"/>
      <c r="BZ347" s="32"/>
      <c r="CA347" s="32"/>
      <c r="CB347" s="32"/>
      <c r="CC347" s="32"/>
      <c r="CD347" s="32"/>
      <c r="CE347" s="32"/>
      <c r="CF347" s="32"/>
      <c r="CG347" s="32"/>
      <c r="CH347" s="32"/>
      <c r="CI347" s="32"/>
      <c r="CJ347" s="32"/>
      <c r="CK347" s="32"/>
      <c r="CL347" s="32"/>
      <c r="CM347" s="32"/>
      <c r="CN347" s="32"/>
      <c r="CO347" s="211"/>
      <c r="CP347" s="32"/>
      <c r="CQ347" s="225"/>
      <c r="CR347" s="32"/>
      <c r="CS347" s="28"/>
      <c r="CT347" s="25"/>
      <c r="CU347" s="225"/>
      <c r="CV347" s="25"/>
      <c r="CW347" s="245"/>
      <c r="CX347" s="25"/>
      <c r="CY347" s="245"/>
      <c r="CZ347" s="25"/>
      <c r="DA347" s="25"/>
      <c r="DB347" s="25"/>
      <c r="DC347" s="245"/>
      <c r="DD347" s="25"/>
      <c r="DE347" s="25"/>
      <c r="DF347" s="25"/>
      <c r="DG347" s="25"/>
      <c r="DH347" s="25"/>
      <c r="DI347" s="25"/>
      <c r="DJ347" s="25"/>
      <c r="DK347" s="25"/>
      <c r="DL347" s="25"/>
      <c r="DM347" s="25"/>
      <c r="DN347" s="25"/>
      <c r="DO347" s="25"/>
      <c r="DP347" s="25"/>
      <c r="DQ347" s="25"/>
      <c r="DR347" s="25"/>
      <c r="DS347" s="13">
        <f>+MEDIAN(AE347,BA347,BI347)</f>
        <v>1378120</v>
      </c>
      <c r="DT347" s="13">
        <f>+AVERAGE(AE347,BA347,BI347)</f>
        <v>1390393.3333333333</v>
      </c>
      <c r="DU347" s="13">
        <f>+STDEV(AE347,BA347,BI347)</f>
        <v>134550.48470122035</v>
      </c>
      <c r="DV347" s="17">
        <f t="shared" ref="DV347:DV353" si="68">DU347/DT347</f>
        <v>9.6771526067841979E-2</v>
      </c>
      <c r="DW347" s="373">
        <f>+ROUNDUP(IF(DV347&lt;15%,DT347,DS347),0)</f>
        <v>1390394</v>
      </c>
      <c r="DX347" s="326">
        <f t="shared" si="67"/>
        <v>1390394</v>
      </c>
      <c r="DY347" s="10" t="s">
        <v>308</v>
      </c>
    </row>
    <row r="348" spans="1:132" ht="104" hidden="1" x14ac:dyDescent="0.3">
      <c r="A348" s="70">
        <v>157</v>
      </c>
      <c r="B348" s="9" t="s">
        <v>55</v>
      </c>
      <c r="C348" s="9" t="s">
        <v>203</v>
      </c>
      <c r="D348" s="9" t="s">
        <v>344</v>
      </c>
      <c r="E348" s="10" t="s">
        <v>345</v>
      </c>
      <c r="F348" s="9" t="s">
        <v>476</v>
      </c>
      <c r="G348" s="11">
        <v>1</v>
      </c>
      <c r="H348" s="11">
        <v>1</v>
      </c>
      <c r="I348" s="191"/>
      <c r="J348" s="191"/>
      <c r="K348" s="191"/>
      <c r="L348" s="191"/>
      <c r="M348" s="191"/>
      <c r="N348" s="191"/>
      <c r="O348" s="211"/>
      <c r="P348" s="212"/>
      <c r="Q348" s="32"/>
      <c r="R348" s="32"/>
      <c r="S348" s="32"/>
      <c r="T348" s="32"/>
      <c r="U348" s="32"/>
      <c r="V348" s="32"/>
      <c r="W348" s="32"/>
      <c r="X348" s="32"/>
      <c r="Y348" s="32"/>
      <c r="Z348" s="32"/>
      <c r="AA348" s="32"/>
      <c r="AB348" s="32"/>
      <c r="AC348" s="32"/>
      <c r="AD348" s="192"/>
      <c r="AE348" s="192"/>
      <c r="AF348" s="192"/>
      <c r="AG348" s="32"/>
      <c r="AH348" s="32"/>
      <c r="AI348" s="32"/>
      <c r="AJ348" s="32"/>
      <c r="AK348" s="32"/>
      <c r="AL348" s="32"/>
      <c r="AM348" s="32"/>
      <c r="AN348" s="32"/>
      <c r="AO348" s="32"/>
      <c r="AP348" s="32"/>
      <c r="AQ348" s="32"/>
      <c r="AR348" s="32"/>
      <c r="AS348" s="32"/>
      <c r="AT348" s="32"/>
      <c r="AU348" s="32"/>
      <c r="AV348" s="32"/>
      <c r="AW348" s="32"/>
      <c r="AX348" s="32"/>
      <c r="AY348" s="32"/>
      <c r="AZ348" s="32"/>
      <c r="BA348" s="32"/>
      <c r="BB348" s="32"/>
      <c r="BC348" s="32"/>
      <c r="BD348" s="32"/>
      <c r="BE348" s="32"/>
      <c r="BF348" s="32"/>
      <c r="BG348" s="32"/>
      <c r="BH348" s="32"/>
      <c r="BI348" s="32"/>
      <c r="BJ348" s="32"/>
      <c r="BK348" s="192"/>
      <c r="BL348" s="32"/>
      <c r="BM348" s="192"/>
      <c r="BN348" s="32"/>
      <c r="BO348" s="32"/>
      <c r="BP348" s="32"/>
      <c r="BQ348" s="32"/>
      <c r="BR348" s="32"/>
      <c r="BS348" s="32"/>
      <c r="BT348" s="32"/>
      <c r="BU348" s="32"/>
      <c r="BV348" s="32"/>
      <c r="BW348" s="32"/>
      <c r="BX348" s="32"/>
      <c r="BY348" s="32"/>
      <c r="BZ348" s="32"/>
      <c r="CA348" s="32"/>
      <c r="CB348" s="32"/>
      <c r="CC348" s="32"/>
      <c r="CD348" s="32"/>
      <c r="CE348" s="32"/>
      <c r="CF348" s="32"/>
      <c r="CG348" s="32"/>
      <c r="CH348" s="32"/>
      <c r="CI348" s="32"/>
      <c r="CJ348" s="32"/>
      <c r="CK348" s="246">
        <f>1138011+(1138011*5.2%)</f>
        <v>1197187.5719999999</v>
      </c>
      <c r="CL348" s="32">
        <f>CK348*G348</f>
        <v>1197187.5719999999</v>
      </c>
      <c r="CM348" s="246">
        <f>1200000+(1200000*5.2%)</f>
        <v>1262400</v>
      </c>
      <c r="CN348" s="32">
        <f>CM348*G348</f>
        <v>1262400</v>
      </c>
      <c r="CO348" s="32"/>
      <c r="CP348" s="32"/>
      <c r="CQ348" s="32"/>
      <c r="CR348" s="32"/>
      <c r="CS348" s="32"/>
      <c r="CT348" s="32"/>
      <c r="CU348" s="32"/>
      <c r="CV348" s="32"/>
      <c r="CW348" s="32"/>
      <c r="CX348" s="32"/>
      <c r="CY348" s="32"/>
      <c r="CZ348" s="32"/>
      <c r="DA348" s="32"/>
      <c r="DB348" s="32"/>
      <c r="DC348" s="32"/>
      <c r="DD348" s="32"/>
      <c r="DE348" s="32"/>
      <c r="DF348" s="32"/>
      <c r="DG348" s="32"/>
      <c r="DH348" s="32"/>
      <c r="DI348" s="32"/>
      <c r="DJ348" s="32"/>
      <c r="DK348" s="32"/>
      <c r="DL348" s="32"/>
      <c r="DM348" s="32"/>
      <c r="DN348" s="32"/>
      <c r="DO348" s="32"/>
      <c r="DP348" s="32"/>
      <c r="DQ348" s="32"/>
      <c r="DR348" s="32"/>
      <c r="DS348" s="265">
        <f>MEDIAN(CK348,CM348)</f>
        <v>1229793.7859999998</v>
      </c>
      <c r="DT348" s="265">
        <f>AVERAGE(CK348,CM348)</f>
        <v>1229793.7859999998</v>
      </c>
      <c r="DU348" s="265">
        <f>STDEV(CK348,CM348)</f>
        <v>46112.150056439539</v>
      </c>
      <c r="DV348" s="48">
        <f t="shared" si="68"/>
        <v>3.7495839206037058E-2</v>
      </c>
      <c r="DW348" s="377">
        <f>ROUNDUP(IF(DV348&lt;15%,DT348,DS348),0)</f>
        <v>1229794</v>
      </c>
      <c r="DX348" s="13">
        <f t="shared" si="67"/>
        <v>1229794</v>
      </c>
      <c r="DY348" s="10" t="s">
        <v>308</v>
      </c>
    </row>
    <row r="349" spans="1:132" ht="39" hidden="1" x14ac:dyDescent="0.3">
      <c r="A349" s="19">
        <v>158</v>
      </c>
      <c r="B349" s="9" t="s">
        <v>55</v>
      </c>
      <c r="C349" s="9" t="s">
        <v>203</v>
      </c>
      <c r="D349" s="9" t="s">
        <v>299</v>
      </c>
      <c r="E349" s="10" t="s">
        <v>213</v>
      </c>
      <c r="F349" s="27" t="s">
        <v>473</v>
      </c>
      <c r="G349" s="11">
        <v>1</v>
      </c>
      <c r="H349" s="11">
        <v>1</v>
      </c>
      <c r="I349" s="191"/>
      <c r="J349" s="191"/>
      <c r="K349" s="191"/>
      <c r="L349" s="191"/>
      <c r="M349" s="191"/>
      <c r="N349" s="191"/>
      <c r="O349" s="211"/>
      <c r="P349" s="212"/>
      <c r="Q349" s="32"/>
      <c r="R349" s="32"/>
      <c r="S349" s="32"/>
      <c r="T349" s="32"/>
      <c r="U349" s="32"/>
      <c r="V349" s="32"/>
      <c r="W349" s="32"/>
      <c r="X349" s="32"/>
      <c r="Y349" s="32"/>
      <c r="Z349" s="32"/>
      <c r="AA349" s="32">
        <v>7000000</v>
      </c>
      <c r="AB349" s="32">
        <f>AA349*G349</f>
        <v>7000000</v>
      </c>
      <c r="AC349" s="32"/>
      <c r="AD349" s="32"/>
      <c r="AE349" s="32"/>
      <c r="AF349" s="32"/>
      <c r="AG349" s="32">
        <v>7500000</v>
      </c>
      <c r="AH349" s="32">
        <f>AG349*G349</f>
        <v>7500000</v>
      </c>
      <c r="AI349" s="32"/>
      <c r="AJ349" s="32"/>
      <c r="AK349" s="32"/>
      <c r="AL349" s="32"/>
      <c r="AM349" s="32"/>
      <c r="AN349" s="32"/>
      <c r="AO349" s="32"/>
      <c r="AP349" s="32"/>
      <c r="AQ349" s="32"/>
      <c r="AR349" s="32"/>
      <c r="AS349" s="32"/>
      <c r="AT349" s="32"/>
      <c r="AU349" s="32"/>
      <c r="AV349" s="32"/>
      <c r="AW349" s="32"/>
      <c r="AX349" s="32"/>
      <c r="AY349" s="32"/>
      <c r="AZ349" s="32"/>
      <c r="BA349" s="32"/>
      <c r="BB349" s="32"/>
      <c r="BC349" s="32"/>
      <c r="BD349" s="32"/>
      <c r="BE349" s="32"/>
      <c r="BF349" s="32"/>
      <c r="BG349" s="32"/>
      <c r="BH349" s="32"/>
      <c r="BI349" s="32"/>
      <c r="BJ349" s="32"/>
      <c r="BK349" s="192"/>
      <c r="BL349" s="32"/>
      <c r="BM349" s="192"/>
      <c r="BN349" s="32"/>
      <c r="BO349" s="32"/>
      <c r="BP349" s="32"/>
      <c r="BQ349" s="32"/>
      <c r="BR349" s="32"/>
      <c r="BS349" s="32"/>
      <c r="BT349" s="32"/>
      <c r="BU349" s="32"/>
      <c r="BV349" s="32"/>
      <c r="BW349" s="32"/>
      <c r="BX349" s="32"/>
      <c r="BY349" s="32"/>
      <c r="BZ349" s="32"/>
      <c r="CA349" s="32"/>
      <c r="CB349" s="32"/>
      <c r="CC349" s="32"/>
      <c r="CD349" s="32"/>
      <c r="CE349" s="32"/>
      <c r="CF349" s="32"/>
      <c r="CG349" s="32"/>
      <c r="CH349" s="32"/>
      <c r="CI349" s="32"/>
      <c r="CJ349" s="32"/>
      <c r="CK349" s="32"/>
      <c r="CL349" s="32"/>
      <c r="CM349" s="32"/>
      <c r="CN349" s="32"/>
      <c r="CO349" s="32"/>
      <c r="CP349" s="32"/>
      <c r="CQ349" s="32"/>
      <c r="CR349" s="32"/>
      <c r="CS349" s="32"/>
      <c r="CT349" s="32"/>
      <c r="CU349" s="32"/>
      <c r="CV349" s="32"/>
      <c r="CW349" s="32"/>
      <c r="CX349" s="32"/>
      <c r="CY349" s="32"/>
      <c r="CZ349" s="32"/>
      <c r="DA349" s="32"/>
      <c r="DB349" s="32"/>
      <c r="DC349" s="32"/>
      <c r="DD349" s="32"/>
      <c r="DE349" s="32"/>
      <c r="DF349" s="32"/>
      <c r="DG349" s="32"/>
      <c r="DH349" s="32"/>
      <c r="DI349" s="32"/>
      <c r="DJ349" s="32"/>
      <c r="DK349" s="32"/>
      <c r="DL349" s="32"/>
      <c r="DM349" s="32"/>
      <c r="DN349" s="32"/>
      <c r="DO349" s="32"/>
      <c r="DP349" s="32"/>
      <c r="DQ349" s="32"/>
      <c r="DR349" s="32"/>
      <c r="DS349" s="13">
        <f>+MEDIAN(AA349,AG349)</f>
        <v>7250000</v>
      </c>
      <c r="DT349" s="13">
        <f>+AVERAGE(AA349,AG349)</f>
        <v>7250000</v>
      </c>
      <c r="DU349" s="13">
        <f>+STDEV(AA349,AG349)</f>
        <v>353553.39059327374</v>
      </c>
      <c r="DV349" s="17">
        <f t="shared" si="68"/>
        <v>4.8765984909417068E-2</v>
      </c>
      <c r="DW349" s="373">
        <f>+ROUNDUP(IF(DV349&lt;15%,DT349,DS349),0)</f>
        <v>7250000</v>
      </c>
      <c r="DX349" s="326">
        <f t="shared" si="67"/>
        <v>7250000</v>
      </c>
      <c r="DY349" s="10" t="s">
        <v>308</v>
      </c>
    </row>
    <row r="350" spans="1:132" ht="39" hidden="1" x14ac:dyDescent="0.3">
      <c r="A350" s="70">
        <v>159</v>
      </c>
      <c r="B350" s="9" t="s">
        <v>55</v>
      </c>
      <c r="C350" s="9" t="s">
        <v>203</v>
      </c>
      <c r="D350" s="9" t="s">
        <v>214</v>
      </c>
      <c r="E350" s="10" t="s">
        <v>215</v>
      </c>
      <c r="F350" s="27" t="s">
        <v>473</v>
      </c>
      <c r="G350" s="11">
        <v>50</v>
      </c>
      <c r="H350" s="11">
        <v>1</v>
      </c>
      <c r="I350" s="191"/>
      <c r="J350" s="191"/>
      <c r="K350" s="191"/>
      <c r="L350" s="191"/>
      <c r="M350" s="191"/>
      <c r="N350" s="191"/>
      <c r="O350" s="211"/>
      <c r="P350" s="212"/>
      <c r="Q350" s="32"/>
      <c r="R350" s="32"/>
      <c r="S350" s="32"/>
      <c r="T350" s="32"/>
      <c r="U350" s="32"/>
      <c r="V350" s="32"/>
      <c r="W350" s="32"/>
      <c r="X350" s="32"/>
      <c r="Y350" s="32"/>
      <c r="Z350" s="32"/>
      <c r="AA350" s="32">
        <v>42000</v>
      </c>
      <c r="AB350" s="32">
        <f>AA350*H350</f>
        <v>42000</v>
      </c>
      <c r="AC350" s="32"/>
      <c r="AD350" s="32"/>
      <c r="AE350" s="32"/>
      <c r="AF350" s="32"/>
      <c r="AG350" s="32">
        <v>50000</v>
      </c>
      <c r="AH350" s="32">
        <f>AG350*G350</f>
        <v>2500000</v>
      </c>
      <c r="AI350" s="32"/>
      <c r="AJ350" s="32"/>
      <c r="AK350" s="32"/>
      <c r="AL350" s="32"/>
      <c r="AM350" s="32"/>
      <c r="AN350" s="32"/>
      <c r="AO350" s="32"/>
      <c r="AP350" s="32"/>
      <c r="AQ350" s="32"/>
      <c r="AR350" s="32"/>
      <c r="AS350" s="32"/>
      <c r="AT350" s="32"/>
      <c r="AU350" s="32"/>
      <c r="AV350" s="32"/>
      <c r="AW350" s="32"/>
      <c r="AX350" s="32"/>
      <c r="AY350" s="32"/>
      <c r="AZ350" s="32"/>
      <c r="BA350" s="32"/>
      <c r="BB350" s="32"/>
      <c r="BC350" s="32"/>
      <c r="BD350" s="32"/>
      <c r="BE350" s="32"/>
      <c r="BF350" s="32"/>
      <c r="BG350" s="32"/>
      <c r="BH350" s="32"/>
      <c r="BI350" s="32"/>
      <c r="BJ350" s="32"/>
      <c r="BK350" s="192"/>
      <c r="BL350" s="32"/>
      <c r="BM350" s="192"/>
      <c r="BN350" s="32"/>
      <c r="BO350" s="32"/>
      <c r="BP350" s="32"/>
      <c r="BQ350" s="32"/>
      <c r="BR350" s="32"/>
      <c r="BS350" s="32"/>
      <c r="BT350" s="32"/>
      <c r="BU350" s="32"/>
      <c r="BV350" s="32"/>
      <c r="BW350" s="32"/>
      <c r="BX350" s="32"/>
      <c r="BY350" s="32"/>
      <c r="BZ350" s="32"/>
      <c r="CA350" s="32"/>
      <c r="CB350" s="32"/>
      <c r="CC350" s="32"/>
      <c r="CD350" s="32"/>
      <c r="CE350" s="32"/>
      <c r="CF350" s="32"/>
      <c r="CG350" s="32"/>
      <c r="CH350" s="32"/>
      <c r="CI350" s="32"/>
      <c r="CJ350" s="32"/>
      <c r="CK350" s="32"/>
      <c r="CL350" s="32"/>
      <c r="CM350" s="32"/>
      <c r="CN350" s="32"/>
      <c r="CO350" s="32"/>
      <c r="CP350" s="32"/>
      <c r="CQ350" s="32"/>
      <c r="CR350" s="32"/>
      <c r="CS350" s="32"/>
      <c r="CT350" s="32"/>
      <c r="CU350" s="32"/>
      <c r="CV350" s="32"/>
      <c r="CW350" s="32"/>
      <c r="CX350" s="32"/>
      <c r="CY350" s="32"/>
      <c r="CZ350" s="32"/>
      <c r="DA350" s="32"/>
      <c r="DB350" s="32"/>
      <c r="DC350" s="32"/>
      <c r="DD350" s="32"/>
      <c r="DE350" s="32"/>
      <c r="DF350" s="32"/>
      <c r="DG350" s="32"/>
      <c r="DH350" s="32"/>
      <c r="DI350" s="32"/>
      <c r="DJ350" s="32"/>
      <c r="DK350" s="32"/>
      <c r="DL350" s="32"/>
      <c r="DM350" s="32"/>
      <c r="DN350" s="32"/>
      <c r="DO350" s="32"/>
      <c r="DP350" s="32"/>
      <c r="DQ350" s="32"/>
      <c r="DR350" s="32"/>
      <c r="DS350" s="13">
        <f>+MEDIAN(AA350,AG350)</f>
        <v>46000</v>
      </c>
      <c r="DT350" s="13">
        <f>+AVERAGE(AA350,AG350)</f>
        <v>46000</v>
      </c>
      <c r="DU350" s="13">
        <f>+STDEV(AA350,AG350)</f>
        <v>5656.8542494923804</v>
      </c>
      <c r="DV350" s="17">
        <f t="shared" si="68"/>
        <v>0.12297509238026914</v>
      </c>
      <c r="DW350" s="373">
        <f>+ROUNDUP(IF(DV350&lt;15%,DT350,DS350),0)</f>
        <v>46000</v>
      </c>
      <c r="DX350" s="326">
        <f t="shared" si="67"/>
        <v>2300000</v>
      </c>
      <c r="DY350" s="10" t="s">
        <v>308</v>
      </c>
    </row>
    <row r="351" spans="1:132" ht="169" hidden="1" x14ac:dyDescent="0.3">
      <c r="A351" s="19">
        <v>160</v>
      </c>
      <c r="B351" s="9" t="s">
        <v>55</v>
      </c>
      <c r="C351" s="9" t="s">
        <v>203</v>
      </c>
      <c r="D351" s="9" t="s">
        <v>301</v>
      </c>
      <c r="E351" s="53" t="s">
        <v>300</v>
      </c>
      <c r="F351" s="26" t="s">
        <v>31</v>
      </c>
      <c r="G351" s="11">
        <v>6</v>
      </c>
      <c r="H351" s="11">
        <v>1</v>
      </c>
      <c r="I351" s="191"/>
      <c r="J351" s="191"/>
      <c r="K351" s="191"/>
      <c r="L351" s="191"/>
      <c r="M351" s="191"/>
      <c r="N351" s="191"/>
      <c r="O351" s="211"/>
      <c r="P351" s="212"/>
      <c r="Q351" s="32"/>
      <c r="R351" s="32"/>
      <c r="S351" s="32"/>
      <c r="T351" s="32"/>
      <c r="U351" s="32"/>
      <c r="V351" s="32"/>
      <c r="W351" s="32"/>
      <c r="X351" s="32"/>
      <c r="Y351" s="32"/>
      <c r="Z351" s="32"/>
      <c r="AA351" s="312">
        <v>450000</v>
      </c>
      <c r="AB351" s="198">
        <f>AA351*G351</f>
        <v>2700000</v>
      </c>
      <c r="AD351" s="32"/>
      <c r="AE351" s="32"/>
      <c r="AF351" s="32"/>
      <c r="AG351" s="312">
        <v>480000</v>
      </c>
      <c r="AH351" s="32">
        <f>AG351*G351</f>
        <v>2880000</v>
      </c>
      <c r="AI351" s="32"/>
      <c r="AJ351" s="32"/>
      <c r="AK351" s="32"/>
      <c r="AL351" s="32"/>
      <c r="AM351" s="32"/>
      <c r="AN351" s="32"/>
      <c r="AO351" s="32"/>
      <c r="AP351" s="32"/>
      <c r="AQ351" s="32"/>
      <c r="AR351" s="32"/>
      <c r="AS351" s="32"/>
      <c r="AT351" s="32"/>
      <c r="AU351" s="32"/>
      <c r="AV351" s="32"/>
      <c r="AW351" s="32"/>
      <c r="AX351" s="32"/>
      <c r="AY351" s="32"/>
      <c r="AZ351" s="32"/>
      <c r="BA351" s="32"/>
      <c r="BB351" s="32"/>
      <c r="BC351" s="32"/>
      <c r="BD351" s="32"/>
      <c r="BE351" s="32"/>
      <c r="BF351" s="32"/>
      <c r="BG351" s="32"/>
      <c r="BH351" s="32"/>
      <c r="BI351" s="32"/>
      <c r="BJ351" s="32"/>
      <c r="BK351" s="192"/>
      <c r="BL351" s="32"/>
      <c r="BM351" s="192"/>
      <c r="BN351" s="32"/>
      <c r="BO351" s="32"/>
      <c r="BP351" s="32"/>
      <c r="BQ351" s="32"/>
      <c r="BR351" s="32"/>
      <c r="BS351" s="32"/>
      <c r="BT351" s="32"/>
      <c r="BU351" s="32"/>
      <c r="BV351" s="32"/>
      <c r="BW351" s="32"/>
      <c r="BX351" s="32"/>
      <c r="BY351" s="32"/>
      <c r="BZ351" s="32"/>
      <c r="CA351" s="32"/>
      <c r="CB351" s="32"/>
      <c r="CC351" s="32"/>
      <c r="CD351" s="32"/>
      <c r="CE351" s="32"/>
      <c r="CF351" s="32"/>
      <c r="CG351" s="32"/>
      <c r="CH351" s="32"/>
      <c r="CI351" s="32"/>
      <c r="CJ351" s="32"/>
      <c r="CK351" s="32"/>
      <c r="CL351" s="32"/>
      <c r="CM351" s="32"/>
      <c r="CN351" s="32"/>
      <c r="CO351" s="32"/>
      <c r="CP351" s="32"/>
      <c r="CQ351" s="32"/>
      <c r="CR351" s="32"/>
      <c r="CS351" s="32"/>
      <c r="CT351" s="32"/>
      <c r="CU351" s="32"/>
      <c r="CV351" s="32"/>
      <c r="CW351" s="32"/>
      <c r="CX351" s="32"/>
      <c r="CY351" s="32"/>
      <c r="CZ351" s="32"/>
      <c r="DA351" s="32"/>
      <c r="DB351" s="32"/>
      <c r="DC351" s="32"/>
      <c r="DD351" s="32"/>
      <c r="DE351" s="32"/>
      <c r="DF351" s="32"/>
      <c r="DG351" s="32"/>
      <c r="DH351" s="32"/>
      <c r="DI351" s="32"/>
      <c r="DJ351" s="32"/>
      <c r="DK351" s="32"/>
      <c r="DL351" s="32"/>
      <c r="DM351" s="32"/>
      <c r="DN351" s="32"/>
      <c r="DO351" s="32"/>
      <c r="DP351" s="32"/>
      <c r="DQ351" s="32"/>
      <c r="DR351" s="32"/>
      <c r="DS351" s="13">
        <f>+MEDIAN(AA351,AG351)</f>
        <v>465000</v>
      </c>
      <c r="DT351" s="13">
        <f>+AVERAGE(AA351,AG351)</f>
        <v>465000</v>
      </c>
      <c r="DU351" s="13">
        <f>+STDEV(AA351,AG351)</f>
        <v>21213.203435596424</v>
      </c>
      <c r="DV351" s="17">
        <f t="shared" si="68"/>
        <v>4.5619792334615966E-2</v>
      </c>
      <c r="DW351" s="373">
        <f>+ROUNDUP(IF(DV351&lt;15%,DT351,DS351),0)</f>
        <v>465000</v>
      </c>
      <c r="DX351" s="326">
        <f t="shared" si="67"/>
        <v>2790000</v>
      </c>
      <c r="DY351" s="10" t="s">
        <v>308</v>
      </c>
    </row>
    <row r="352" spans="1:132" ht="52" hidden="1" x14ac:dyDescent="0.3">
      <c r="A352" s="70">
        <v>161</v>
      </c>
      <c r="B352" s="9" t="s">
        <v>55</v>
      </c>
      <c r="C352" s="9" t="s">
        <v>203</v>
      </c>
      <c r="D352" s="9" t="s">
        <v>186</v>
      </c>
      <c r="E352" s="51" t="s">
        <v>224</v>
      </c>
      <c r="F352" s="9" t="s">
        <v>19</v>
      </c>
      <c r="G352" s="11">
        <v>300</v>
      </c>
      <c r="H352" s="11">
        <v>1</v>
      </c>
      <c r="I352" s="191"/>
      <c r="J352" s="191"/>
      <c r="K352" s="191"/>
      <c r="L352" s="191"/>
      <c r="M352" s="191"/>
      <c r="N352" s="191"/>
      <c r="O352" s="211"/>
      <c r="P352" s="212"/>
      <c r="Q352" s="32"/>
      <c r="R352" s="32"/>
      <c r="S352" s="32"/>
      <c r="T352" s="32"/>
      <c r="U352" s="32"/>
      <c r="V352" s="32"/>
      <c r="W352" s="32"/>
      <c r="X352" s="32"/>
      <c r="Y352" s="32"/>
      <c r="Z352" s="32"/>
      <c r="AA352" s="32"/>
      <c r="AB352" s="32"/>
      <c r="AC352" s="32"/>
      <c r="AD352" s="32"/>
      <c r="AE352" s="32"/>
      <c r="AF352" s="32"/>
      <c r="AG352" s="293">
        <v>2100000</v>
      </c>
      <c r="AH352" s="293">
        <f>AG352*G353</f>
        <v>2100000</v>
      </c>
      <c r="AI352" s="32"/>
      <c r="AJ352" s="32"/>
      <c r="AK352" s="32"/>
      <c r="AL352" s="32"/>
      <c r="AM352" s="32"/>
      <c r="AN352" s="32"/>
      <c r="AO352" s="32"/>
      <c r="AP352" s="32"/>
      <c r="AQ352" s="32"/>
      <c r="AR352" s="32"/>
      <c r="AS352" s="32"/>
      <c r="AT352" s="32"/>
      <c r="AU352" s="32"/>
      <c r="AV352" s="32"/>
      <c r="AW352" s="32"/>
      <c r="AX352" s="32"/>
      <c r="AY352" s="32"/>
      <c r="AZ352" s="32"/>
      <c r="BA352" s="32"/>
      <c r="BB352" s="32"/>
      <c r="BC352" s="13">
        <v>3000</v>
      </c>
      <c r="BD352" s="32">
        <f>BC352*G352</f>
        <v>900000</v>
      </c>
      <c r="BE352" s="13">
        <v>2700</v>
      </c>
      <c r="BF352" s="32">
        <f>BE352*G352</f>
        <v>810000</v>
      </c>
      <c r="BG352" s="32"/>
      <c r="BH352" s="32"/>
      <c r="BI352" s="32"/>
      <c r="BJ352" s="32"/>
      <c r="BK352" s="192"/>
      <c r="BL352" s="32"/>
      <c r="BM352" s="192"/>
      <c r="BN352" s="32"/>
      <c r="BO352" s="32"/>
      <c r="BP352" s="32"/>
      <c r="BQ352" s="32"/>
      <c r="BR352" s="32"/>
      <c r="BS352" s="32"/>
      <c r="BT352" s="32"/>
      <c r="BU352" s="32"/>
      <c r="BV352" s="32"/>
      <c r="BW352" s="32"/>
      <c r="BX352" s="32"/>
      <c r="BY352" s="32"/>
      <c r="BZ352" s="32"/>
      <c r="CA352" s="32"/>
      <c r="CB352" s="32"/>
      <c r="CC352" s="32"/>
      <c r="CD352" s="32"/>
      <c r="CE352" s="32"/>
      <c r="CF352" s="32"/>
      <c r="CG352" s="32"/>
      <c r="CH352" s="32"/>
      <c r="CI352" s="32"/>
      <c r="CJ352" s="32"/>
      <c r="CK352" s="32"/>
      <c r="CL352" s="32"/>
      <c r="CM352" s="32"/>
      <c r="CN352" s="32"/>
      <c r="CO352" s="32"/>
      <c r="CP352" s="32"/>
      <c r="CQ352" s="32"/>
      <c r="CR352" s="32"/>
      <c r="CS352" s="32"/>
      <c r="CT352" s="32"/>
      <c r="CU352" s="32"/>
      <c r="CV352" s="32"/>
      <c r="CW352" s="32"/>
      <c r="CX352" s="32"/>
      <c r="CY352" s="32"/>
      <c r="CZ352" s="32"/>
      <c r="DA352" s="32"/>
      <c r="DB352" s="32"/>
      <c r="DC352" s="32"/>
      <c r="DD352" s="32"/>
      <c r="DE352" s="32"/>
      <c r="DF352" s="32"/>
      <c r="DG352" s="32"/>
      <c r="DH352" s="32"/>
      <c r="DI352" s="32"/>
      <c r="DJ352" s="32"/>
      <c r="DK352" s="32"/>
      <c r="DL352" s="32"/>
      <c r="DM352" s="32"/>
      <c r="DN352" s="32"/>
      <c r="DO352" s="32"/>
      <c r="DP352" s="32"/>
      <c r="DQ352" s="32"/>
      <c r="DR352" s="32"/>
      <c r="DS352" s="265">
        <f>MEDIAN(BC352,BE352)</f>
        <v>2850</v>
      </c>
      <c r="DT352" s="265">
        <f>AVERAGE(BC352,BE352)</f>
        <v>2850</v>
      </c>
      <c r="DU352" s="265">
        <f>STDEV(BC352,BE352)</f>
        <v>212.13203435596427</v>
      </c>
      <c r="DV352" s="48">
        <f t="shared" si="68"/>
        <v>7.4432292756478696E-2</v>
      </c>
      <c r="DW352" s="377">
        <f>ROUNDUP(IF(DV352&lt;15%,DT352,DS352),0)</f>
        <v>2850</v>
      </c>
      <c r="DX352" s="326">
        <f t="shared" si="67"/>
        <v>855000</v>
      </c>
      <c r="DY352" s="10" t="s">
        <v>315</v>
      </c>
    </row>
    <row r="353" spans="1:132" ht="39" hidden="1" x14ac:dyDescent="0.3">
      <c r="A353" s="19">
        <v>162</v>
      </c>
      <c r="B353" s="14" t="s">
        <v>55</v>
      </c>
      <c r="C353" s="14" t="s">
        <v>203</v>
      </c>
      <c r="D353" s="14" t="s">
        <v>227</v>
      </c>
      <c r="E353" s="39" t="s">
        <v>216</v>
      </c>
      <c r="F353" s="100" t="s">
        <v>473</v>
      </c>
      <c r="G353" s="15">
        <v>1</v>
      </c>
      <c r="H353" s="15">
        <v>1</v>
      </c>
      <c r="I353" s="194"/>
      <c r="J353" s="194"/>
      <c r="K353" s="194"/>
      <c r="L353" s="194"/>
      <c r="M353" s="194"/>
      <c r="N353" s="194"/>
      <c r="O353" s="213"/>
      <c r="P353" s="242"/>
      <c r="Q353" s="197"/>
      <c r="R353" s="197"/>
      <c r="S353" s="197"/>
      <c r="T353" s="197"/>
      <c r="U353" s="197"/>
      <c r="V353" s="197"/>
      <c r="W353" s="197"/>
      <c r="X353" s="197"/>
      <c r="Y353" s="197"/>
      <c r="Z353" s="197"/>
      <c r="AA353" s="197">
        <v>2000000</v>
      </c>
      <c r="AB353" s="197">
        <f>AA353*G353</f>
        <v>2000000</v>
      </c>
      <c r="AC353" s="197"/>
      <c r="AD353" s="197"/>
      <c r="AE353" s="197"/>
      <c r="AF353" s="197"/>
      <c r="AI353" s="197"/>
      <c r="AJ353" s="197"/>
      <c r="AK353" s="197"/>
      <c r="AL353" s="197"/>
      <c r="AM353" s="197"/>
      <c r="AN353" s="197"/>
      <c r="AO353" s="197"/>
      <c r="AP353" s="197"/>
      <c r="AQ353" s="197"/>
      <c r="AR353" s="197"/>
      <c r="AS353" s="197"/>
      <c r="AT353" s="197"/>
      <c r="AU353" s="197"/>
      <c r="AV353" s="197"/>
      <c r="AW353" s="197"/>
      <c r="AX353" s="197"/>
      <c r="AY353" s="197"/>
      <c r="AZ353" s="197"/>
      <c r="BA353" s="197"/>
      <c r="BB353" s="197"/>
      <c r="BC353" s="197"/>
      <c r="BD353" s="197"/>
      <c r="BE353" s="197"/>
      <c r="BF353" s="197"/>
      <c r="BG353" s="197"/>
      <c r="BH353" s="197"/>
      <c r="BI353" s="197"/>
      <c r="BJ353" s="197"/>
      <c r="BK353" s="195"/>
      <c r="BL353" s="197"/>
      <c r="BM353" s="195"/>
      <c r="BN353" s="197"/>
      <c r="BO353" s="197"/>
      <c r="BP353" s="197"/>
      <c r="BQ353" s="197"/>
      <c r="BR353" s="197"/>
      <c r="BS353" s="197"/>
      <c r="BT353" s="197"/>
      <c r="BU353" s="197"/>
      <c r="BV353" s="197"/>
      <c r="BW353" s="197"/>
      <c r="BX353" s="197"/>
      <c r="BY353" s="197"/>
      <c r="BZ353" s="197"/>
      <c r="CA353" s="197"/>
      <c r="CB353" s="197"/>
      <c r="CC353" s="197"/>
      <c r="CD353" s="197"/>
      <c r="CE353" s="197"/>
      <c r="CF353" s="197"/>
      <c r="CG353" s="197"/>
      <c r="CH353" s="197"/>
      <c r="CI353" s="197"/>
      <c r="CJ353" s="197"/>
      <c r="CK353" s="197"/>
      <c r="CL353" s="197"/>
      <c r="CM353" s="197"/>
      <c r="CN353" s="197"/>
      <c r="CO353" s="197"/>
      <c r="CP353" s="197"/>
      <c r="CQ353" s="197"/>
      <c r="CR353" s="197"/>
      <c r="CS353" s="197"/>
      <c r="CT353" s="197"/>
      <c r="CU353" s="197"/>
      <c r="CV353" s="197"/>
      <c r="CW353" s="197"/>
      <c r="CX353" s="197"/>
      <c r="CY353" s="197"/>
      <c r="CZ353" s="197"/>
      <c r="DA353" s="197"/>
      <c r="DB353" s="197"/>
      <c r="DC353" s="197"/>
      <c r="DD353" s="197"/>
      <c r="DE353" s="197"/>
      <c r="DF353" s="197"/>
      <c r="DG353" s="197"/>
      <c r="DH353" s="197"/>
      <c r="DI353" s="197"/>
      <c r="DJ353" s="197"/>
      <c r="DK353" s="197"/>
      <c r="DL353" s="197"/>
      <c r="DM353" s="197"/>
      <c r="DN353" s="197"/>
      <c r="DO353" s="197"/>
      <c r="DP353" s="197"/>
      <c r="DQ353" s="197"/>
      <c r="DR353" s="197"/>
      <c r="DS353" s="268">
        <f>MEDIAN(AA353,AG352)</f>
        <v>2050000</v>
      </c>
      <c r="DT353" s="268">
        <f>AVERAGE(AA353,AG352)</f>
        <v>2050000</v>
      </c>
      <c r="DU353" s="268">
        <f>STDEV(AA353,AG352)</f>
        <v>70710.67811865476</v>
      </c>
      <c r="DV353" s="79">
        <f t="shared" si="68"/>
        <v>3.4493013716416956E-2</v>
      </c>
      <c r="DW353" s="378">
        <f>ROUNDUP(IF(DV353&lt;15%,DT353,DS353),0)</f>
        <v>2050000</v>
      </c>
      <c r="DX353" s="331">
        <f t="shared" si="67"/>
        <v>2050000</v>
      </c>
      <c r="DY353" s="77" t="s">
        <v>317</v>
      </c>
    </row>
    <row r="354" spans="1:132" s="63" customFormat="1" ht="18.649999999999999" hidden="1" customHeight="1" x14ac:dyDescent="0.3">
      <c r="A354" s="66" t="s">
        <v>416</v>
      </c>
      <c r="B354" s="66"/>
      <c r="C354" s="66"/>
      <c r="D354" s="66"/>
      <c r="E354" s="66"/>
      <c r="F354" s="67"/>
      <c r="G354" s="67"/>
      <c r="H354" s="67"/>
      <c r="I354" s="214"/>
      <c r="J354" s="214"/>
      <c r="K354" s="214"/>
      <c r="L354" s="214"/>
      <c r="M354" s="214"/>
      <c r="N354" s="214"/>
      <c r="O354" s="215"/>
      <c r="P354" s="215"/>
      <c r="Q354" s="215"/>
      <c r="R354" s="215"/>
      <c r="S354" s="215"/>
      <c r="T354" s="215"/>
      <c r="U354" s="215"/>
      <c r="V354" s="215"/>
      <c r="W354" s="215"/>
      <c r="X354" s="215"/>
      <c r="Y354" s="215"/>
      <c r="Z354" s="215"/>
      <c r="AA354" s="215"/>
      <c r="AB354" s="215"/>
      <c r="AC354" s="215"/>
      <c r="AD354" s="215"/>
      <c r="AE354" s="215"/>
      <c r="AF354" s="215"/>
      <c r="AG354" s="215"/>
      <c r="AH354" s="215"/>
      <c r="AI354" s="215"/>
      <c r="AJ354" s="215"/>
      <c r="AK354" s="215"/>
      <c r="AL354" s="215"/>
      <c r="AM354" s="215"/>
      <c r="AN354" s="215"/>
      <c r="AO354" s="215"/>
      <c r="AP354" s="215"/>
      <c r="AQ354" s="215"/>
      <c r="AR354" s="215"/>
      <c r="AS354" s="215"/>
      <c r="AT354" s="215"/>
      <c r="AU354" s="215"/>
      <c r="AV354" s="215"/>
      <c r="AW354" s="215"/>
      <c r="AX354" s="215"/>
      <c r="AY354" s="215"/>
      <c r="AZ354" s="215"/>
      <c r="BA354" s="215"/>
      <c r="BB354" s="215"/>
      <c r="BC354" s="215"/>
      <c r="BD354" s="215"/>
      <c r="BE354" s="215"/>
      <c r="BF354" s="215"/>
      <c r="BG354" s="215"/>
      <c r="BH354" s="215"/>
      <c r="BI354" s="215"/>
      <c r="BJ354" s="215"/>
      <c r="BK354" s="215"/>
      <c r="BL354" s="216"/>
      <c r="BM354" s="215"/>
      <c r="BN354" s="216"/>
      <c r="BO354" s="216"/>
      <c r="BP354" s="216"/>
      <c r="BQ354" s="216"/>
      <c r="BR354" s="216"/>
      <c r="BS354" s="216"/>
      <c r="BT354" s="216"/>
      <c r="BU354" s="216"/>
      <c r="BV354" s="216"/>
      <c r="BW354" s="216"/>
      <c r="BX354" s="216"/>
      <c r="BY354" s="216"/>
      <c r="BZ354" s="216"/>
      <c r="CA354" s="216"/>
      <c r="CB354" s="216"/>
      <c r="CC354" s="216"/>
      <c r="CD354" s="216"/>
      <c r="CE354" s="216"/>
      <c r="CF354" s="216"/>
      <c r="CG354" s="216"/>
      <c r="CH354" s="216"/>
      <c r="CI354" s="216"/>
      <c r="CJ354" s="216"/>
      <c r="CK354" s="216"/>
      <c r="CL354" s="216"/>
      <c r="CM354" s="216"/>
      <c r="CN354" s="216"/>
      <c r="CO354" s="216"/>
      <c r="CP354" s="216"/>
      <c r="CQ354" s="216"/>
      <c r="CR354" s="216"/>
      <c r="CS354" s="216"/>
      <c r="CT354" s="216"/>
      <c r="CU354" s="216"/>
      <c r="CV354" s="216"/>
      <c r="CW354" s="216"/>
      <c r="CX354" s="216"/>
      <c r="CY354" s="216"/>
      <c r="CZ354" s="216"/>
      <c r="DA354" s="216"/>
      <c r="DB354" s="216"/>
      <c r="DC354" s="216"/>
      <c r="DD354" s="216"/>
      <c r="DE354" s="216"/>
      <c r="DF354" s="216"/>
      <c r="DG354" s="216"/>
      <c r="DH354" s="216"/>
      <c r="DI354" s="216"/>
      <c r="DJ354" s="216"/>
      <c r="DK354" s="216"/>
      <c r="DL354" s="216"/>
      <c r="DM354" s="216"/>
      <c r="DN354" s="216"/>
      <c r="DO354" s="216"/>
      <c r="DP354" s="216"/>
      <c r="DQ354" s="216"/>
      <c r="DR354" s="216"/>
      <c r="DS354" s="215"/>
      <c r="DT354" s="215"/>
      <c r="DU354" s="215"/>
      <c r="DV354" s="68"/>
      <c r="DW354" s="69">
        <f>SUM(DW326:DW353)</f>
        <v>55526819</v>
      </c>
      <c r="DX354" s="69">
        <f>SUM(DX326:DX353)</f>
        <v>173713198</v>
      </c>
      <c r="DY354" s="165"/>
      <c r="DZ354" s="609"/>
      <c r="EA354" s="609"/>
      <c r="EB354" s="609"/>
    </row>
    <row r="355" spans="1:132" ht="164.5" hidden="1" customHeight="1" x14ac:dyDescent="0.3">
      <c r="A355" s="37">
        <v>163</v>
      </c>
      <c r="B355" s="14" t="s">
        <v>15</v>
      </c>
      <c r="C355" s="45"/>
      <c r="D355" s="14" t="s">
        <v>1177</v>
      </c>
      <c r="E355" s="104" t="s">
        <v>1334</v>
      </c>
      <c r="F355" s="603">
        <v>0.08</v>
      </c>
      <c r="G355" s="114"/>
      <c r="H355" s="114"/>
      <c r="I355" s="194"/>
      <c r="J355" s="194"/>
      <c r="K355" s="194"/>
      <c r="L355" s="194"/>
      <c r="M355" s="194"/>
      <c r="N355" s="194"/>
      <c r="O355" s="213"/>
      <c r="P355" s="242"/>
      <c r="Q355" s="197"/>
      <c r="R355" s="197"/>
      <c r="S355" s="197"/>
      <c r="T355" s="197"/>
      <c r="U355" s="197"/>
      <c r="V355" s="197"/>
      <c r="W355" s="197"/>
      <c r="X355" s="197"/>
      <c r="Y355" s="197"/>
      <c r="Z355" s="197"/>
      <c r="AA355" s="197"/>
      <c r="AB355" s="197"/>
      <c r="AC355" s="197"/>
      <c r="AD355" s="197"/>
      <c r="AE355" s="197"/>
      <c r="AF355" s="197"/>
      <c r="AG355" s="197"/>
      <c r="AH355" s="197"/>
      <c r="AI355" s="197"/>
      <c r="AJ355" s="197"/>
      <c r="AK355" s="197"/>
      <c r="AL355" s="197"/>
      <c r="AM355" s="197"/>
      <c r="AN355" s="197"/>
      <c r="AO355" s="197"/>
      <c r="AP355" s="197"/>
      <c r="AQ355" s="197"/>
      <c r="AR355" s="197"/>
      <c r="AS355" s="197"/>
      <c r="AT355" s="197"/>
      <c r="AU355" s="197"/>
      <c r="AV355" s="197"/>
      <c r="AW355" s="197"/>
      <c r="AX355" s="197"/>
      <c r="AY355" s="197"/>
      <c r="AZ355" s="197"/>
      <c r="BA355" s="197"/>
      <c r="BB355" s="197"/>
      <c r="BC355" s="197"/>
      <c r="BD355" s="197"/>
      <c r="BE355" s="197"/>
      <c r="BF355" s="197"/>
      <c r="BG355" s="197"/>
      <c r="BH355" s="197"/>
      <c r="BI355" s="197"/>
      <c r="BJ355" s="197"/>
      <c r="BK355" s="195"/>
      <c r="BL355" s="197"/>
      <c r="BM355" s="195"/>
      <c r="BN355" s="197"/>
      <c r="BO355" s="197"/>
      <c r="BP355" s="197"/>
      <c r="BQ355" s="197"/>
      <c r="BR355" s="197"/>
      <c r="BS355" s="197"/>
      <c r="BT355" s="197"/>
      <c r="BU355" s="197"/>
      <c r="BV355" s="197"/>
      <c r="BW355" s="197"/>
      <c r="BX355" s="197"/>
      <c r="BY355" s="197"/>
      <c r="BZ355" s="197"/>
      <c r="CA355" s="197"/>
      <c r="CB355" s="197"/>
      <c r="CC355" s="197"/>
      <c r="CD355" s="197"/>
      <c r="CE355" s="197"/>
      <c r="CF355" s="197"/>
      <c r="CG355" s="197"/>
      <c r="CH355" s="197"/>
      <c r="CI355" s="197"/>
      <c r="CJ355" s="197"/>
      <c r="CK355" s="197"/>
      <c r="CL355" s="197"/>
      <c r="CM355" s="197"/>
      <c r="CN355" s="197"/>
      <c r="CO355" s="359"/>
      <c r="CP355" s="209"/>
      <c r="CQ355" s="197"/>
      <c r="CR355" s="197"/>
      <c r="CS355" s="33"/>
      <c r="CT355" s="25"/>
      <c r="CU355" s="197"/>
      <c r="CV355" s="197"/>
      <c r="CW355" s="197"/>
      <c r="CX355" s="197"/>
      <c r="CY355" s="197"/>
      <c r="CZ355" s="197"/>
      <c r="DA355" s="197"/>
      <c r="DB355" s="197"/>
      <c r="DC355" s="197"/>
      <c r="DD355" s="197"/>
      <c r="DE355" s="197"/>
      <c r="DF355" s="197"/>
      <c r="DG355" s="197"/>
      <c r="DH355" s="197"/>
      <c r="DI355" s="197"/>
      <c r="DJ355" s="197"/>
      <c r="DK355" s="197"/>
      <c r="DL355" s="197"/>
      <c r="DM355" s="197"/>
      <c r="DN355" s="197"/>
      <c r="DO355" s="197"/>
      <c r="DP355" s="197"/>
      <c r="DQ355" s="197"/>
      <c r="DR355" s="197"/>
      <c r="DS355" s="13"/>
      <c r="DT355" s="13"/>
      <c r="DU355" s="13"/>
      <c r="DV355" s="17"/>
      <c r="DW355" s="373">
        <f>+DZ355*8%</f>
        <v>1275940.2985072001</v>
      </c>
      <c r="DX355" s="13">
        <f>+EA355*8%</f>
        <v>12008835.820864001</v>
      </c>
      <c r="DY355" s="39" t="s">
        <v>1158</v>
      </c>
      <c r="DZ355" s="613">
        <f>SUM(DZ182:DZ354)</f>
        <v>15949253.73134</v>
      </c>
      <c r="EA355" s="613">
        <f>SUM(EA182:EA354)</f>
        <v>150110447.7608</v>
      </c>
    </row>
    <row r="356" spans="1:132" s="84" customFormat="1" ht="22.5" hidden="1" customHeight="1" x14ac:dyDescent="0.3">
      <c r="A356" s="88" t="s">
        <v>217</v>
      </c>
      <c r="B356" s="88"/>
      <c r="C356" s="88"/>
      <c r="D356" s="87"/>
      <c r="E356" s="88"/>
      <c r="F356" s="88"/>
      <c r="G356" s="87"/>
      <c r="H356" s="87"/>
      <c r="I356" s="281"/>
      <c r="J356" s="281"/>
      <c r="K356" s="281"/>
      <c r="L356" s="281"/>
      <c r="M356" s="281"/>
      <c r="N356" s="281"/>
      <c r="O356" s="282">
        <f>SUM(O8:O353)</f>
        <v>372465</v>
      </c>
      <c r="P356" s="282"/>
      <c r="Q356" s="282">
        <f>SUM(Q8:Q353)</f>
        <v>353507</v>
      </c>
      <c r="R356" s="282"/>
      <c r="S356" s="282">
        <f>SUM(S8:S353)</f>
        <v>451379</v>
      </c>
      <c r="T356" s="282"/>
      <c r="U356" s="282">
        <f>SUM(U8:U353)</f>
        <v>10292</v>
      </c>
      <c r="V356" s="282"/>
      <c r="W356" s="282">
        <f>SUM(W8:W353)</f>
        <v>8520</v>
      </c>
      <c r="X356" s="282"/>
      <c r="Y356" s="282">
        <f>SUM(Y8:Y353)</f>
        <v>805229.85600000015</v>
      </c>
      <c r="Z356" s="282"/>
      <c r="AA356" s="282">
        <f>SUM(AA8:AA353)</f>
        <v>78485500</v>
      </c>
      <c r="AB356" s="282"/>
      <c r="AC356" s="282">
        <f>SUM(AC8:AC353)</f>
        <v>2201520</v>
      </c>
      <c r="AD356" s="282"/>
      <c r="AE356" s="282"/>
      <c r="AF356" s="282"/>
      <c r="AG356" s="282">
        <f>SUM(AG8:AG352)</f>
        <v>79685800</v>
      </c>
      <c r="AH356" s="282"/>
      <c r="AI356" s="282">
        <f>SUM(AI8:AI353)</f>
        <v>631200</v>
      </c>
      <c r="AJ356" s="282"/>
      <c r="AK356" s="282">
        <f>SUM(AK8:AK353)</f>
        <v>3042400</v>
      </c>
      <c r="AL356" s="282"/>
      <c r="AM356" s="282">
        <f>SUM(AM8:AM353)</f>
        <v>2937184.0000000005</v>
      </c>
      <c r="AN356" s="282"/>
      <c r="AO356" s="282">
        <f>SUM(AO8:AO353)</f>
        <v>387135.99999999988</v>
      </c>
      <c r="AP356" s="282"/>
      <c r="AQ356" s="282">
        <f>SUM(AQ8:AQ353)</f>
        <v>302239.59999999992</v>
      </c>
      <c r="AR356" s="282"/>
      <c r="AS356" s="282">
        <f>SUM(AS8:AS353)</f>
        <v>1034000</v>
      </c>
      <c r="AT356" s="282"/>
      <c r="AU356" s="282">
        <f>SUM(AU8:AU353)</f>
        <v>599000</v>
      </c>
      <c r="AV356" s="282"/>
      <c r="AW356" s="282">
        <f>SUM(AW8:AW353)</f>
        <v>599000</v>
      </c>
      <c r="AX356" s="282"/>
      <c r="AY356" s="282">
        <f>SUM(AY8:AY353)</f>
        <v>550000</v>
      </c>
      <c r="AZ356" s="282"/>
      <c r="BA356" s="282">
        <f>SUM(BA8:BA353)</f>
        <v>3851772</v>
      </c>
      <c r="BB356" s="282"/>
      <c r="BC356" s="282">
        <f>SUM(BC8:BC353)</f>
        <v>41000</v>
      </c>
      <c r="BD356" s="282"/>
      <c r="BE356" s="282">
        <f>SUM(BE8:BE353)</f>
        <v>8100</v>
      </c>
      <c r="BF356" s="282"/>
      <c r="BG356" s="282">
        <f>SUM(BG8:BG353)</f>
        <v>2104000</v>
      </c>
      <c r="BH356" s="282"/>
      <c r="BI356" s="282">
        <f>SUM(BI8:BI353)</f>
        <v>5329553.6320000002</v>
      </c>
      <c r="BJ356" s="282"/>
      <c r="BK356" s="282">
        <f>SUM(BK8:BK353)</f>
        <v>36820</v>
      </c>
      <c r="BL356" s="282"/>
      <c r="BM356" s="282">
        <f>SUM(BM8:BM353)</f>
        <v>371110</v>
      </c>
      <c r="BN356" s="282"/>
      <c r="BO356" s="282">
        <f>SUM(BO8:BO353)</f>
        <v>499800</v>
      </c>
      <c r="BP356" s="282"/>
      <c r="BQ356" s="282">
        <f>SUM(BQ8:BQ353)</f>
        <v>7558</v>
      </c>
      <c r="BR356" s="282"/>
      <c r="BS356" s="282">
        <f>SUM(BS8:BS353)</f>
        <v>964200</v>
      </c>
      <c r="BT356" s="282"/>
      <c r="BU356" s="282">
        <f>SUM(BU8:BU353)</f>
        <v>242000</v>
      </c>
      <c r="BV356" s="282"/>
      <c r="BW356" s="282">
        <f>SUM(BW8:BW353)</f>
        <v>636950</v>
      </c>
      <c r="BX356" s="282"/>
      <c r="BY356" s="282">
        <f>SUM(BY8:BY353)</f>
        <v>735000</v>
      </c>
      <c r="BZ356" s="282"/>
      <c r="CA356" s="282">
        <f>SUM(CA8:CA353)</f>
        <v>21848.739999999998</v>
      </c>
      <c r="CB356" s="282"/>
      <c r="CC356" s="282">
        <f>SUM(CC8:CC353)</f>
        <v>36000</v>
      </c>
      <c r="CD356" s="282"/>
      <c r="CE356" s="282">
        <f>SUM(CE8:CE353)</f>
        <v>1400000</v>
      </c>
      <c r="CF356" s="282"/>
      <c r="CG356" s="282">
        <f>SUM(CG8:CG353)</f>
        <v>0</v>
      </c>
      <c r="CH356" s="282"/>
      <c r="CI356" s="282">
        <f>SUM(CI8:CI353)</f>
        <v>1998800</v>
      </c>
      <c r="CJ356" s="282"/>
      <c r="CK356" s="282">
        <f>SUM(CK8:CK353)</f>
        <v>5985937.8599999994</v>
      </c>
      <c r="CL356" s="282"/>
      <c r="CM356" s="282">
        <f>SUM(CM8:CM353)</f>
        <v>6312000</v>
      </c>
      <c r="CN356" s="282"/>
      <c r="CO356" s="282"/>
      <c r="CP356" s="282"/>
      <c r="CQ356" s="282"/>
      <c r="CR356" s="282"/>
      <c r="CS356" s="282"/>
      <c r="CT356" s="282"/>
      <c r="CU356" s="282"/>
      <c r="CV356" s="282"/>
      <c r="CW356" s="282">
        <f>SUM(CW8:CW353)</f>
        <v>84475.6</v>
      </c>
      <c r="CX356" s="282"/>
      <c r="CY356" s="282"/>
      <c r="CZ356" s="282"/>
      <c r="DA356" s="282"/>
      <c r="DB356" s="282"/>
      <c r="DC356" s="282">
        <f>SUM(DC8:DC353)</f>
        <v>111226</v>
      </c>
      <c r="DD356" s="282"/>
      <c r="DE356" s="282">
        <f>SUM(DE8:DE353)</f>
        <v>80000</v>
      </c>
      <c r="DF356" s="282"/>
      <c r="DG356" s="282">
        <f>SUM(DG8:DG353)</f>
        <v>404600</v>
      </c>
      <c r="DH356" s="282"/>
      <c r="DI356" s="282"/>
      <c r="DJ356" s="282"/>
      <c r="DK356" s="282"/>
      <c r="DL356" s="282"/>
      <c r="DM356" s="282"/>
      <c r="DN356" s="282"/>
      <c r="DO356" s="282"/>
      <c r="DP356" s="282"/>
      <c r="DQ356" s="282"/>
      <c r="DR356" s="282"/>
      <c r="DS356" s="282"/>
      <c r="DT356" s="282"/>
      <c r="DU356" s="282"/>
      <c r="DV356" s="88"/>
      <c r="DW356" s="334">
        <f>(+DW186+DW188+DW202+DHV202+DW207+DW229+DW235+DW263+DW269+DW293+DW325+DW354+DW355)+(DW13*40%)</f>
        <v>305804010.78861725</v>
      </c>
      <c r="DX356" s="334">
        <f>(+DX186+DX188+DX202+DHW202+DX207+DX229+DX235+DX263+DX269+DX293+DX325+DX354+DX355)+(DX13*40%)</f>
        <v>1855799999.820864</v>
      </c>
      <c r="DY356" s="361">
        <v>1855800000</v>
      </c>
      <c r="DZ356" s="664"/>
      <c r="EA356" s="74"/>
      <c r="EB356" s="615"/>
    </row>
    <row r="357" spans="1:132" hidden="1" x14ac:dyDescent="0.3">
      <c r="A357" s="117" t="s">
        <v>68</v>
      </c>
      <c r="B357" s="118"/>
      <c r="C357" s="118"/>
      <c r="D357" s="119"/>
      <c r="E357" s="118"/>
      <c r="F357" s="120"/>
      <c r="G357" s="121"/>
      <c r="H357" s="121"/>
      <c r="I357" s="313"/>
      <c r="J357" s="313"/>
      <c r="K357" s="313"/>
      <c r="L357" s="313"/>
      <c r="M357" s="313"/>
      <c r="N357" s="313"/>
      <c r="O357" s="314"/>
      <c r="P357" s="315">
        <f>SUM(P180+P356)</f>
        <v>0</v>
      </c>
      <c r="Q357" s="316"/>
      <c r="R357" s="316"/>
      <c r="S357" s="316"/>
      <c r="T357" s="316"/>
      <c r="U357" s="316"/>
      <c r="V357" s="316"/>
      <c r="W357" s="316"/>
      <c r="X357" s="316"/>
      <c r="Y357" s="316"/>
      <c r="Z357" s="316"/>
      <c r="AA357" s="316"/>
      <c r="AB357" s="316"/>
      <c r="AC357" s="316"/>
      <c r="AD357" s="316"/>
      <c r="AE357" s="316"/>
      <c r="AF357" s="316"/>
      <c r="AG357" s="316"/>
      <c r="AH357" s="316"/>
      <c r="AI357" s="316"/>
      <c r="AJ357" s="316"/>
      <c r="AK357" s="316"/>
      <c r="AL357" s="316"/>
      <c r="AM357" s="316"/>
      <c r="AN357" s="316"/>
      <c r="AO357" s="316"/>
      <c r="AP357" s="316"/>
      <c r="AQ357" s="316"/>
      <c r="AR357" s="316"/>
      <c r="AS357" s="316"/>
      <c r="AT357" s="316"/>
      <c r="AU357" s="316"/>
      <c r="AV357" s="316"/>
      <c r="AW357" s="316"/>
      <c r="AX357" s="316"/>
      <c r="AY357" s="316"/>
      <c r="AZ357" s="316"/>
      <c r="BA357" s="316"/>
      <c r="BB357" s="316"/>
      <c r="BC357" s="316"/>
      <c r="BD357" s="316"/>
      <c r="BE357" s="316"/>
      <c r="BF357" s="316"/>
      <c r="BG357" s="316"/>
      <c r="BH357" s="316"/>
      <c r="BI357" s="316"/>
      <c r="BJ357" s="316"/>
      <c r="BK357" s="317"/>
      <c r="BL357" s="316"/>
      <c r="BM357" s="317"/>
      <c r="BN357" s="316"/>
      <c r="BO357" s="316"/>
      <c r="BP357" s="316"/>
      <c r="BQ357" s="316"/>
      <c r="BR357" s="316"/>
      <c r="BS357" s="316"/>
      <c r="BT357" s="316"/>
      <c r="BU357" s="316"/>
      <c r="BV357" s="316"/>
      <c r="BW357" s="316"/>
      <c r="BX357" s="316"/>
      <c r="BY357" s="316"/>
      <c r="BZ357" s="316"/>
      <c r="CA357" s="316"/>
      <c r="CB357" s="316"/>
      <c r="CC357" s="316"/>
      <c r="CD357" s="316"/>
      <c r="CE357" s="316"/>
      <c r="CF357" s="316"/>
      <c r="CG357" s="316"/>
      <c r="CH357" s="316"/>
      <c r="CI357" s="316"/>
      <c r="CJ357" s="316"/>
      <c r="CK357" s="316"/>
      <c r="CL357" s="316"/>
      <c r="CM357" s="316"/>
      <c r="CN357" s="316"/>
      <c r="CO357" s="316"/>
      <c r="CP357" s="316"/>
      <c r="CQ357" s="316"/>
      <c r="CR357" s="316"/>
      <c r="CS357" s="316"/>
      <c r="CT357" s="316"/>
      <c r="CU357" s="316"/>
      <c r="CV357" s="316"/>
      <c r="CW357" s="316"/>
      <c r="CX357" s="316"/>
      <c r="CY357" s="316"/>
      <c r="CZ357" s="316"/>
      <c r="DA357" s="316"/>
      <c r="DB357" s="316"/>
      <c r="DC357" s="316"/>
      <c r="DD357" s="316"/>
      <c r="DE357" s="316"/>
      <c r="DF357" s="316"/>
      <c r="DG357" s="316"/>
      <c r="DH357" s="316"/>
      <c r="DI357" s="316"/>
      <c r="DJ357" s="316"/>
      <c r="DK357" s="316"/>
      <c r="DL357" s="316"/>
      <c r="DM357" s="316"/>
      <c r="DN357" s="316"/>
      <c r="DO357" s="316"/>
      <c r="DP357" s="316"/>
      <c r="DQ357" s="316"/>
      <c r="DR357" s="316"/>
      <c r="DS357" s="317"/>
      <c r="DT357" s="317"/>
      <c r="DU357" s="317"/>
      <c r="DV357" s="122"/>
      <c r="DW357" s="335">
        <f>SUM(DW180,DW356)</f>
        <v>645260700.37372124</v>
      </c>
      <c r="DX357" s="335">
        <f>SUM(DX180,DX356)</f>
        <v>4674720000.2983837</v>
      </c>
      <c r="DY357" s="171"/>
    </row>
    <row r="358" spans="1:132" hidden="1" x14ac:dyDescent="0.3">
      <c r="A358" s="54"/>
      <c r="B358" s="54"/>
      <c r="C358" s="54"/>
      <c r="D358" s="54"/>
      <c r="E358" s="54"/>
      <c r="F358" s="54"/>
      <c r="G358" s="54"/>
      <c r="H358" s="54"/>
      <c r="I358" s="318"/>
      <c r="J358" s="318"/>
      <c r="K358" s="318"/>
      <c r="L358" s="318"/>
      <c r="M358" s="318"/>
      <c r="N358" s="318"/>
      <c r="O358" s="319"/>
      <c r="P358" s="176"/>
      <c r="Q358" s="176"/>
      <c r="R358" s="176"/>
      <c r="S358" s="176"/>
      <c r="T358" s="176"/>
      <c r="U358" s="176"/>
      <c r="V358" s="176"/>
      <c r="W358" s="176"/>
      <c r="X358" s="176"/>
      <c r="Y358" s="176"/>
      <c r="Z358" s="176"/>
      <c r="AA358" s="176"/>
      <c r="AB358" s="176"/>
      <c r="AC358" s="176"/>
      <c r="AD358" s="52"/>
      <c r="AE358" s="55"/>
      <c r="AF358" s="55"/>
      <c r="AG358" s="176"/>
      <c r="AH358" s="176"/>
      <c r="AI358" s="176"/>
      <c r="AJ358" s="176"/>
      <c r="AK358" s="176"/>
      <c r="AL358" s="176"/>
      <c r="AM358" s="176"/>
      <c r="AN358" s="176"/>
      <c r="AO358" s="176"/>
      <c r="AP358" s="176"/>
      <c r="AQ358" s="176"/>
      <c r="AR358" s="176"/>
      <c r="AS358" s="176"/>
      <c r="AT358" s="176"/>
      <c r="AU358" s="176"/>
      <c r="AV358" s="176"/>
      <c r="AW358" s="176"/>
      <c r="AX358" s="176"/>
      <c r="AY358" s="176"/>
      <c r="AZ358" s="176"/>
      <c r="BA358" s="176"/>
      <c r="BB358" s="176"/>
      <c r="BC358" s="176"/>
      <c r="BD358" s="176"/>
      <c r="BE358" s="176"/>
      <c r="BF358" s="176"/>
      <c r="BG358" s="176"/>
      <c r="BH358" s="176"/>
      <c r="BI358" s="176"/>
      <c r="BJ358" s="176"/>
      <c r="DW358" s="336"/>
      <c r="DX358" s="336"/>
    </row>
    <row r="359" spans="1:132" ht="11.5" hidden="1" customHeight="1" x14ac:dyDescent="0.3">
      <c r="B359" s="3"/>
      <c r="C359" s="2"/>
      <c r="D359" s="2"/>
      <c r="E359" s="3"/>
      <c r="O359" s="176"/>
      <c r="P359" s="176"/>
      <c r="Q359" s="176"/>
      <c r="R359" s="176"/>
      <c r="S359" s="176"/>
      <c r="T359" s="176"/>
      <c r="U359" s="176"/>
      <c r="V359" s="176"/>
      <c r="W359" s="176"/>
      <c r="X359" s="176"/>
      <c r="Y359" s="176"/>
      <c r="Z359" s="176"/>
      <c r="AA359" s="176"/>
      <c r="AB359" s="176"/>
      <c r="AC359" s="176"/>
      <c r="AD359" s="176"/>
      <c r="AE359" s="176"/>
      <c r="AF359" s="176"/>
      <c r="AG359" s="176"/>
      <c r="AH359" s="176"/>
      <c r="AI359" s="176"/>
      <c r="AJ359" s="176"/>
      <c r="AK359" s="176"/>
      <c r="AL359" s="176"/>
      <c r="AM359" s="176"/>
      <c r="AN359" s="176"/>
      <c r="AO359" s="176"/>
      <c r="AP359" s="176"/>
      <c r="AQ359" s="176"/>
      <c r="AR359" s="176"/>
      <c r="AS359" s="176"/>
      <c r="AT359" s="176"/>
      <c r="AU359" s="176"/>
      <c r="AV359" s="176"/>
      <c r="AW359" s="176"/>
      <c r="AX359" s="176"/>
      <c r="AY359" s="176"/>
      <c r="AZ359" s="176"/>
      <c r="BA359" s="176"/>
      <c r="BB359" s="176"/>
      <c r="BC359" s="176"/>
      <c r="BD359" s="176"/>
      <c r="BE359" s="176"/>
      <c r="BF359" s="176"/>
      <c r="BG359" s="176"/>
      <c r="BH359" s="176"/>
      <c r="BI359" s="176"/>
      <c r="BJ359" s="176"/>
      <c r="DW359" s="337"/>
      <c r="DX359" s="338"/>
    </row>
    <row r="360" spans="1:132" hidden="1" x14ac:dyDescent="0.3">
      <c r="A360" s="667" t="s">
        <v>890</v>
      </c>
      <c r="B360" s="667"/>
      <c r="C360" s="667"/>
      <c r="D360" s="667"/>
      <c r="E360" s="667"/>
      <c r="O360" s="176"/>
      <c r="P360" s="176"/>
      <c r="Q360" s="176"/>
      <c r="R360" s="176"/>
      <c r="S360" s="176"/>
      <c r="T360" s="176"/>
      <c r="U360" s="176"/>
      <c r="V360" s="176"/>
      <c r="W360" s="176"/>
      <c r="X360" s="176"/>
      <c r="Y360" s="176"/>
      <c r="Z360" s="176"/>
      <c r="AA360" s="176"/>
      <c r="AB360" s="176"/>
      <c r="AC360" s="176"/>
      <c r="AD360" s="176"/>
      <c r="AE360" s="176"/>
      <c r="AF360" s="176"/>
      <c r="AG360" s="176"/>
      <c r="AH360" s="176"/>
      <c r="AI360" s="176"/>
      <c r="AJ360" s="176"/>
      <c r="AK360" s="176"/>
      <c r="AL360" s="176"/>
      <c r="AM360" s="176"/>
      <c r="AN360" s="176"/>
      <c r="AO360" s="176"/>
      <c r="AP360" s="176"/>
      <c r="AQ360" s="176"/>
      <c r="AR360" s="176"/>
      <c r="AS360" s="176"/>
      <c r="AT360" s="176"/>
      <c r="AU360" s="176"/>
      <c r="AV360" s="176"/>
      <c r="AW360" s="176"/>
      <c r="AX360" s="176"/>
      <c r="AY360" s="176"/>
      <c r="AZ360" s="176"/>
      <c r="BA360" s="176"/>
      <c r="BB360" s="176"/>
      <c r="BC360" s="176"/>
      <c r="BD360" s="176"/>
      <c r="BE360" s="176"/>
      <c r="BF360" s="176"/>
      <c r="BG360" s="176"/>
      <c r="BH360" s="176"/>
      <c r="BI360" s="176"/>
      <c r="BJ360" s="176"/>
    </row>
    <row r="361" spans="1:132" hidden="1" x14ac:dyDescent="0.3">
      <c r="A361" s="667"/>
      <c r="B361" s="667"/>
      <c r="C361" s="667"/>
      <c r="D361" s="667"/>
      <c r="E361" s="667"/>
      <c r="O361" s="176"/>
      <c r="P361" s="176"/>
      <c r="Q361" s="176"/>
      <c r="R361" s="176"/>
      <c r="S361" s="176"/>
      <c r="T361" s="176"/>
      <c r="U361" s="176"/>
      <c r="V361" s="176"/>
      <c r="W361" s="176"/>
      <c r="X361" s="176"/>
      <c r="Y361" s="176"/>
      <c r="Z361" s="176"/>
      <c r="AA361" s="176"/>
      <c r="AB361" s="176"/>
      <c r="AC361" s="176"/>
      <c r="AD361" s="176"/>
      <c r="AE361" s="176"/>
      <c r="AF361" s="176"/>
      <c r="AG361" s="176"/>
      <c r="AH361" s="176"/>
      <c r="AI361" s="176"/>
      <c r="AJ361" s="176"/>
      <c r="AK361" s="176"/>
      <c r="AL361" s="176"/>
      <c r="AM361" s="176"/>
      <c r="AN361" s="176"/>
      <c r="AO361" s="176"/>
      <c r="AP361" s="176"/>
      <c r="AQ361" s="176"/>
      <c r="AR361" s="176"/>
      <c r="AS361" s="176"/>
      <c r="AT361" s="176"/>
      <c r="AU361" s="176"/>
      <c r="AV361" s="176"/>
      <c r="AW361" s="176"/>
      <c r="AX361" s="176"/>
      <c r="AY361" s="176"/>
      <c r="AZ361" s="176"/>
      <c r="BA361" s="176"/>
      <c r="BB361" s="176"/>
      <c r="BC361" s="176"/>
      <c r="BD361" s="176"/>
      <c r="BE361" s="176"/>
      <c r="BF361" s="176"/>
      <c r="BG361" s="176"/>
      <c r="BH361" s="176"/>
      <c r="BI361" s="176"/>
      <c r="BJ361" s="176"/>
    </row>
    <row r="362" spans="1:132" hidden="1" x14ac:dyDescent="0.3">
      <c r="A362" s="667"/>
      <c r="B362" s="667"/>
      <c r="C362" s="667"/>
      <c r="D362" s="667"/>
      <c r="E362" s="667"/>
      <c r="O362" s="176"/>
      <c r="P362" s="176"/>
      <c r="Q362" s="176"/>
      <c r="R362" s="176"/>
      <c r="S362" s="176"/>
      <c r="T362" s="176"/>
      <c r="U362" s="176"/>
      <c r="V362" s="176"/>
      <c r="W362" s="176"/>
      <c r="X362" s="176"/>
      <c r="Y362" s="176"/>
      <c r="Z362" s="176"/>
      <c r="AA362" s="176"/>
      <c r="AB362" s="176"/>
      <c r="AC362" s="176"/>
      <c r="AD362" s="176"/>
      <c r="AE362" s="176"/>
      <c r="AF362" s="176"/>
      <c r="AG362" s="176"/>
      <c r="AH362" s="176"/>
      <c r="AI362" s="176"/>
      <c r="AJ362" s="176"/>
      <c r="AK362" s="176"/>
      <c r="AL362" s="176"/>
      <c r="AM362" s="176"/>
      <c r="AN362" s="176"/>
      <c r="AO362" s="176"/>
      <c r="AP362" s="176"/>
      <c r="AQ362" s="176"/>
      <c r="AR362" s="176"/>
      <c r="AS362" s="176"/>
      <c r="AT362" s="176"/>
      <c r="AU362" s="176"/>
      <c r="AV362" s="176"/>
      <c r="AW362" s="176"/>
      <c r="AX362" s="176"/>
      <c r="AY362" s="176"/>
      <c r="AZ362" s="176"/>
      <c r="BA362" s="176"/>
      <c r="BB362" s="176"/>
      <c r="BC362" s="176"/>
      <c r="BD362" s="176"/>
      <c r="BE362" s="176"/>
      <c r="BF362" s="176"/>
      <c r="BG362" s="176"/>
      <c r="BH362" s="176"/>
      <c r="BI362" s="176"/>
      <c r="BJ362" s="176"/>
    </row>
    <row r="363" spans="1:132" hidden="1" x14ac:dyDescent="0.3">
      <c r="A363" s="667"/>
      <c r="B363" s="667"/>
      <c r="C363" s="667"/>
      <c r="D363" s="667"/>
      <c r="E363" s="667"/>
      <c r="O363" s="176"/>
      <c r="P363" s="176"/>
      <c r="Q363" s="176"/>
      <c r="R363" s="176"/>
      <c r="S363" s="176"/>
      <c r="T363" s="176"/>
      <c r="U363" s="176"/>
      <c r="V363" s="176"/>
      <c r="W363" s="176"/>
      <c r="X363" s="176"/>
      <c r="Y363" s="176"/>
      <c r="Z363" s="176"/>
      <c r="AA363" s="176"/>
      <c r="AB363" s="176"/>
      <c r="AC363" s="176"/>
      <c r="AD363" s="176"/>
      <c r="AE363" s="176"/>
      <c r="AF363" s="176"/>
      <c r="AG363" s="176"/>
      <c r="AH363" s="176"/>
      <c r="AI363" s="176"/>
      <c r="AJ363" s="176"/>
      <c r="AK363" s="176"/>
      <c r="AL363" s="176"/>
      <c r="AM363" s="176"/>
      <c r="AN363" s="176"/>
      <c r="AO363" s="176"/>
      <c r="AP363" s="176"/>
      <c r="AQ363" s="176"/>
      <c r="AR363" s="176"/>
      <c r="AS363" s="176"/>
      <c r="AT363" s="176"/>
      <c r="AU363" s="176"/>
      <c r="AV363" s="176"/>
      <c r="AW363" s="176"/>
      <c r="AX363" s="176"/>
      <c r="AY363" s="176"/>
      <c r="AZ363" s="176"/>
      <c r="BA363" s="176"/>
      <c r="BB363" s="176"/>
      <c r="BC363" s="176"/>
      <c r="BD363" s="176"/>
      <c r="BE363" s="176"/>
      <c r="BF363" s="176"/>
      <c r="BG363" s="176"/>
      <c r="BH363" s="176"/>
      <c r="BI363" s="176"/>
      <c r="BJ363" s="176"/>
    </row>
    <row r="364" spans="1:132" hidden="1" x14ac:dyDescent="0.3">
      <c r="A364" s="667"/>
      <c r="B364" s="667"/>
      <c r="C364" s="667"/>
      <c r="D364" s="667"/>
      <c r="E364" s="667"/>
      <c r="O364" s="176"/>
      <c r="P364" s="176"/>
      <c r="Q364" s="176"/>
      <c r="R364" s="176"/>
      <c r="S364" s="176"/>
      <c r="T364" s="176"/>
      <c r="U364" s="176"/>
      <c r="V364" s="176"/>
      <c r="W364" s="176"/>
      <c r="X364" s="176"/>
      <c r="Y364" s="176"/>
      <c r="Z364" s="176"/>
      <c r="AA364" s="176"/>
      <c r="AB364" s="176"/>
      <c r="AC364" s="176"/>
      <c r="AD364" s="176"/>
      <c r="AE364" s="176"/>
      <c r="AF364" s="176"/>
      <c r="AG364" s="176"/>
      <c r="AH364" s="176"/>
      <c r="AI364" s="176"/>
      <c r="AJ364" s="176"/>
      <c r="AK364" s="176"/>
      <c r="AL364" s="176"/>
      <c r="AM364" s="176"/>
      <c r="AN364" s="176"/>
      <c r="AO364" s="176"/>
      <c r="AP364" s="176"/>
      <c r="AQ364" s="176"/>
      <c r="AR364" s="176"/>
      <c r="AS364" s="176"/>
      <c r="AT364" s="176"/>
      <c r="AU364" s="176"/>
      <c r="AV364" s="176"/>
      <c r="AW364" s="176"/>
      <c r="AX364" s="176"/>
      <c r="AY364" s="176"/>
      <c r="AZ364" s="176"/>
      <c r="BA364" s="176"/>
      <c r="BB364" s="176"/>
      <c r="BC364" s="176"/>
      <c r="BD364" s="176"/>
      <c r="BE364" s="176"/>
      <c r="BF364" s="176"/>
      <c r="BG364" s="176"/>
      <c r="BH364" s="176"/>
      <c r="BI364" s="176"/>
      <c r="BJ364" s="176"/>
    </row>
    <row r="365" spans="1:132" hidden="1" x14ac:dyDescent="0.3">
      <c r="A365" s="667"/>
      <c r="B365" s="667"/>
      <c r="C365" s="667"/>
      <c r="D365" s="667"/>
      <c r="E365" s="667"/>
      <c r="O365" s="176"/>
      <c r="P365" s="176"/>
      <c r="Q365" s="176"/>
      <c r="R365" s="176"/>
      <c r="S365" s="176"/>
      <c r="T365" s="176"/>
      <c r="U365" s="176"/>
      <c r="V365" s="176"/>
      <c r="W365" s="176"/>
      <c r="X365" s="176"/>
      <c r="Y365" s="176"/>
      <c r="Z365" s="176"/>
      <c r="AA365" s="176"/>
      <c r="AB365" s="176"/>
      <c r="AC365" s="176"/>
      <c r="AD365" s="176"/>
      <c r="AE365" s="176"/>
      <c r="AF365" s="176"/>
      <c r="AG365" s="176"/>
      <c r="AH365" s="176"/>
      <c r="AI365" s="176"/>
      <c r="AJ365" s="176"/>
      <c r="AK365" s="176"/>
      <c r="AL365" s="176"/>
      <c r="AM365" s="176"/>
      <c r="AN365" s="176"/>
      <c r="AO365" s="176"/>
      <c r="AP365" s="176"/>
      <c r="AQ365" s="176"/>
      <c r="AR365" s="176"/>
      <c r="AS365" s="176"/>
      <c r="AT365" s="176"/>
      <c r="AU365" s="176"/>
      <c r="AV365" s="176"/>
      <c r="AW365" s="176"/>
      <c r="AX365" s="176"/>
      <c r="AY365" s="176"/>
      <c r="AZ365" s="176"/>
      <c r="BA365" s="176"/>
      <c r="BB365" s="176"/>
      <c r="BC365" s="176"/>
      <c r="BD365" s="176"/>
      <c r="BE365" s="176"/>
      <c r="BF365" s="176"/>
      <c r="BG365" s="176"/>
      <c r="BH365" s="176"/>
      <c r="BI365" s="176"/>
      <c r="BJ365" s="176"/>
    </row>
    <row r="366" spans="1:132" hidden="1" x14ac:dyDescent="0.3">
      <c r="A366" s="667"/>
      <c r="B366" s="667"/>
      <c r="C366" s="667"/>
      <c r="D366" s="667"/>
      <c r="E366" s="667"/>
      <c r="O366" s="176"/>
      <c r="P366" s="176"/>
      <c r="Q366" s="176"/>
      <c r="R366" s="176"/>
      <c r="S366" s="176"/>
      <c r="T366" s="176"/>
      <c r="U366" s="176"/>
      <c r="V366" s="176"/>
      <c r="W366" s="176"/>
      <c r="X366" s="176"/>
      <c r="Y366" s="176"/>
      <c r="Z366" s="176"/>
      <c r="AA366" s="176"/>
      <c r="AB366" s="176"/>
      <c r="AC366" s="176"/>
      <c r="AD366" s="176"/>
      <c r="AE366" s="176"/>
      <c r="AF366" s="176"/>
      <c r="AG366" s="176"/>
      <c r="AH366" s="176"/>
      <c r="AI366" s="176"/>
      <c r="AJ366" s="176"/>
      <c r="AK366" s="176"/>
      <c r="AL366" s="176"/>
      <c r="AM366" s="176"/>
      <c r="AN366" s="176"/>
      <c r="AO366" s="176"/>
      <c r="AP366" s="176"/>
      <c r="AQ366" s="176"/>
      <c r="AR366" s="176"/>
      <c r="AS366" s="176"/>
      <c r="AT366" s="176"/>
      <c r="AU366" s="176"/>
      <c r="AV366" s="176"/>
      <c r="AW366" s="176"/>
      <c r="AX366" s="176"/>
      <c r="AY366" s="176"/>
      <c r="AZ366" s="176"/>
      <c r="BA366" s="176"/>
      <c r="BB366" s="176"/>
      <c r="BC366" s="176"/>
      <c r="BD366" s="176"/>
      <c r="BE366" s="176"/>
      <c r="BF366" s="176"/>
      <c r="BG366" s="176"/>
      <c r="BH366" s="176"/>
      <c r="BI366" s="176"/>
      <c r="BJ366" s="176"/>
    </row>
    <row r="367" spans="1:132" hidden="1" x14ac:dyDescent="0.3">
      <c r="A367" s="667"/>
      <c r="B367" s="667"/>
      <c r="C367" s="667"/>
      <c r="D367" s="667"/>
      <c r="E367" s="667"/>
      <c r="O367" s="176"/>
      <c r="P367" s="176"/>
      <c r="Q367" s="176"/>
      <c r="R367" s="176"/>
      <c r="S367" s="176"/>
      <c r="T367" s="176"/>
      <c r="U367" s="176"/>
      <c r="V367" s="176"/>
      <c r="W367" s="176"/>
      <c r="X367" s="176"/>
      <c r="Y367" s="176"/>
      <c r="Z367" s="176"/>
      <c r="AA367" s="176"/>
      <c r="AB367" s="176"/>
      <c r="AC367" s="176"/>
      <c r="AD367" s="176"/>
      <c r="AE367" s="176"/>
      <c r="AF367" s="176"/>
      <c r="AG367" s="176"/>
      <c r="AH367" s="176"/>
      <c r="AI367" s="176"/>
      <c r="AJ367" s="176"/>
      <c r="AK367" s="176"/>
      <c r="AL367" s="176"/>
      <c r="AM367" s="176"/>
      <c r="AN367" s="176"/>
      <c r="AO367" s="176"/>
      <c r="AP367" s="176"/>
      <c r="AQ367" s="176"/>
      <c r="AR367" s="176"/>
      <c r="AS367" s="176"/>
      <c r="AT367" s="176"/>
      <c r="AU367" s="176"/>
      <c r="AV367" s="176"/>
      <c r="AW367" s="176"/>
      <c r="AX367" s="176"/>
      <c r="AY367" s="176"/>
      <c r="AZ367" s="176"/>
      <c r="BA367" s="176"/>
      <c r="BB367" s="176"/>
      <c r="BC367" s="176"/>
      <c r="BD367" s="176"/>
      <c r="BE367" s="176"/>
      <c r="BF367" s="176"/>
      <c r="BG367" s="176"/>
      <c r="BH367" s="176"/>
      <c r="BI367" s="176"/>
      <c r="BJ367" s="176"/>
    </row>
    <row r="368" spans="1:132" hidden="1" x14ac:dyDescent="0.3">
      <c r="A368" s="667"/>
      <c r="B368" s="667"/>
      <c r="C368" s="667"/>
      <c r="D368" s="667"/>
      <c r="E368" s="667"/>
      <c r="O368" s="176"/>
      <c r="P368" s="176"/>
      <c r="Q368" s="176"/>
      <c r="R368" s="176"/>
      <c r="S368" s="176"/>
      <c r="T368" s="176"/>
      <c r="U368" s="176"/>
      <c r="V368" s="176"/>
      <c r="W368" s="176"/>
      <c r="X368" s="176"/>
      <c r="Y368" s="176"/>
      <c r="Z368" s="176"/>
      <c r="AA368" s="176"/>
      <c r="AB368" s="176"/>
      <c r="AC368" s="176"/>
      <c r="AD368" s="176"/>
      <c r="AE368" s="176"/>
      <c r="AF368" s="176"/>
      <c r="AG368" s="176"/>
      <c r="AH368" s="176"/>
      <c r="AI368" s="176"/>
      <c r="AJ368" s="176"/>
      <c r="AK368" s="176"/>
      <c r="AL368" s="176"/>
      <c r="AM368" s="176"/>
      <c r="AN368" s="176"/>
      <c r="AO368" s="176"/>
      <c r="AP368" s="176"/>
      <c r="AQ368" s="176"/>
      <c r="AR368" s="176"/>
      <c r="AS368" s="176"/>
      <c r="AT368" s="176"/>
      <c r="AU368" s="176"/>
      <c r="AV368" s="176"/>
      <c r="AW368" s="176"/>
      <c r="AX368" s="176"/>
      <c r="AY368" s="176"/>
      <c r="AZ368" s="176"/>
      <c r="BA368" s="176"/>
      <c r="BB368" s="176"/>
      <c r="BC368" s="176"/>
      <c r="BD368" s="176"/>
      <c r="BE368" s="176"/>
      <c r="BF368" s="176"/>
      <c r="BG368" s="176"/>
      <c r="BH368" s="176"/>
      <c r="BI368" s="176"/>
      <c r="BJ368" s="176"/>
    </row>
    <row r="369" spans="1:62" hidden="1" x14ac:dyDescent="0.3">
      <c r="A369" s="667"/>
      <c r="B369" s="667"/>
      <c r="C369" s="667"/>
      <c r="D369" s="667"/>
      <c r="E369" s="667"/>
      <c r="O369" s="176"/>
      <c r="P369" s="176"/>
      <c r="Q369" s="176"/>
      <c r="R369" s="176"/>
      <c r="S369" s="176"/>
      <c r="T369" s="176"/>
      <c r="U369" s="176"/>
      <c r="V369" s="176"/>
      <c r="W369" s="176"/>
      <c r="X369" s="176"/>
      <c r="Y369" s="176"/>
      <c r="Z369" s="176"/>
      <c r="AA369" s="176"/>
      <c r="AB369" s="176"/>
      <c r="AC369" s="176"/>
      <c r="AD369" s="176"/>
      <c r="AE369" s="176"/>
      <c r="AF369" s="176"/>
      <c r="AG369" s="176"/>
      <c r="AH369" s="176"/>
      <c r="AI369" s="176"/>
      <c r="AJ369" s="176"/>
      <c r="AK369" s="176"/>
      <c r="AL369" s="176"/>
      <c r="AM369" s="176"/>
      <c r="AN369" s="176"/>
      <c r="AO369" s="176"/>
      <c r="AP369" s="176"/>
      <c r="AQ369" s="176"/>
      <c r="AR369" s="176"/>
      <c r="AS369" s="176"/>
      <c r="AT369" s="176"/>
      <c r="AU369" s="176"/>
      <c r="AV369" s="176"/>
      <c r="AW369" s="176"/>
      <c r="AX369" s="176"/>
      <c r="AY369" s="176"/>
      <c r="AZ369" s="176"/>
      <c r="BA369" s="176"/>
      <c r="BB369" s="176"/>
      <c r="BC369" s="176"/>
      <c r="BD369" s="176"/>
      <c r="BE369" s="176"/>
      <c r="BF369" s="176"/>
      <c r="BG369" s="176"/>
      <c r="BH369" s="176"/>
      <c r="BI369" s="176"/>
      <c r="BJ369" s="176"/>
    </row>
    <row r="370" spans="1:62" ht="37.5" hidden="1" customHeight="1" x14ac:dyDescent="0.3">
      <c r="A370" s="667"/>
      <c r="B370" s="667"/>
      <c r="C370" s="667"/>
      <c r="D370" s="667"/>
      <c r="E370" s="667"/>
      <c r="O370" s="176"/>
      <c r="P370" s="176"/>
      <c r="Q370" s="176"/>
      <c r="R370" s="176"/>
      <c r="S370" s="176"/>
      <c r="T370" s="176"/>
      <c r="U370" s="176"/>
      <c r="V370" s="176"/>
      <c r="W370" s="176"/>
      <c r="X370" s="176"/>
      <c r="Y370" s="176"/>
      <c r="Z370" s="176"/>
      <c r="AA370" s="176"/>
      <c r="AB370" s="176"/>
      <c r="AC370" s="176"/>
      <c r="AD370" s="176"/>
      <c r="AE370" s="176"/>
      <c r="AF370" s="176"/>
      <c r="AG370" s="176"/>
      <c r="AH370" s="176"/>
      <c r="AI370" s="176"/>
      <c r="AJ370" s="176"/>
      <c r="AK370" s="176"/>
      <c r="AL370" s="176"/>
      <c r="AM370" s="176"/>
      <c r="AN370" s="176"/>
      <c r="AO370" s="176"/>
      <c r="AP370" s="176"/>
      <c r="AQ370" s="176"/>
      <c r="AR370" s="176"/>
      <c r="AS370" s="176"/>
      <c r="AT370" s="176"/>
      <c r="AU370" s="176"/>
      <c r="AV370" s="176"/>
      <c r="AW370" s="176"/>
      <c r="AX370" s="176"/>
      <c r="AY370" s="176"/>
      <c r="AZ370" s="176"/>
      <c r="BA370" s="176"/>
      <c r="BB370" s="176"/>
      <c r="BC370" s="176"/>
      <c r="BD370" s="176"/>
      <c r="BE370" s="176"/>
      <c r="BF370" s="176"/>
      <c r="BG370" s="176"/>
      <c r="BH370" s="176"/>
      <c r="BI370" s="176"/>
      <c r="BJ370" s="176"/>
    </row>
    <row r="371" spans="1:62" x14ac:dyDescent="0.3">
      <c r="B371" s="3"/>
      <c r="C371" s="2"/>
      <c r="D371" s="2"/>
      <c r="E371" s="3"/>
      <c r="O371" s="176"/>
      <c r="P371" s="176"/>
      <c r="Q371" s="176"/>
      <c r="R371" s="176"/>
      <c r="S371" s="176"/>
      <c r="T371" s="176"/>
      <c r="U371" s="176"/>
      <c r="V371" s="176"/>
      <c r="W371" s="176"/>
      <c r="X371" s="176"/>
      <c r="Y371" s="176"/>
      <c r="Z371" s="176"/>
      <c r="AA371" s="176"/>
      <c r="AB371" s="176"/>
      <c r="AC371" s="176"/>
      <c r="AD371" s="176"/>
      <c r="AE371" s="176"/>
      <c r="AF371" s="176"/>
      <c r="AG371" s="176"/>
      <c r="AH371" s="176"/>
      <c r="AI371" s="176"/>
      <c r="AJ371" s="176"/>
      <c r="AK371" s="176"/>
      <c r="AL371" s="176"/>
      <c r="AM371" s="176"/>
      <c r="AN371" s="176"/>
      <c r="AO371" s="176"/>
      <c r="AP371" s="176"/>
      <c r="AQ371" s="176"/>
      <c r="AR371" s="176"/>
      <c r="AS371" s="176"/>
      <c r="AT371" s="176"/>
      <c r="AU371" s="176"/>
      <c r="AV371" s="176"/>
      <c r="AW371" s="176"/>
      <c r="AX371" s="176"/>
      <c r="AY371" s="176"/>
      <c r="AZ371" s="176"/>
      <c r="BA371" s="176"/>
      <c r="BB371" s="176"/>
      <c r="BC371" s="176"/>
      <c r="BD371" s="176"/>
      <c r="BE371" s="176"/>
      <c r="BF371" s="176"/>
      <c r="BG371" s="176"/>
      <c r="BH371" s="176"/>
      <c r="BI371" s="176"/>
      <c r="BJ371" s="176"/>
    </row>
    <row r="372" spans="1:62" x14ac:dyDescent="0.3">
      <c r="B372" s="3"/>
      <c r="C372" s="2"/>
      <c r="D372" s="2"/>
      <c r="E372" s="3"/>
      <c r="O372" s="176"/>
      <c r="P372" s="176"/>
      <c r="Q372" s="176"/>
      <c r="R372" s="176"/>
      <c r="S372" s="176"/>
      <c r="T372" s="176"/>
      <c r="U372" s="176"/>
      <c r="V372" s="176"/>
      <c r="W372" s="176"/>
      <c r="X372" s="176"/>
      <c r="Y372" s="176"/>
      <c r="Z372" s="176"/>
      <c r="AA372" s="176"/>
      <c r="AB372" s="176"/>
      <c r="AC372" s="176"/>
      <c r="AD372" s="176"/>
      <c r="AE372" s="176"/>
      <c r="AF372" s="176"/>
      <c r="AG372" s="176"/>
      <c r="AH372" s="176"/>
      <c r="AI372" s="176"/>
      <c r="AJ372" s="176"/>
      <c r="AK372" s="176"/>
      <c r="AL372" s="176"/>
      <c r="AM372" s="176"/>
      <c r="AN372" s="176"/>
      <c r="AO372" s="176"/>
      <c r="AP372" s="176"/>
      <c r="AQ372" s="176"/>
      <c r="AR372" s="176"/>
      <c r="AS372" s="176"/>
      <c r="AT372" s="176"/>
      <c r="AU372" s="176"/>
      <c r="AV372" s="176"/>
      <c r="AW372" s="176"/>
      <c r="AX372" s="176"/>
      <c r="AY372" s="176"/>
      <c r="AZ372" s="176"/>
      <c r="BA372" s="176"/>
      <c r="BB372" s="176"/>
      <c r="BC372" s="176"/>
      <c r="BD372" s="176"/>
      <c r="BE372" s="176"/>
      <c r="BF372" s="176"/>
      <c r="BG372" s="176"/>
      <c r="BH372" s="176"/>
      <c r="BI372" s="176"/>
      <c r="BJ372" s="176"/>
    </row>
    <row r="373" spans="1:62" x14ac:dyDescent="0.3">
      <c r="B373" s="3"/>
      <c r="C373" s="2"/>
      <c r="D373" s="2"/>
      <c r="E373" s="3"/>
      <c r="O373" s="176"/>
      <c r="P373" s="176"/>
      <c r="Q373" s="176"/>
      <c r="R373" s="176"/>
      <c r="S373" s="176"/>
      <c r="T373" s="176"/>
      <c r="U373" s="176"/>
      <c r="V373" s="176"/>
      <c r="W373" s="176"/>
      <c r="X373" s="176"/>
      <c r="Y373" s="176"/>
      <c r="Z373" s="176"/>
      <c r="AA373" s="176"/>
      <c r="AB373" s="176"/>
      <c r="AC373" s="176"/>
      <c r="AD373" s="176"/>
      <c r="AE373" s="176"/>
      <c r="AF373" s="176"/>
      <c r="AG373" s="176"/>
      <c r="AH373" s="176"/>
      <c r="AI373" s="176"/>
      <c r="AJ373" s="176"/>
      <c r="AK373" s="176"/>
      <c r="AL373" s="176"/>
      <c r="AM373" s="176"/>
      <c r="AN373" s="176"/>
      <c r="AO373" s="176"/>
      <c r="AP373" s="176"/>
      <c r="AQ373" s="176"/>
      <c r="AR373" s="176"/>
      <c r="AS373" s="176"/>
      <c r="AT373" s="176"/>
      <c r="AU373" s="176"/>
      <c r="AV373" s="176"/>
      <c r="AW373" s="176"/>
      <c r="AX373" s="176"/>
      <c r="AY373" s="176"/>
      <c r="AZ373" s="176"/>
      <c r="BA373" s="176"/>
      <c r="BB373" s="176"/>
      <c r="BC373" s="176"/>
      <c r="BD373" s="176"/>
      <c r="BE373" s="176"/>
      <c r="BF373" s="176"/>
      <c r="BG373" s="176"/>
      <c r="BH373" s="176"/>
      <c r="BI373" s="176"/>
      <c r="BJ373" s="176"/>
    </row>
    <row r="374" spans="1:62" x14ac:dyDescent="0.3">
      <c r="B374" s="3"/>
      <c r="C374" s="2"/>
      <c r="D374" s="2"/>
      <c r="E374" s="3"/>
      <c r="O374" s="176"/>
      <c r="P374" s="176"/>
      <c r="Q374" s="176"/>
      <c r="R374" s="176"/>
      <c r="S374" s="176"/>
      <c r="T374" s="176"/>
      <c r="U374" s="176"/>
      <c r="V374" s="176"/>
      <c r="W374" s="176"/>
      <c r="X374" s="176"/>
      <c r="Y374" s="176"/>
      <c r="Z374" s="176"/>
      <c r="AA374" s="176"/>
      <c r="AB374" s="176"/>
      <c r="AC374" s="176"/>
      <c r="AD374" s="176"/>
      <c r="AE374" s="176"/>
      <c r="AF374" s="176"/>
      <c r="AG374" s="176"/>
      <c r="AH374" s="176"/>
      <c r="AI374" s="176"/>
      <c r="AJ374" s="176"/>
      <c r="AK374" s="176"/>
      <c r="AL374" s="176"/>
      <c r="AM374" s="176"/>
      <c r="AN374" s="176"/>
      <c r="AO374" s="176"/>
      <c r="AP374" s="176"/>
      <c r="AQ374" s="176"/>
      <c r="AR374" s="176"/>
      <c r="AS374" s="176"/>
      <c r="AT374" s="176"/>
      <c r="AU374" s="176"/>
      <c r="AV374" s="176"/>
      <c r="AW374" s="176"/>
      <c r="AX374" s="176"/>
      <c r="AY374" s="176"/>
      <c r="AZ374" s="176"/>
      <c r="BA374" s="176"/>
      <c r="BB374" s="176"/>
      <c r="BC374" s="176"/>
      <c r="BD374" s="176"/>
      <c r="BE374" s="176"/>
      <c r="BF374" s="176"/>
      <c r="BG374" s="176"/>
      <c r="BH374" s="176"/>
      <c r="BI374" s="176"/>
      <c r="BJ374" s="176"/>
    </row>
    <row r="375" spans="1:62" x14ac:dyDescent="0.3">
      <c r="B375" s="3"/>
      <c r="C375" s="2"/>
      <c r="D375" s="2"/>
      <c r="E375" s="3"/>
      <c r="O375" s="176"/>
      <c r="P375" s="176"/>
      <c r="Q375" s="176"/>
      <c r="R375" s="176"/>
      <c r="S375" s="176"/>
      <c r="T375" s="176"/>
      <c r="U375" s="176"/>
      <c r="V375" s="176"/>
      <c r="W375" s="176"/>
      <c r="X375" s="176"/>
      <c r="Y375" s="176"/>
      <c r="Z375" s="176"/>
      <c r="AA375" s="176"/>
      <c r="AB375" s="176"/>
      <c r="AC375" s="176"/>
      <c r="AD375" s="176"/>
      <c r="AE375" s="176"/>
      <c r="AF375" s="176"/>
      <c r="AG375" s="176"/>
      <c r="AH375" s="176"/>
      <c r="AI375" s="176"/>
      <c r="AJ375" s="176"/>
      <c r="AK375" s="176"/>
      <c r="AL375" s="176"/>
      <c r="AM375" s="176"/>
      <c r="AN375" s="176"/>
      <c r="AO375" s="176"/>
      <c r="AP375" s="176"/>
      <c r="AQ375" s="176"/>
      <c r="AR375" s="176"/>
      <c r="AS375" s="176"/>
      <c r="AT375" s="176"/>
      <c r="AU375" s="176"/>
      <c r="AV375" s="176"/>
      <c r="AW375" s="176"/>
      <c r="AX375" s="176"/>
      <c r="AY375" s="176"/>
      <c r="AZ375" s="176"/>
      <c r="BA375" s="176"/>
      <c r="BB375" s="176"/>
      <c r="BC375" s="176"/>
      <c r="BD375" s="176"/>
      <c r="BE375" s="176"/>
      <c r="BF375" s="176"/>
      <c r="BG375" s="176"/>
      <c r="BH375" s="176"/>
      <c r="BI375" s="176"/>
      <c r="BJ375" s="176"/>
    </row>
    <row r="376" spans="1:62" x14ac:dyDescent="0.3">
      <c r="B376" s="3"/>
      <c r="C376" s="2"/>
      <c r="D376" s="2"/>
      <c r="E376" s="3"/>
      <c r="O376" s="176"/>
      <c r="P376" s="176"/>
      <c r="Q376" s="176"/>
      <c r="R376" s="176"/>
      <c r="S376" s="176"/>
      <c r="T376" s="176"/>
      <c r="U376" s="176"/>
      <c r="V376" s="176"/>
      <c r="W376" s="176"/>
      <c r="X376" s="176"/>
      <c r="Y376" s="176"/>
      <c r="Z376" s="176"/>
      <c r="AA376" s="176"/>
      <c r="AB376" s="176"/>
      <c r="AC376" s="176"/>
      <c r="AD376" s="176"/>
      <c r="AE376" s="176"/>
      <c r="AF376" s="176"/>
      <c r="AG376" s="176"/>
      <c r="AH376" s="176"/>
      <c r="AI376" s="176"/>
      <c r="AJ376" s="176"/>
      <c r="AK376" s="176"/>
      <c r="AL376" s="176"/>
      <c r="AM376" s="176"/>
      <c r="AN376" s="176"/>
      <c r="AO376" s="176"/>
      <c r="AP376" s="176"/>
      <c r="AQ376" s="176"/>
      <c r="AR376" s="176"/>
      <c r="AS376" s="176"/>
      <c r="AT376" s="176"/>
      <c r="AU376" s="176"/>
      <c r="AV376" s="176"/>
      <c r="AW376" s="176"/>
      <c r="AX376" s="176"/>
      <c r="AY376" s="176"/>
      <c r="AZ376" s="176"/>
      <c r="BA376" s="176"/>
      <c r="BB376" s="176"/>
      <c r="BC376" s="176"/>
      <c r="BD376" s="176"/>
      <c r="BE376" s="176"/>
      <c r="BF376" s="176"/>
      <c r="BG376" s="176"/>
      <c r="BH376" s="176"/>
      <c r="BI376" s="176"/>
      <c r="BJ376" s="176"/>
    </row>
    <row r="377" spans="1:62" x14ac:dyDescent="0.3">
      <c r="B377" s="3"/>
      <c r="C377" s="2"/>
      <c r="D377" s="2"/>
      <c r="E377" s="3"/>
      <c r="O377" s="176"/>
      <c r="P377" s="176"/>
      <c r="Q377" s="176"/>
      <c r="R377" s="176"/>
      <c r="S377" s="176"/>
      <c r="T377" s="176"/>
      <c r="U377" s="176"/>
      <c r="V377" s="176"/>
      <c r="W377" s="176"/>
      <c r="X377" s="176"/>
      <c r="Y377" s="176"/>
      <c r="Z377" s="176"/>
      <c r="AA377" s="176"/>
      <c r="AB377" s="176"/>
      <c r="AC377" s="176"/>
      <c r="AD377" s="176"/>
      <c r="AE377" s="176"/>
      <c r="AF377" s="176"/>
      <c r="AG377" s="176"/>
      <c r="AH377" s="176"/>
      <c r="AI377" s="176"/>
      <c r="AJ377" s="176"/>
      <c r="AK377" s="176"/>
      <c r="AL377" s="176"/>
      <c r="AM377" s="176"/>
      <c r="AN377" s="176"/>
      <c r="AO377" s="176"/>
      <c r="AP377" s="176"/>
      <c r="AQ377" s="176"/>
      <c r="AR377" s="176"/>
      <c r="AS377" s="176"/>
      <c r="AT377" s="176"/>
      <c r="AU377" s="176"/>
      <c r="AV377" s="176"/>
      <c r="AW377" s="176"/>
      <c r="AX377" s="176"/>
      <c r="AY377" s="176"/>
      <c r="AZ377" s="176"/>
      <c r="BA377" s="176"/>
      <c r="BB377" s="176"/>
      <c r="BC377" s="176"/>
      <c r="BD377" s="176"/>
      <c r="BE377" s="176"/>
      <c r="BF377" s="176"/>
      <c r="BG377" s="176"/>
      <c r="BH377" s="176"/>
      <c r="BI377" s="176"/>
      <c r="BJ377" s="176"/>
    </row>
    <row r="378" spans="1:62" x14ac:dyDescent="0.3">
      <c r="B378" s="3"/>
      <c r="C378" s="2"/>
      <c r="D378" s="2"/>
      <c r="E378" s="3"/>
      <c r="O378" s="176"/>
      <c r="P378" s="176"/>
      <c r="Q378" s="176"/>
      <c r="R378" s="176"/>
      <c r="S378" s="176"/>
      <c r="T378" s="176"/>
      <c r="U378" s="176"/>
      <c r="V378" s="176"/>
      <c r="W378" s="176"/>
      <c r="X378" s="176"/>
      <c r="Y378" s="176"/>
      <c r="Z378" s="176"/>
      <c r="AA378" s="176"/>
      <c r="AB378" s="176"/>
      <c r="AC378" s="176"/>
      <c r="AD378" s="176"/>
      <c r="AE378" s="176"/>
      <c r="AF378" s="176"/>
      <c r="AG378" s="176"/>
      <c r="AH378" s="176"/>
      <c r="AI378" s="176"/>
      <c r="AJ378" s="176"/>
      <c r="AK378" s="176"/>
      <c r="AL378" s="176"/>
      <c r="AM378" s="176"/>
      <c r="AN378" s="176"/>
      <c r="AO378" s="176"/>
      <c r="AP378" s="176"/>
      <c r="AQ378" s="176"/>
      <c r="AR378" s="176"/>
      <c r="AS378" s="176"/>
      <c r="AT378" s="176"/>
      <c r="AU378" s="176"/>
      <c r="AV378" s="176"/>
      <c r="AW378" s="176"/>
      <c r="AX378" s="176"/>
      <c r="AY378" s="176"/>
      <c r="AZ378" s="176"/>
      <c r="BA378" s="176"/>
      <c r="BB378" s="176"/>
      <c r="BC378" s="176"/>
      <c r="BD378" s="176"/>
      <c r="BE378" s="176"/>
      <c r="BF378" s="176"/>
      <c r="BG378" s="176"/>
      <c r="BH378" s="176"/>
      <c r="BI378" s="176"/>
      <c r="BJ378" s="176"/>
    </row>
    <row r="379" spans="1:62" x14ac:dyDescent="0.3">
      <c r="B379" s="3"/>
      <c r="C379" s="2"/>
      <c r="D379" s="2"/>
      <c r="E379" s="3"/>
      <c r="O379" s="176"/>
      <c r="P379" s="176"/>
      <c r="Q379" s="176"/>
      <c r="R379" s="176"/>
      <c r="S379" s="176"/>
      <c r="T379" s="176"/>
      <c r="U379" s="176"/>
      <c r="V379" s="176"/>
      <c r="W379" s="176"/>
      <c r="X379" s="176"/>
      <c r="Y379" s="176"/>
      <c r="Z379" s="176"/>
      <c r="AA379" s="176"/>
      <c r="AB379" s="176"/>
      <c r="AC379" s="176"/>
      <c r="AD379" s="176"/>
      <c r="AE379" s="176"/>
      <c r="AF379" s="176"/>
      <c r="AG379" s="176"/>
      <c r="AH379" s="176"/>
      <c r="AI379" s="176"/>
      <c r="AJ379" s="176"/>
      <c r="AK379" s="176"/>
      <c r="AL379" s="176"/>
      <c r="AM379" s="176"/>
      <c r="AN379" s="176"/>
      <c r="AO379" s="176"/>
      <c r="AP379" s="176"/>
      <c r="AQ379" s="176"/>
      <c r="AR379" s="176"/>
      <c r="AS379" s="176"/>
      <c r="AT379" s="176"/>
      <c r="AU379" s="176"/>
      <c r="AV379" s="176"/>
      <c r="AW379" s="176"/>
      <c r="AX379" s="176"/>
      <c r="AY379" s="176"/>
      <c r="AZ379" s="176"/>
      <c r="BA379" s="176"/>
      <c r="BB379" s="176"/>
      <c r="BC379" s="176"/>
      <c r="BD379" s="176"/>
      <c r="BE379" s="176"/>
      <c r="BF379" s="176"/>
      <c r="BG379" s="176"/>
      <c r="BH379" s="176"/>
      <c r="BI379" s="176"/>
      <c r="BJ379" s="176"/>
    </row>
    <row r="380" spans="1:62" x14ac:dyDescent="0.3">
      <c r="B380" s="3"/>
      <c r="C380" s="2"/>
      <c r="D380" s="2"/>
      <c r="E380" s="3"/>
      <c r="O380" s="176"/>
      <c r="P380" s="176"/>
      <c r="Q380" s="176"/>
      <c r="R380" s="176"/>
      <c r="S380" s="176"/>
      <c r="T380" s="176"/>
      <c r="U380" s="176"/>
      <c r="V380" s="176"/>
      <c r="W380" s="176"/>
      <c r="X380" s="176"/>
      <c r="Y380" s="176"/>
      <c r="Z380" s="176"/>
      <c r="AA380" s="176"/>
      <c r="AB380" s="176"/>
      <c r="AC380" s="176"/>
      <c r="AD380" s="176"/>
      <c r="AE380" s="176"/>
      <c r="AF380" s="176"/>
      <c r="AG380" s="176"/>
      <c r="AH380" s="176"/>
      <c r="AI380" s="176"/>
      <c r="AJ380" s="176"/>
      <c r="AK380" s="176"/>
      <c r="AL380" s="176"/>
      <c r="AM380" s="176"/>
      <c r="AN380" s="176"/>
      <c r="AO380" s="176"/>
      <c r="AP380" s="176"/>
      <c r="AQ380" s="176"/>
      <c r="AR380" s="176"/>
      <c r="AS380" s="176"/>
      <c r="AT380" s="176"/>
      <c r="AU380" s="176"/>
      <c r="AV380" s="176"/>
      <c r="AW380" s="176"/>
      <c r="AX380" s="176"/>
      <c r="AY380" s="176"/>
      <c r="AZ380" s="176"/>
      <c r="BA380" s="176"/>
      <c r="BB380" s="176"/>
      <c r="BC380" s="176"/>
      <c r="BD380" s="176"/>
      <c r="BE380" s="176"/>
      <c r="BF380" s="176"/>
      <c r="BG380" s="176"/>
      <c r="BH380" s="176"/>
      <c r="BI380" s="176"/>
      <c r="BJ380" s="176"/>
    </row>
    <row r="381" spans="1:62" x14ac:dyDescent="0.3">
      <c r="B381" s="3"/>
      <c r="C381" s="2"/>
      <c r="D381" s="2"/>
      <c r="E381" s="3"/>
      <c r="O381" s="176"/>
      <c r="P381" s="176"/>
      <c r="Q381" s="176"/>
      <c r="R381" s="176"/>
      <c r="S381" s="176"/>
      <c r="T381" s="176"/>
      <c r="U381" s="176"/>
      <c r="V381" s="176"/>
      <c r="W381" s="176"/>
      <c r="X381" s="176"/>
      <c r="Y381" s="176"/>
      <c r="Z381" s="176"/>
      <c r="AA381" s="176"/>
      <c r="AB381" s="176"/>
      <c r="AC381" s="176"/>
      <c r="AD381" s="176"/>
      <c r="AE381" s="176"/>
      <c r="AF381" s="176"/>
      <c r="AG381" s="176"/>
      <c r="AH381" s="176"/>
      <c r="AI381" s="176"/>
      <c r="AJ381" s="176"/>
      <c r="AK381" s="176"/>
      <c r="AL381" s="176"/>
      <c r="AM381" s="176"/>
      <c r="AN381" s="176"/>
      <c r="AO381" s="176"/>
      <c r="AP381" s="176"/>
      <c r="AQ381" s="176"/>
      <c r="AR381" s="176"/>
      <c r="AS381" s="176"/>
      <c r="AT381" s="176"/>
      <c r="AU381" s="176"/>
      <c r="AV381" s="176"/>
      <c r="AW381" s="176"/>
      <c r="AX381" s="176"/>
      <c r="AY381" s="176"/>
      <c r="AZ381" s="176"/>
      <c r="BA381" s="176"/>
      <c r="BB381" s="176"/>
      <c r="BC381" s="176"/>
      <c r="BD381" s="176"/>
      <c r="BE381" s="176"/>
      <c r="BF381" s="176"/>
      <c r="BG381" s="176"/>
      <c r="BH381" s="176"/>
      <c r="BI381" s="176"/>
      <c r="BJ381" s="176"/>
    </row>
    <row r="382" spans="1:62" x14ac:dyDescent="0.3">
      <c r="B382" s="3"/>
      <c r="C382" s="2"/>
      <c r="D382" s="2"/>
      <c r="E382" s="3"/>
      <c r="O382" s="176"/>
      <c r="P382" s="176"/>
      <c r="Q382" s="176"/>
      <c r="R382" s="176"/>
      <c r="S382" s="176"/>
      <c r="T382" s="176"/>
      <c r="U382" s="176"/>
      <c r="V382" s="176"/>
      <c r="W382" s="176"/>
      <c r="X382" s="176"/>
      <c r="Y382" s="176"/>
      <c r="Z382" s="176"/>
      <c r="AA382" s="176"/>
      <c r="AB382" s="176"/>
      <c r="AC382" s="176"/>
      <c r="AD382" s="176"/>
      <c r="AE382" s="176"/>
      <c r="AF382" s="176"/>
      <c r="AG382" s="176"/>
      <c r="AH382" s="176"/>
      <c r="AI382" s="176"/>
      <c r="AJ382" s="176"/>
      <c r="AK382" s="176"/>
      <c r="AL382" s="176"/>
      <c r="AM382" s="176"/>
      <c r="AN382" s="176"/>
      <c r="AO382" s="176"/>
      <c r="AP382" s="176"/>
      <c r="AQ382" s="176"/>
      <c r="AR382" s="176"/>
      <c r="AS382" s="176"/>
      <c r="AT382" s="176"/>
      <c r="AU382" s="176"/>
      <c r="AV382" s="176"/>
      <c r="AW382" s="176"/>
      <c r="AX382" s="176"/>
      <c r="AY382" s="176"/>
      <c r="AZ382" s="176"/>
      <c r="BA382" s="176"/>
      <c r="BB382" s="176"/>
      <c r="BC382" s="176"/>
      <c r="BD382" s="176"/>
      <c r="BE382" s="176"/>
      <c r="BF382" s="176"/>
      <c r="BG382" s="176"/>
      <c r="BH382" s="176"/>
      <c r="BI382" s="176"/>
      <c r="BJ382" s="176"/>
    </row>
    <row r="383" spans="1:62" x14ac:dyDescent="0.3">
      <c r="B383" s="3"/>
      <c r="C383" s="2"/>
      <c r="D383" s="2"/>
      <c r="E383" s="3"/>
      <c r="O383" s="176"/>
      <c r="P383" s="176"/>
      <c r="Q383" s="176"/>
      <c r="R383" s="176"/>
      <c r="S383" s="176"/>
      <c r="T383" s="176"/>
      <c r="U383" s="176"/>
      <c r="V383" s="176"/>
      <c r="W383" s="176"/>
      <c r="X383" s="176"/>
      <c r="Y383" s="176"/>
      <c r="Z383" s="176"/>
      <c r="AA383" s="176"/>
      <c r="AB383" s="176"/>
      <c r="AC383" s="176"/>
      <c r="AD383" s="176"/>
      <c r="AE383" s="176"/>
      <c r="AF383" s="176"/>
      <c r="AG383" s="176"/>
      <c r="AH383" s="176"/>
      <c r="AI383" s="176"/>
      <c r="AJ383" s="176"/>
      <c r="AK383" s="176"/>
      <c r="AL383" s="176"/>
      <c r="AM383" s="176"/>
      <c r="AN383" s="176"/>
      <c r="AO383" s="176"/>
      <c r="AP383" s="176"/>
      <c r="AQ383" s="176"/>
      <c r="AR383" s="176"/>
      <c r="AS383" s="176"/>
      <c r="AT383" s="176"/>
      <c r="AU383" s="176"/>
      <c r="AV383" s="176"/>
      <c r="AW383" s="176"/>
      <c r="AX383" s="176"/>
      <c r="AY383" s="176"/>
      <c r="AZ383" s="176"/>
      <c r="BA383" s="176"/>
      <c r="BB383" s="176"/>
      <c r="BC383" s="176"/>
      <c r="BD383" s="176"/>
      <c r="BE383" s="176"/>
      <c r="BF383" s="176"/>
      <c r="BG383" s="176"/>
      <c r="BH383" s="176"/>
      <c r="BI383" s="176"/>
      <c r="BJ383" s="176"/>
    </row>
    <row r="384" spans="1:62" x14ac:dyDescent="0.3">
      <c r="B384" s="3"/>
      <c r="C384" s="2"/>
      <c r="D384" s="2"/>
      <c r="E384" s="3"/>
      <c r="O384" s="176"/>
      <c r="P384" s="176"/>
      <c r="Q384" s="176"/>
      <c r="R384" s="176"/>
      <c r="S384" s="176"/>
      <c r="T384" s="176"/>
      <c r="U384" s="176"/>
      <c r="V384" s="176"/>
      <c r="W384" s="176"/>
      <c r="X384" s="176"/>
      <c r="Y384" s="176"/>
      <c r="Z384" s="176"/>
      <c r="AA384" s="176"/>
      <c r="AB384" s="176"/>
      <c r="AC384" s="176"/>
      <c r="AD384" s="176"/>
      <c r="AE384" s="176"/>
      <c r="AF384" s="176"/>
      <c r="AG384" s="176"/>
      <c r="AH384" s="176"/>
      <c r="AI384" s="176"/>
      <c r="AJ384" s="176"/>
      <c r="AK384" s="176"/>
      <c r="AL384" s="176"/>
      <c r="AM384" s="176"/>
      <c r="AN384" s="176"/>
      <c r="AO384" s="176"/>
      <c r="AP384" s="176"/>
      <c r="AQ384" s="176"/>
      <c r="AR384" s="176"/>
      <c r="AS384" s="176"/>
      <c r="AT384" s="176"/>
      <c r="AU384" s="176"/>
      <c r="AV384" s="176"/>
      <c r="AW384" s="176"/>
      <c r="AX384" s="176"/>
      <c r="AY384" s="176"/>
      <c r="AZ384" s="176"/>
      <c r="BA384" s="176"/>
      <c r="BB384" s="176"/>
      <c r="BC384" s="176"/>
      <c r="BD384" s="176"/>
      <c r="BE384" s="176"/>
      <c r="BF384" s="176"/>
      <c r="BG384" s="176"/>
      <c r="BH384" s="176"/>
      <c r="BI384" s="176"/>
      <c r="BJ384" s="176"/>
    </row>
    <row r="385" spans="2:62" x14ac:dyDescent="0.3">
      <c r="B385" s="3"/>
      <c r="C385" s="2"/>
      <c r="D385" s="2"/>
      <c r="E385" s="3"/>
      <c r="O385" s="176"/>
      <c r="P385" s="176"/>
      <c r="Q385" s="176"/>
      <c r="R385" s="176"/>
      <c r="S385" s="176"/>
      <c r="T385" s="176"/>
      <c r="U385" s="176"/>
      <c r="V385" s="176"/>
      <c r="W385" s="176"/>
      <c r="X385" s="176"/>
      <c r="Y385" s="176"/>
      <c r="Z385" s="176"/>
      <c r="AA385" s="176"/>
      <c r="AB385" s="176"/>
      <c r="AC385" s="176"/>
      <c r="AD385" s="176"/>
      <c r="AE385" s="176"/>
      <c r="AF385" s="176"/>
      <c r="AG385" s="176"/>
      <c r="AH385" s="176"/>
      <c r="AI385" s="176"/>
      <c r="AJ385" s="176"/>
      <c r="AK385" s="176"/>
      <c r="AL385" s="176"/>
      <c r="AM385" s="176"/>
      <c r="AN385" s="176"/>
      <c r="AO385" s="176"/>
      <c r="AP385" s="176"/>
      <c r="AQ385" s="176"/>
      <c r="AR385" s="176"/>
      <c r="AS385" s="176"/>
      <c r="AT385" s="176"/>
      <c r="AU385" s="176"/>
      <c r="AV385" s="176"/>
      <c r="AW385" s="176"/>
      <c r="AX385" s="176"/>
      <c r="AY385" s="176"/>
      <c r="AZ385" s="176"/>
      <c r="BA385" s="176"/>
      <c r="BB385" s="176"/>
      <c r="BC385" s="176"/>
      <c r="BD385" s="176"/>
      <c r="BE385" s="176"/>
      <c r="BF385" s="176"/>
      <c r="BG385" s="176"/>
      <c r="BH385" s="176"/>
      <c r="BI385" s="176"/>
      <c r="BJ385" s="176"/>
    </row>
    <row r="386" spans="2:62" x14ac:dyDescent="0.3">
      <c r="B386" s="3"/>
      <c r="C386" s="2"/>
      <c r="D386" s="2"/>
      <c r="E386" s="3"/>
      <c r="O386" s="176"/>
      <c r="P386" s="176"/>
      <c r="Q386" s="176"/>
      <c r="R386" s="176"/>
      <c r="S386" s="176"/>
      <c r="T386" s="176"/>
      <c r="U386" s="176"/>
      <c r="V386" s="176"/>
      <c r="W386" s="176"/>
      <c r="X386" s="176"/>
      <c r="Y386" s="176"/>
      <c r="Z386" s="176"/>
      <c r="AA386" s="176"/>
      <c r="AB386" s="176"/>
      <c r="AC386" s="176"/>
      <c r="AD386" s="176"/>
      <c r="AE386" s="176"/>
      <c r="AF386" s="176"/>
      <c r="AG386" s="176"/>
      <c r="AH386" s="176"/>
      <c r="AI386" s="176"/>
      <c r="AJ386" s="176"/>
      <c r="AK386" s="176"/>
      <c r="AL386" s="176"/>
      <c r="AM386" s="176"/>
      <c r="AN386" s="176"/>
      <c r="AO386" s="176"/>
      <c r="AP386" s="176"/>
      <c r="AQ386" s="176"/>
      <c r="AR386" s="176"/>
      <c r="AS386" s="176"/>
      <c r="AT386" s="176"/>
      <c r="AU386" s="176"/>
      <c r="AV386" s="176"/>
      <c r="AW386" s="176"/>
      <c r="AX386" s="176"/>
      <c r="AY386" s="176"/>
      <c r="AZ386" s="176"/>
      <c r="BA386" s="176"/>
      <c r="BB386" s="176"/>
      <c r="BC386" s="176"/>
      <c r="BD386" s="176"/>
      <c r="BE386" s="176"/>
      <c r="BF386" s="176"/>
      <c r="BG386" s="176"/>
      <c r="BH386" s="176"/>
      <c r="BI386" s="176"/>
      <c r="BJ386" s="176"/>
    </row>
    <row r="387" spans="2:62" x14ac:dyDescent="0.3">
      <c r="B387" s="3"/>
      <c r="C387" s="2"/>
      <c r="D387" s="2"/>
      <c r="E387" s="3"/>
      <c r="O387" s="176"/>
      <c r="P387" s="176"/>
      <c r="Q387" s="176"/>
      <c r="R387" s="176"/>
      <c r="S387" s="176"/>
      <c r="T387" s="176"/>
      <c r="U387" s="176"/>
      <c r="V387" s="176"/>
      <c r="W387" s="176"/>
      <c r="X387" s="176"/>
      <c r="Y387" s="176"/>
      <c r="Z387" s="176"/>
      <c r="AA387" s="176"/>
      <c r="AB387" s="176"/>
      <c r="AC387" s="176"/>
      <c r="AD387" s="176"/>
      <c r="AE387" s="176"/>
      <c r="AF387" s="176"/>
      <c r="AG387" s="176"/>
      <c r="AH387" s="176"/>
      <c r="AI387" s="176"/>
      <c r="AJ387" s="176"/>
      <c r="AK387" s="176"/>
      <c r="AL387" s="176"/>
      <c r="AM387" s="176"/>
      <c r="AN387" s="176"/>
      <c r="AO387" s="176"/>
      <c r="AP387" s="176"/>
      <c r="AQ387" s="176"/>
      <c r="AR387" s="176"/>
      <c r="AS387" s="176"/>
      <c r="AT387" s="176"/>
      <c r="AU387" s="176"/>
      <c r="AV387" s="176"/>
      <c r="AW387" s="176"/>
      <c r="AX387" s="176"/>
      <c r="AY387" s="176"/>
      <c r="AZ387" s="176"/>
      <c r="BA387" s="176"/>
      <c r="BB387" s="176"/>
      <c r="BC387" s="176"/>
      <c r="BD387" s="176"/>
      <c r="BE387" s="176"/>
      <c r="BF387" s="176"/>
      <c r="BG387" s="176"/>
      <c r="BH387" s="176"/>
      <c r="BI387" s="176"/>
      <c r="BJ387" s="176"/>
    </row>
    <row r="388" spans="2:62" x14ac:dyDescent="0.3">
      <c r="B388" s="3"/>
      <c r="C388" s="2"/>
      <c r="D388" s="2"/>
      <c r="E388" s="3"/>
      <c r="O388" s="176"/>
      <c r="P388" s="176"/>
      <c r="Q388" s="176"/>
      <c r="R388" s="176"/>
      <c r="S388" s="176"/>
      <c r="T388" s="176"/>
      <c r="U388" s="176"/>
      <c r="V388" s="176"/>
      <c r="W388" s="176"/>
      <c r="X388" s="176"/>
      <c r="Y388" s="176"/>
      <c r="Z388" s="176"/>
      <c r="AA388" s="176"/>
      <c r="AB388" s="176"/>
      <c r="AC388" s="176"/>
      <c r="AD388" s="176"/>
      <c r="AE388" s="176"/>
      <c r="AF388" s="176"/>
      <c r="AG388" s="176"/>
      <c r="AH388" s="176"/>
      <c r="AI388" s="176"/>
      <c r="AJ388" s="176"/>
      <c r="AK388" s="176"/>
      <c r="AL388" s="176"/>
      <c r="AM388" s="176"/>
      <c r="AN388" s="176"/>
      <c r="AO388" s="176"/>
      <c r="AP388" s="176"/>
      <c r="AQ388" s="176"/>
      <c r="AR388" s="176"/>
      <c r="AS388" s="176"/>
      <c r="AT388" s="176"/>
      <c r="AU388" s="176"/>
      <c r="AV388" s="176"/>
      <c r="AW388" s="176"/>
      <c r="AX388" s="176"/>
      <c r="AY388" s="176"/>
      <c r="AZ388" s="176"/>
      <c r="BA388" s="176"/>
      <c r="BB388" s="176"/>
      <c r="BC388" s="176"/>
      <c r="BD388" s="176"/>
      <c r="BE388" s="176"/>
      <c r="BF388" s="176"/>
      <c r="BG388" s="176"/>
      <c r="BH388" s="176"/>
      <c r="BI388" s="176"/>
      <c r="BJ388" s="176"/>
    </row>
    <row r="389" spans="2:62" x14ac:dyDescent="0.3">
      <c r="B389" s="3"/>
      <c r="C389" s="2"/>
      <c r="D389" s="2"/>
      <c r="E389" s="3"/>
      <c r="O389" s="176"/>
      <c r="P389" s="176"/>
      <c r="Q389" s="176"/>
      <c r="R389" s="176"/>
      <c r="S389" s="176"/>
      <c r="T389" s="176"/>
      <c r="U389" s="176"/>
      <c r="V389" s="176"/>
      <c r="W389" s="176"/>
      <c r="X389" s="176"/>
      <c r="Y389" s="176"/>
      <c r="Z389" s="176"/>
      <c r="AA389" s="176"/>
      <c r="AB389" s="176"/>
      <c r="AC389" s="176"/>
      <c r="AD389" s="176"/>
      <c r="AE389" s="176"/>
      <c r="AF389" s="176"/>
      <c r="AG389" s="176"/>
      <c r="AH389" s="176"/>
      <c r="AI389" s="176"/>
      <c r="AJ389" s="176"/>
      <c r="AK389" s="176"/>
      <c r="AL389" s="176"/>
      <c r="AM389" s="176"/>
      <c r="AN389" s="176"/>
      <c r="AO389" s="176"/>
      <c r="AP389" s="176"/>
      <c r="AQ389" s="176"/>
      <c r="AR389" s="176"/>
      <c r="AS389" s="176"/>
      <c r="AT389" s="176"/>
      <c r="AU389" s="176"/>
      <c r="AV389" s="176"/>
      <c r="AW389" s="176"/>
      <c r="AX389" s="176"/>
      <c r="AY389" s="176"/>
      <c r="AZ389" s="176"/>
      <c r="BA389" s="176"/>
      <c r="BB389" s="176"/>
      <c r="BC389" s="176"/>
      <c r="BD389" s="176"/>
      <c r="BE389" s="176"/>
      <c r="BF389" s="176"/>
      <c r="BG389" s="176"/>
      <c r="BH389" s="176"/>
      <c r="BI389" s="176"/>
      <c r="BJ389" s="176"/>
    </row>
    <row r="390" spans="2:62" x14ac:dyDescent="0.3">
      <c r="B390" s="3"/>
      <c r="C390" s="2"/>
      <c r="D390" s="2"/>
      <c r="E390" s="3"/>
      <c r="O390" s="176"/>
      <c r="P390" s="176"/>
      <c r="Q390" s="176"/>
      <c r="R390" s="176"/>
      <c r="S390" s="176"/>
      <c r="T390" s="176"/>
      <c r="U390" s="176"/>
      <c r="V390" s="176"/>
      <c r="W390" s="176"/>
      <c r="X390" s="176"/>
      <c r="Y390" s="176"/>
      <c r="Z390" s="176"/>
      <c r="AA390" s="176"/>
      <c r="AB390" s="176"/>
      <c r="AC390" s="176"/>
      <c r="AD390" s="176"/>
      <c r="AE390" s="176"/>
      <c r="AF390" s="176"/>
      <c r="AG390" s="176"/>
      <c r="AH390" s="176"/>
      <c r="AI390" s="176"/>
      <c r="AJ390" s="176"/>
      <c r="AK390" s="176"/>
      <c r="AL390" s="176"/>
      <c r="AM390" s="176"/>
      <c r="AN390" s="176"/>
      <c r="AO390" s="176"/>
      <c r="AP390" s="176"/>
      <c r="AQ390" s="176"/>
      <c r="AR390" s="176"/>
      <c r="AS390" s="176"/>
      <c r="AT390" s="176"/>
      <c r="AU390" s="176"/>
      <c r="AV390" s="176"/>
      <c r="AW390" s="176"/>
      <c r="AX390" s="176"/>
      <c r="AY390" s="176"/>
      <c r="AZ390" s="176"/>
      <c r="BA390" s="176"/>
      <c r="BB390" s="176"/>
      <c r="BC390" s="176"/>
      <c r="BD390" s="176"/>
      <c r="BE390" s="176"/>
      <c r="BF390" s="176"/>
      <c r="BG390" s="176"/>
      <c r="BH390" s="176"/>
      <c r="BI390" s="176"/>
      <c r="BJ390" s="176"/>
    </row>
    <row r="391" spans="2:62" x14ac:dyDescent="0.3">
      <c r="B391" s="3"/>
      <c r="C391" s="2"/>
      <c r="D391" s="2"/>
      <c r="E391" s="3"/>
      <c r="O391" s="176"/>
      <c r="P391" s="176"/>
      <c r="Q391" s="176"/>
      <c r="R391" s="176"/>
      <c r="S391" s="176"/>
      <c r="T391" s="176"/>
      <c r="U391" s="176"/>
      <c r="V391" s="176"/>
      <c r="W391" s="176"/>
      <c r="X391" s="176"/>
      <c r="Y391" s="176"/>
      <c r="Z391" s="176"/>
      <c r="AA391" s="176"/>
      <c r="AB391" s="176"/>
      <c r="AC391" s="176"/>
      <c r="AD391" s="176"/>
      <c r="AE391" s="176"/>
      <c r="AF391" s="176"/>
      <c r="AG391" s="176"/>
      <c r="AH391" s="176"/>
      <c r="AI391" s="176"/>
      <c r="AJ391" s="176"/>
      <c r="AK391" s="176"/>
      <c r="AL391" s="176"/>
      <c r="AM391" s="176"/>
      <c r="AN391" s="176"/>
      <c r="AO391" s="176"/>
      <c r="AP391" s="176"/>
      <c r="AQ391" s="176"/>
      <c r="AR391" s="176"/>
      <c r="AS391" s="176"/>
      <c r="AT391" s="176"/>
      <c r="AU391" s="176"/>
      <c r="AV391" s="176"/>
      <c r="AW391" s="176"/>
      <c r="AX391" s="176"/>
      <c r="AY391" s="176"/>
      <c r="AZ391" s="176"/>
      <c r="BA391" s="176"/>
      <c r="BB391" s="176"/>
      <c r="BC391" s="176"/>
      <c r="BD391" s="176"/>
      <c r="BE391" s="176"/>
      <c r="BF391" s="176"/>
      <c r="BG391" s="176"/>
      <c r="BH391" s="176"/>
      <c r="BI391" s="176"/>
      <c r="BJ391" s="176"/>
    </row>
    <row r="392" spans="2:62" x14ac:dyDescent="0.3">
      <c r="B392" s="3"/>
      <c r="C392" s="2"/>
      <c r="D392" s="2"/>
      <c r="E392" s="3"/>
      <c r="O392" s="176"/>
      <c r="P392" s="176"/>
      <c r="Q392" s="176"/>
      <c r="R392" s="176"/>
      <c r="S392" s="176"/>
      <c r="T392" s="176"/>
      <c r="U392" s="176"/>
      <c r="V392" s="176"/>
      <c r="W392" s="176"/>
      <c r="X392" s="176"/>
      <c r="Y392" s="176"/>
      <c r="Z392" s="176"/>
      <c r="AA392" s="176"/>
      <c r="AB392" s="176"/>
      <c r="AC392" s="176"/>
      <c r="AD392" s="176"/>
      <c r="AE392" s="176"/>
      <c r="AF392" s="176"/>
      <c r="AG392" s="176"/>
      <c r="AH392" s="176"/>
      <c r="AI392" s="176"/>
      <c r="AJ392" s="176"/>
      <c r="AK392" s="176"/>
      <c r="AL392" s="176"/>
      <c r="AM392" s="176"/>
      <c r="AN392" s="176"/>
      <c r="AO392" s="176"/>
      <c r="AP392" s="176"/>
      <c r="AQ392" s="176"/>
      <c r="AR392" s="176"/>
      <c r="AS392" s="176"/>
      <c r="AT392" s="176"/>
      <c r="AU392" s="176"/>
      <c r="AV392" s="176"/>
      <c r="AW392" s="176"/>
      <c r="AX392" s="176"/>
      <c r="AY392" s="176"/>
      <c r="AZ392" s="176"/>
      <c r="BA392" s="176"/>
      <c r="BB392" s="176"/>
      <c r="BC392" s="176"/>
      <c r="BD392" s="176"/>
      <c r="BE392" s="176"/>
      <c r="BF392" s="176"/>
      <c r="BG392" s="176"/>
      <c r="BH392" s="176"/>
      <c r="BI392" s="176"/>
      <c r="BJ392" s="176"/>
    </row>
    <row r="393" spans="2:62" x14ac:dyDescent="0.3">
      <c r="B393" s="3"/>
      <c r="C393" s="2"/>
      <c r="D393" s="2"/>
      <c r="E393" s="3"/>
      <c r="O393" s="176"/>
      <c r="P393" s="176"/>
      <c r="Q393" s="176"/>
      <c r="R393" s="176"/>
      <c r="S393" s="176"/>
      <c r="T393" s="176"/>
      <c r="U393" s="176"/>
      <c r="V393" s="176"/>
      <c r="W393" s="176"/>
      <c r="X393" s="176"/>
      <c r="Y393" s="176"/>
      <c r="Z393" s="176"/>
      <c r="AA393" s="176"/>
      <c r="AB393" s="176"/>
      <c r="AC393" s="176"/>
      <c r="AD393" s="176"/>
      <c r="AE393" s="176"/>
      <c r="AF393" s="176"/>
      <c r="AG393" s="176"/>
      <c r="AH393" s="176"/>
      <c r="AI393" s="176"/>
      <c r="AJ393" s="176"/>
      <c r="AK393" s="176"/>
      <c r="AL393" s="176"/>
      <c r="AM393" s="176"/>
      <c r="AN393" s="176"/>
      <c r="AO393" s="176"/>
      <c r="AP393" s="176"/>
      <c r="AQ393" s="176"/>
      <c r="AR393" s="176"/>
      <c r="AS393" s="176"/>
      <c r="AT393" s="176"/>
      <c r="AU393" s="176"/>
      <c r="AV393" s="176"/>
      <c r="AW393" s="176"/>
      <c r="AX393" s="176"/>
      <c r="AY393" s="176"/>
      <c r="AZ393" s="176"/>
      <c r="BA393" s="176"/>
      <c r="BB393" s="176"/>
      <c r="BC393" s="176"/>
      <c r="BD393" s="176"/>
      <c r="BE393" s="176"/>
      <c r="BF393" s="176"/>
      <c r="BG393" s="176"/>
      <c r="BH393" s="176"/>
      <c r="BI393" s="176"/>
      <c r="BJ393" s="176"/>
    </row>
    <row r="394" spans="2:62" x14ac:dyDescent="0.3">
      <c r="B394" s="3"/>
      <c r="C394" s="2"/>
      <c r="D394" s="2"/>
      <c r="E394" s="3"/>
      <c r="O394" s="176"/>
      <c r="P394" s="176"/>
      <c r="Q394" s="176"/>
      <c r="R394" s="176"/>
      <c r="S394" s="176"/>
      <c r="T394" s="176"/>
      <c r="U394" s="176"/>
      <c r="V394" s="176"/>
      <c r="W394" s="176"/>
      <c r="X394" s="176"/>
      <c r="Y394" s="176"/>
      <c r="Z394" s="176"/>
      <c r="AA394" s="176"/>
      <c r="AB394" s="176"/>
      <c r="AC394" s="176"/>
      <c r="AD394" s="176"/>
      <c r="AE394" s="176"/>
      <c r="AF394" s="176"/>
      <c r="AG394" s="176"/>
      <c r="AH394" s="176"/>
      <c r="AI394" s="176"/>
      <c r="AJ394" s="176"/>
      <c r="AK394" s="176"/>
      <c r="AL394" s="176"/>
      <c r="AM394" s="176"/>
      <c r="AN394" s="176"/>
      <c r="AO394" s="176"/>
      <c r="AP394" s="176"/>
      <c r="AQ394" s="176"/>
      <c r="AR394" s="176"/>
      <c r="AS394" s="176"/>
      <c r="AT394" s="176"/>
      <c r="AU394" s="176"/>
      <c r="AV394" s="176"/>
      <c r="AW394" s="176"/>
      <c r="AX394" s="176"/>
      <c r="AY394" s="176"/>
      <c r="AZ394" s="176"/>
      <c r="BA394" s="176"/>
      <c r="BB394" s="176"/>
      <c r="BC394" s="176"/>
      <c r="BD394" s="176"/>
      <c r="BE394" s="176"/>
      <c r="BF394" s="176"/>
      <c r="BG394" s="176"/>
      <c r="BH394" s="176"/>
      <c r="BI394" s="176"/>
      <c r="BJ394" s="176"/>
    </row>
    <row r="395" spans="2:62" x14ac:dyDescent="0.3">
      <c r="B395" s="3"/>
      <c r="C395" s="2"/>
      <c r="D395" s="2"/>
      <c r="E395" s="3"/>
      <c r="O395" s="176"/>
      <c r="P395" s="176"/>
      <c r="Q395" s="176"/>
      <c r="R395" s="176"/>
      <c r="S395" s="176"/>
      <c r="T395" s="176"/>
      <c r="U395" s="176"/>
      <c r="V395" s="176"/>
      <c r="W395" s="176"/>
      <c r="X395" s="176"/>
      <c r="Y395" s="176"/>
      <c r="Z395" s="176"/>
      <c r="AA395" s="176"/>
      <c r="AB395" s="176"/>
      <c r="AC395" s="176"/>
      <c r="AD395" s="176"/>
      <c r="AE395" s="176"/>
      <c r="AF395" s="176"/>
      <c r="AG395" s="176"/>
      <c r="AH395" s="176"/>
      <c r="AI395" s="176"/>
      <c r="AJ395" s="176"/>
      <c r="AK395" s="176"/>
      <c r="AL395" s="176"/>
      <c r="AM395" s="176"/>
      <c r="AN395" s="176"/>
      <c r="AO395" s="176"/>
      <c r="AP395" s="176"/>
      <c r="AQ395" s="176"/>
      <c r="AR395" s="176"/>
      <c r="AS395" s="176"/>
      <c r="AT395" s="176"/>
      <c r="AU395" s="176"/>
      <c r="AV395" s="176"/>
      <c r="AW395" s="176"/>
      <c r="AX395" s="176"/>
      <c r="AY395" s="176"/>
      <c r="AZ395" s="176"/>
      <c r="BA395" s="176"/>
      <c r="BB395" s="176"/>
      <c r="BC395" s="176"/>
      <c r="BD395" s="176"/>
      <c r="BE395" s="176"/>
      <c r="BF395" s="176"/>
      <c r="BG395" s="176"/>
      <c r="BH395" s="176"/>
      <c r="BI395" s="176"/>
      <c r="BJ395" s="176"/>
    </row>
    <row r="396" spans="2:62" x14ac:dyDescent="0.3">
      <c r="B396" s="3"/>
      <c r="C396" s="2"/>
      <c r="D396" s="2"/>
      <c r="E396" s="3"/>
      <c r="O396" s="176"/>
      <c r="P396" s="176"/>
      <c r="Q396" s="176"/>
      <c r="R396" s="176"/>
      <c r="S396" s="176"/>
      <c r="T396" s="176"/>
      <c r="U396" s="176"/>
      <c r="V396" s="176"/>
      <c r="W396" s="176"/>
      <c r="X396" s="176"/>
      <c r="Y396" s="176"/>
      <c r="Z396" s="176"/>
      <c r="AA396" s="176"/>
      <c r="AB396" s="176"/>
      <c r="AC396" s="176"/>
      <c r="AD396" s="176"/>
      <c r="AE396" s="176"/>
      <c r="AF396" s="176"/>
      <c r="AG396" s="176"/>
      <c r="AH396" s="176"/>
      <c r="AI396" s="176"/>
      <c r="AJ396" s="176"/>
      <c r="AK396" s="176"/>
      <c r="AL396" s="176"/>
      <c r="AM396" s="176"/>
      <c r="AN396" s="176"/>
      <c r="AO396" s="176"/>
      <c r="AP396" s="176"/>
      <c r="AQ396" s="176"/>
      <c r="AR396" s="176"/>
      <c r="AS396" s="176"/>
      <c r="AT396" s="176"/>
      <c r="AU396" s="176"/>
      <c r="AV396" s="176"/>
      <c r="AW396" s="176"/>
      <c r="AX396" s="176"/>
      <c r="AY396" s="176"/>
      <c r="AZ396" s="176"/>
      <c r="BA396" s="176"/>
      <c r="BB396" s="176"/>
      <c r="BC396" s="176"/>
      <c r="BD396" s="176"/>
      <c r="BE396" s="176"/>
      <c r="BF396" s="176"/>
      <c r="BG396" s="176"/>
      <c r="BH396" s="176"/>
      <c r="BI396" s="176"/>
      <c r="BJ396" s="176"/>
    </row>
    <row r="397" spans="2:62" x14ac:dyDescent="0.3">
      <c r="B397" s="3"/>
      <c r="C397" s="2"/>
      <c r="D397" s="2"/>
      <c r="E397" s="3"/>
      <c r="O397" s="176"/>
      <c r="P397" s="176"/>
      <c r="Q397" s="176"/>
      <c r="R397" s="176"/>
      <c r="S397" s="176"/>
      <c r="T397" s="176"/>
      <c r="U397" s="176"/>
      <c r="V397" s="176"/>
      <c r="W397" s="176"/>
      <c r="X397" s="176"/>
      <c r="Y397" s="176"/>
      <c r="Z397" s="176"/>
      <c r="AA397" s="176"/>
      <c r="AB397" s="176"/>
      <c r="AC397" s="176"/>
      <c r="AD397" s="176"/>
      <c r="AE397" s="176"/>
      <c r="AF397" s="176"/>
      <c r="AG397" s="176"/>
      <c r="AH397" s="176"/>
      <c r="AI397" s="176"/>
      <c r="AJ397" s="176"/>
      <c r="AK397" s="176"/>
      <c r="AL397" s="176"/>
      <c r="AM397" s="176"/>
      <c r="AN397" s="176"/>
      <c r="AO397" s="176"/>
      <c r="AP397" s="176"/>
      <c r="AQ397" s="176"/>
      <c r="AR397" s="176"/>
      <c r="AS397" s="176"/>
      <c r="AT397" s="176"/>
      <c r="AU397" s="176"/>
      <c r="AV397" s="176"/>
      <c r="AW397" s="176"/>
      <c r="AX397" s="176"/>
      <c r="AY397" s="176"/>
      <c r="AZ397" s="176"/>
      <c r="BA397" s="176"/>
      <c r="BB397" s="176"/>
      <c r="BC397" s="176"/>
      <c r="BD397" s="176"/>
      <c r="BE397" s="176"/>
      <c r="BF397" s="176"/>
      <c r="BG397" s="176"/>
      <c r="BH397" s="176"/>
      <c r="BI397" s="176"/>
      <c r="BJ397" s="176"/>
    </row>
    <row r="398" spans="2:62" x14ac:dyDescent="0.3">
      <c r="B398" s="3"/>
      <c r="C398" s="2"/>
      <c r="D398" s="2"/>
      <c r="E398" s="3"/>
      <c r="O398" s="176"/>
      <c r="P398" s="176"/>
      <c r="Q398" s="176"/>
      <c r="R398" s="176"/>
      <c r="S398" s="176"/>
      <c r="T398" s="176"/>
      <c r="U398" s="176"/>
      <c r="V398" s="176"/>
      <c r="W398" s="176"/>
      <c r="X398" s="176"/>
      <c r="Y398" s="176"/>
      <c r="Z398" s="176"/>
      <c r="AA398" s="176"/>
      <c r="AB398" s="176"/>
      <c r="AC398" s="176"/>
      <c r="AD398" s="176"/>
      <c r="AE398" s="176"/>
      <c r="AF398" s="176"/>
      <c r="AG398" s="176"/>
      <c r="AH398" s="176"/>
      <c r="AI398" s="176"/>
      <c r="AJ398" s="176"/>
      <c r="AK398" s="176"/>
      <c r="AL398" s="176"/>
      <c r="AM398" s="176"/>
      <c r="AN398" s="176"/>
      <c r="AO398" s="176"/>
      <c r="AP398" s="176"/>
      <c r="AQ398" s="176"/>
      <c r="AR398" s="176"/>
      <c r="AS398" s="176"/>
      <c r="AT398" s="176"/>
      <c r="AU398" s="176"/>
      <c r="AV398" s="176"/>
      <c r="AW398" s="176"/>
      <c r="AX398" s="176"/>
      <c r="AY398" s="176"/>
      <c r="AZ398" s="176"/>
      <c r="BA398" s="176"/>
      <c r="BB398" s="176"/>
      <c r="BC398" s="176"/>
      <c r="BD398" s="176"/>
      <c r="BE398" s="176"/>
      <c r="BF398" s="176"/>
      <c r="BG398" s="176"/>
      <c r="BH398" s="176"/>
      <c r="BI398" s="176"/>
      <c r="BJ398" s="176"/>
    </row>
    <row r="399" spans="2:62" x14ac:dyDescent="0.3">
      <c r="B399" s="3"/>
      <c r="C399" s="2"/>
      <c r="D399" s="2"/>
      <c r="E399" s="3"/>
      <c r="O399" s="176"/>
      <c r="P399" s="176"/>
      <c r="Q399" s="176"/>
      <c r="R399" s="176"/>
      <c r="S399" s="176"/>
      <c r="T399" s="176"/>
      <c r="U399" s="176"/>
      <c r="V399" s="176"/>
      <c r="W399" s="176"/>
      <c r="X399" s="176"/>
      <c r="Y399" s="176"/>
      <c r="Z399" s="176"/>
      <c r="AA399" s="176"/>
      <c r="AB399" s="176"/>
      <c r="AC399" s="176"/>
      <c r="AD399" s="176"/>
      <c r="AE399" s="176"/>
      <c r="AF399" s="176"/>
      <c r="AG399" s="176"/>
      <c r="AH399" s="176"/>
      <c r="AI399" s="176"/>
      <c r="AJ399" s="176"/>
      <c r="AK399" s="176"/>
      <c r="AL399" s="176"/>
      <c r="AM399" s="176"/>
      <c r="AN399" s="176"/>
      <c r="AO399" s="176"/>
      <c r="AP399" s="176"/>
      <c r="AQ399" s="176"/>
      <c r="AR399" s="176"/>
      <c r="AS399" s="176"/>
      <c r="AT399" s="176"/>
      <c r="AU399" s="176"/>
      <c r="AV399" s="176"/>
      <c r="AW399" s="176"/>
      <c r="AX399" s="176"/>
      <c r="AY399" s="176"/>
      <c r="AZ399" s="176"/>
      <c r="BA399" s="176"/>
      <c r="BB399" s="176"/>
      <c r="BC399" s="176"/>
      <c r="BD399" s="176"/>
      <c r="BE399" s="176"/>
      <c r="BF399" s="176"/>
      <c r="BG399" s="176"/>
      <c r="BH399" s="176"/>
      <c r="BI399" s="176"/>
      <c r="BJ399" s="176"/>
    </row>
    <row r="400" spans="2:62" x14ac:dyDescent="0.3">
      <c r="B400" s="3"/>
      <c r="C400" s="2"/>
      <c r="D400" s="2"/>
      <c r="E400" s="3"/>
      <c r="O400" s="176"/>
      <c r="P400" s="176"/>
      <c r="Q400" s="176"/>
      <c r="R400" s="176"/>
      <c r="S400" s="176"/>
      <c r="T400" s="176"/>
      <c r="U400" s="176"/>
      <c r="V400" s="176"/>
      <c r="W400" s="176"/>
      <c r="X400" s="176"/>
      <c r="Y400" s="176"/>
      <c r="Z400" s="176"/>
      <c r="AA400" s="176"/>
      <c r="AB400" s="176"/>
      <c r="AC400" s="176"/>
      <c r="AD400" s="176"/>
      <c r="AE400" s="176"/>
      <c r="AF400" s="176"/>
      <c r="AG400" s="176"/>
      <c r="AH400" s="176"/>
      <c r="AI400" s="176"/>
      <c r="AJ400" s="176"/>
      <c r="AK400" s="176"/>
      <c r="AL400" s="176"/>
      <c r="AM400" s="176"/>
      <c r="AN400" s="176"/>
      <c r="AO400" s="176"/>
      <c r="AP400" s="176"/>
      <c r="AQ400" s="176"/>
      <c r="AR400" s="176"/>
      <c r="AS400" s="176"/>
      <c r="AT400" s="176"/>
      <c r="AU400" s="176"/>
      <c r="AV400" s="176"/>
      <c r="AW400" s="176"/>
      <c r="AX400" s="176"/>
      <c r="AY400" s="176"/>
      <c r="AZ400" s="176"/>
      <c r="BA400" s="176"/>
      <c r="BB400" s="176"/>
      <c r="BC400" s="176"/>
      <c r="BD400" s="176"/>
      <c r="BE400" s="176"/>
      <c r="BF400" s="176"/>
      <c r="BG400" s="176"/>
      <c r="BH400" s="176"/>
      <c r="BI400" s="176"/>
      <c r="BJ400" s="176"/>
    </row>
    <row r="401" spans="2:62" x14ac:dyDescent="0.3">
      <c r="B401" s="3"/>
      <c r="C401" s="2"/>
      <c r="D401" s="2"/>
      <c r="E401" s="3"/>
      <c r="O401" s="176"/>
      <c r="P401" s="176"/>
      <c r="Q401" s="176"/>
      <c r="R401" s="176"/>
      <c r="S401" s="176"/>
      <c r="T401" s="176"/>
      <c r="U401" s="176"/>
      <c r="V401" s="176"/>
      <c r="W401" s="176"/>
      <c r="X401" s="176"/>
      <c r="Y401" s="176"/>
      <c r="Z401" s="176"/>
      <c r="AA401" s="176"/>
      <c r="AB401" s="176"/>
      <c r="AC401" s="176"/>
      <c r="AD401" s="176"/>
      <c r="AE401" s="176"/>
      <c r="AF401" s="176"/>
      <c r="AG401" s="176"/>
      <c r="AH401" s="176"/>
      <c r="AI401" s="176"/>
      <c r="AJ401" s="176"/>
      <c r="AK401" s="176"/>
      <c r="AL401" s="176"/>
      <c r="AM401" s="176"/>
      <c r="AN401" s="176"/>
      <c r="AO401" s="176"/>
      <c r="AP401" s="176"/>
      <c r="AQ401" s="176"/>
      <c r="AR401" s="176"/>
      <c r="AS401" s="176"/>
      <c r="AT401" s="176"/>
      <c r="AU401" s="176"/>
      <c r="AV401" s="176"/>
      <c r="AW401" s="176"/>
      <c r="AX401" s="176"/>
      <c r="AY401" s="176"/>
      <c r="AZ401" s="176"/>
      <c r="BA401" s="176"/>
      <c r="BB401" s="176"/>
      <c r="BC401" s="176"/>
      <c r="BD401" s="176"/>
      <c r="BE401" s="176"/>
      <c r="BF401" s="176"/>
      <c r="BG401" s="176"/>
      <c r="BH401" s="176"/>
      <c r="BI401" s="176"/>
      <c r="BJ401" s="176"/>
    </row>
    <row r="402" spans="2:62" x14ac:dyDescent="0.3">
      <c r="B402" s="3"/>
      <c r="C402" s="2"/>
      <c r="D402" s="2"/>
      <c r="E402" s="3"/>
      <c r="O402" s="176"/>
      <c r="P402" s="176"/>
      <c r="Q402" s="176"/>
      <c r="R402" s="176"/>
      <c r="S402" s="176"/>
      <c r="T402" s="176"/>
      <c r="U402" s="176"/>
      <c r="V402" s="176"/>
      <c r="W402" s="176"/>
      <c r="X402" s="176"/>
      <c r="Y402" s="176"/>
      <c r="Z402" s="176"/>
      <c r="AA402" s="176"/>
      <c r="AB402" s="176"/>
      <c r="AC402" s="176"/>
      <c r="AD402" s="176"/>
      <c r="AE402" s="176"/>
      <c r="AF402" s="176"/>
      <c r="AG402" s="176"/>
      <c r="AH402" s="176"/>
      <c r="AI402" s="176"/>
      <c r="AJ402" s="176"/>
      <c r="AK402" s="176"/>
      <c r="AL402" s="176"/>
      <c r="AM402" s="176"/>
      <c r="AN402" s="176"/>
      <c r="AO402" s="176"/>
      <c r="AP402" s="176"/>
      <c r="AQ402" s="176"/>
      <c r="AR402" s="176"/>
      <c r="AS402" s="176"/>
      <c r="AT402" s="176"/>
      <c r="AU402" s="176"/>
      <c r="AV402" s="176"/>
      <c r="AW402" s="176"/>
      <c r="AX402" s="176"/>
      <c r="AY402" s="176"/>
      <c r="AZ402" s="176"/>
      <c r="BA402" s="176"/>
      <c r="BB402" s="176"/>
      <c r="BC402" s="176"/>
      <c r="BD402" s="176"/>
      <c r="BE402" s="176"/>
      <c r="BF402" s="176"/>
      <c r="BG402" s="176"/>
      <c r="BH402" s="176"/>
      <c r="BI402" s="176"/>
      <c r="BJ402" s="176"/>
    </row>
    <row r="403" spans="2:62" x14ac:dyDescent="0.3">
      <c r="B403" s="3"/>
      <c r="C403" s="2"/>
      <c r="D403" s="2"/>
      <c r="E403" s="3"/>
      <c r="O403" s="176"/>
      <c r="P403" s="176"/>
      <c r="Q403" s="176"/>
      <c r="R403" s="176"/>
      <c r="S403" s="176"/>
      <c r="T403" s="176"/>
      <c r="U403" s="176"/>
      <c r="V403" s="176"/>
      <c r="W403" s="176"/>
      <c r="X403" s="176"/>
      <c r="Y403" s="176"/>
      <c r="Z403" s="176"/>
      <c r="AA403" s="176"/>
      <c r="AB403" s="176"/>
      <c r="AC403" s="176"/>
      <c r="AD403" s="176"/>
      <c r="AE403" s="176"/>
      <c r="AF403" s="176"/>
      <c r="AG403" s="176"/>
      <c r="AH403" s="176"/>
      <c r="AI403" s="176"/>
      <c r="AJ403" s="176"/>
      <c r="AK403" s="176"/>
      <c r="AL403" s="176"/>
      <c r="AM403" s="176"/>
      <c r="AN403" s="176"/>
      <c r="AO403" s="176"/>
      <c r="AP403" s="176"/>
      <c r="AQ403" s="176"/>
      <c r="AR403" s="176"/>
      <c r="AS403" s="176"/>
      <c r="AT403" s="176"/>
      <c r="AU403" s="176"/>
      <c r="AV403" s="176"/>
      <c r="AW403" s="176"/>
      <c r="AX403" s="176"/>
      <c r="AY403" s="176"/>
      <c r="AZ403" s="176"/>
      <c r="BA403" s="176"/>
      <c r="BB403" s="176"/>
      <c r="BC403" s="176"/>
      <c r="BD403" s="176"/>
      <c r="BE403" s="176"/>
      <c r="BF403" s="176"/>
      <c r="BG403" s="176"/>
      <c r="BH403" s="176"/>
      <c r="BI403" s="176"/>
      <c r="BJ403" s="176"/>
    </row>
    <row r="404" spans="2:62" x14ac:dyDescent="0.3">
      <c r="B404" s="3"/>
      <c r="C404" s="2"/>
      <c r="D404" s="2"/>
      <c r="E404" s="3"/>
      <c r="O404" s="176"/>
      <c r="P404" s="176"/>
      <c r="Q404" s="176"/>
      <c r="R404" s="176"/>
      <c r="S404" s="176"/>
      <c r="T404" s="176"/>
      <c r="U404" s="176"/>
      <c r="V404" s="176"/>
      <c r="W404" s="176"/>
      <c r="X404" s="176"/>
      <c r="Y404" s="176"/>
      <c r="Z404" s="176"/>
      <c r="AA404" s="176"/>
      <c r="AB404" s="176"/>
      <c r="AC404" s="176"/>
      <c r="AD404" s="176"/>
      <c r="AE404" s="176"/>
      <c r="AF404" s="176"/>
      <c r="AG404" s="176"/>
      <c r="AH404" s="176"/>
      <c r="AI404" s="176"/>
      <c r="AJ404" s="176"/>
      <c r="AK404" s="176"/>
      <c r="AL404" s="176"/>
      <c r="AM404" s="176"/>
      <c r="AN404" s="176"/>
      <c r="AO404" s="176"/>
      <c r="AP404" s="176"/>
      <c r="AQ404" s="176"/>
      <c r="AR404" s="176"/>
      <c r="AS404" s="176"/>
      <c r="AT404" s="176"/>
      <c r="AU404" s="176"/>
      <c r="AV404" s="176"/>
      <c r="AW404" s="176"/>
      <c r="AX404" s="176"/>
      <c r="AY404" s="176"/>
      <c r="AZ404" s="176"/>
      <c r="BA404" s="176"/>
      <c r="BB404" s="176"/>
      <c r="BC404" s="176"/>
      <c r="BD404" s="176"/>
      <c r="BE404" s="176"/>
      <c r="BF404" s="176"/>
      <c r="BG404" s="176"/>
      <c r="BH404" s="176"/>
      <c r="BI404" s="176"/>
      <c r="BJ404" s="176"/>
    </row>
    <row r="405" spans="2:62" x14ac:dyDescent="0.3">
      <c r="B405" s="3"/>
      <c r="C405" s="2"/>
      <c r="D405" s="2"/>
      <c r="E405" s="3"/>
      <c r="O405" s="176"/>
      <c r="P405" s="176"/>
      <c r="Q405" s="176"/>
      <c r="R405" s="176"/>
      <c r="S405" s="176"/>
      <c r="T405" s="176"/>
      <c r="U405" s="176"/>
      <c r="V405" s="176"/>
      <c r="W405" s="176"/>
      <c r="X405" s="176"/>
      <c r="Y405" s="176"/>
      <c r="Z405" s="176"/>
      <c r="AA405" s="176"/>
      <c r="AB405" s="176"/>
      <c r="AC405" s="176"/>
      <c r="AD405" s="176"/>
      <c r="AE405" s="176"/>
      <c r="AF405" s="176"/>
      <c r="AG405" s="176"/>
      <c r="AH405" s="176"/>
      <c r="AI405" s="176"/>
      <c r="AJ405" s="176"/>
      <c r="AK405" s="176"/>
      <c r="AL405" s="176"/>
      <c r="AM405" s="176"/>
      <c r="AN405" s="176"/>
      <c r="AO405" s="176"/>
      <c r="AP405" s="176"/>
      <c r="AQ405" s="176"/>
      <c r="AR405" s="176"/>
      <c r="AS405" s="176"/>
      <c r="AT405" s="176"/>
      <c r="AU405" s="176"/>
      <c r="AV405" s="176"/>
      <c r="AW405" s="176"/>
      <c r="AX405" s="176"/>
      <c r="AY405" s="176"/>
      <c r="AZ405" s="176"/>
      <c r="BA405" s="176"/>
      <c r="BB405" s="176"/>
      <c r="BC405" s="176"/>
      <c r="BD405" s="176"/>
      <c r="BE405" s="176"/>
      <c r="BF405" s="176"/>
      <c r="BG405" s="176"/>
      <c r="BH405" s="176"/>
      <c r="BI405" s="176"/>
      <c r="BJ405" s="176"/>
    </row>
    <row r="406" spans="2:62" x14ac:dyDescent="0.3">
      <c r="B406" s="3"/>
      <c r="C406" s="2"/>
      <c r="D406" s="2"/>
      <c r="E406" s="3"/>
      <c r="O406" s="176"/>
      <c r="P406" s="176"/>
      <c r="Q406" s="176"/>
      <c r="R406" s="176"/>
      <c r="S406" s="176"/>
      <c r="T406" s="176"/>
      <c r="U406" s="176"/>
      <c r="V406" s="176"/>
      <c r="W406" s="176"/>
      <c r="X406" s="176"/>
      <c r="Y406" s="176"/>
      <c r="Z406" s="176"/>
      <c r="AA406" s="176"/>
      <c r="AB406" s="176"/>
      <c r="AC406" s="176"/>
      <c r="AD406" s="176"/>
      <c r="AE406" s="176"/>
      <c r="AF406" s="176"/>
      <c r="AG406" s="176"/>
      <c r="AH406" s="176"/>
      <c r="AI406" s="176"/>
      <c r="AJ406" s="176"/>
      <c r="AK406" s="176"/>
      <c r="AL406" s="176"/>
      <c r="AM406" s="176"/>
      <c r="AN406" s="176"/>
      <c r="AO406" s="176"/>
      <c r="AP406" s="176"/>
      <c r="AQ406" s="176"/>
      <c r="AR406" s="176"/>
      <c r="AS406" s="176"/>
      <c r="AT406" s="176"/>
      <c r="AU406" s="176"/>
      <c r="AV406" s="176"/>
      <c r="AW406" s="176"/>
      <c r="AX406" s="176"/>
      <c r="AY406" s="176"/>
      <c r="AZ406" s="176"/>
      <c r="BA406" s="176"/>
      <c r="BB406" s="176"/>
      <c r="BC406" s="176"/>
      <c r="BD406" s="176"/>
      <c r="BE406" s="176"/>
      <c r="BF406" s="176"/>
      <c r="BG406" s="176"/>
      <c r="BH406" s="176"/>
      <c r="BI406" s="176"/>
      <c r="BJ406" s="176"/>
    </row>
    <row r="407" spans="2:62" x14ac:dyDescent="0.3">
      <c r="B407" s="3"/>
      <c r="C407" s="2"/>
      <c r="D407" s="2"/>
      <c r="E407" s="3"/>
      <c r="O407" s="176"/>
      <c r="P407" s="176"/>
      <c r="Q407" s="176"/>
      <c r="R407" s="176"/>
      <c r="S407" s="176"/>
      <c r="T407" s="176"/>
      <c r="U407" s="176"/>
      <c r="V407" s="176"/>
      <c r="W407" s="176"/>
      <c r="X407" s="176"/>
      <c r="Y407" s="176"/>
      <c r="Z407" s="176"/>
      <c r="AA407" s="176"/>
      <c r="AB407" s="176"/>
      <c r="AC407" s="176"/>
      <c r="AD407" s="176"/>
      <c r="AE407" s="176"/>
      <c r="AF407" s="176"/>
      <c r="AG407" s="176"/>
      <c r="AH407" s="176"/>
      <c r="AI407" s="176"/>
      <c r="AJ407" s="176"/>
      <c r="AK407" s="176"/>
      <c r="AL407" s="176"/>
      <c r="AM407" s="176"/>
      <c r="AN407" s="176"/>
      <c r="AO407" s="176"/>
      <c r="AP407" s="176"/>
      <c r="AQ407" s="176"/>
      <c r="AR407" s="176"/>
      <c r="AS407" s="176"/>
      <c r="AT407" s="176"/>
      <c r="AU407" s="176"/>
      <c r="AV407" s="176"/>
      <c r="AW407" s="176"/>
      <c r="AX407" s="176"/>
      <c r="AY407" s="176"/>
      <c r="AZ407" s="176"/>
      <c r="BA407" s="176"/>
      <c r="BB407" s="176"/>
      <c r="BC407" s="176"/>
      <c r="BD407" s="176"/>
      <c r="BE407" s="176"/>
      <c r="BF407" s="176"/>
      <c r="BG407" s="176"/>
      <c r="BH407" s="176"/>
      <c r="BI407" s="176"/>
      <c r="BJ407" s="176"/>
    </row>
    <row r="408" spans="2:62" x14ac:dyDescent="0.3">
      <c r="B408" s="3"/>
      <c r="C408" s="2"/>
      <c r="D408" s="2"/>
      <c r="E408" s="3"/>
      <c r="O408" s="176"/>
      <c r="P408" s="176"/>
      <c r="Q408" s="176"/>
      <c r="R408" s="176"/>
      <c r="S408" s="176"/>
      <c r="T408" s="176"/>
      <c r="U408" s="176"/>
      <c r="V408" s="176"/>
      <c r="W408" s="176"/>
      <c r="X408" s="176"/>
      <c r="Y408" s="176"/>
      <c r="Z408" s="176"/>
      <c r="AA408" s="176"/>
      <c r="AB408" s="176"/>
      <c r="AC408" s="176"/>
      <c r="AD408" s="176"/>
      <c r="AE408" s="176"/>
      <c r="AF408" s="176"/>
      <c r="AG408" s="176"/>
      <c r="AH408" s="176"/>
      <c r="AI408" s="176"/>
      <c r="AJ408" s="176"/>
      <c r="AK408" s="176"/>
      <c r="AL408" s="176"/>
      <c r="AM408" s="176"/>
      <c r="AN408" s="176"/>
      <c r="AO408" s="176"/>
      <c r="AP408" s="176"/>
      <c r="AQ408" s="176"/>
      <c r="AR408" s="176"/>
      <c r="AS408" s="176"/>
      <c r="AT408" s="176"/>
      <c r="AU408" s="176"/>
      <c r="AV408" s="176"/>
      <c r="AW408" s="176"/>
      <c r="AX408" s="176"/>
      <c r="AY408" s="176"/>
      <c r="AZ408" s="176"/>
      <c r="BA408" s="176"/>
      <c r="BB408" s="176"/>
      <c r="BC408" s="176"/>
      <c r="BD408" s="176"/>
      <c r="BE408" s="176"/>
      <c r="BF408" s="176"/>
      <c r="BG408" s="176"/>
      <c r="BH408" s="176"/>
      <c r="BI408" s="176"/>
      <c r="BJ408" s="176"/>
    </row>
    <row r="409" spans="2:62" x14ac:dyDescent="0.3">
      <c r="B409" s="3"/>
      <c r="C409" s="2"/>
      <c r="D409" s="2"/>
      <c r="E409" s="3"/>
      <c r="O409" s="176"/>
      <c r="P409" s="176"/>
      <c r="Q409" s="176"/>
      <c r="R409" s="176"/>
      <c r="S409" s="176"/>
      <c r="T409" s="176"/>
      <c r="U409" s="176"/>
      <c r="V409" s="176"/>
      <c r="W409" s="176"/>
      <c r="X409" s="176"/>
      <c r="Y409" s="176"/>
      <c r="Z409" s="176"/>
      <c r="AA409" s="176"/>
      <c r="AB409" s="176"/>
      <c r="AC409" s="176"/>
      <c r="AD409" s="176"/>
      <c r="AE409" s="176"/>
      <c r="AF409" s="176"/>
      <c r="AG409" s="176"/>
      <c r="AH409" s="176"/>
      <c r="AI409" s="176"/>
      <c r="AJ409" s="176"/>
      <c r="AK409" s="176"/>
      <c r="AL409" s="176"/>
      <c r="AM409" s="176"/>
      <c r="AN409" s="176"/>
      <c r="AO409" s="176"/>
      <c r="AP409" s="176"/>
      <c r="AQ409" s="176"/>
      <c r="AR409" s="176"/>
      <c r="AS409" s="176"/>
      <c r="AT409" s="176"/>
      <c r="AU409" s="176"/>
      <c r="AV409" s="176"/>
      <c r="AW409" s="176"/>
      <c r="AX409" s="176"/>
      <c r="AY409" s="176"/>
      <c r="AZ409" s="176"/>
      <c r="BA409" s="176"/>
      <c r="BB409" s="176"/>
      <c r="BC409" s="176"/>
      <c r="BD409" s="176"/>
      <c r="BE409" s="176"/>
      <c r="BF409" s="176"/>
      <c r="BG409" s="176"/>
      <c r="BH409" s="176"/>
      <c r="BI409" s="176"/>
      <c r="BJ409" s="176"/>
    </row>
    <row r="410" spans="2:62" x14ac:dyDescent="0.3">
      <c r="B410" s="3"/>
      <c r="C410" s="2"/>
      <c r="D410" s="2"/>
      <c r="E410" s="3"/>
      <c r="O410" s="176"/>
      <c r="P410" s="176"/>
      <c r="Q410" s="176"/>
      <c r="R410" s="176"/>
      <c r="S410" s="176"/>
      <c r="T410" s="176"/>
      <c r="U410" s="176"/>
      <c r="V410" s="176"/>
      <c r="W410" s="176"/>
      <c r="X410" s="176"/>
      <c r="Y410" s="176"/>
      <c r="Z410" s="176"/>
      <c r="AA410" s="176"/>
      <c r="AB410" s="176"/>
      <c r="AC410" s="176"/>
      <c r="AD410" s="176"/>
      <c r="AE410" s="176"/>
      <c r="AF410" s="176"/>
      <c r="AG410" s="176"/>
      <c r="AH410" s="176"/>
      <c r="AI410" s="176"/>
      <c r="AJ410" s="176"/>
      <c r="AK410" s="176"/>
      <c r="AL410" s="176"/>
      <c r="AM410" s="176"/>
      <c r="AN410" s="176"/>
      <c r="AO410" s="176"/>
      <c r="AP410" s="176"/>
      <c r="AQ410" s="176"/>
      <c r="AR410" s="176"/>
      <c r="AS410" s="176"/>
      <c r="AT410" s="176"/>
      <c r="AU410" s="176"/>
      <c r="AV410" s="176"/>
      <c r="AW410" s="176"/>
      <c r="AX410" s="176"/>
      <c r="AY410" s="176"/>
      <c r="AZ410" s="176"/>
      <c r="BA410" s="176"/>
      <c r="BB410" s="176"/>
      <c r="BC410" s="176"/>
      <c r="BD410" s="176"/>
      <c r="BE410" s="176"/>
      <c r="BF410" s="176"/>
      <c r="BG410" s="176"/>
      <c r="BH410" s="176"/>
      <c r="BI410" s="176"/>
      <c r="BJ410" s="176"/>
    </row>
    <row r="411" spans="2:62" x14ac:dyDescent="0.3">
      <c r="B411" s="3"/>
      <c r="C411" s="2"/>
      <c r="D411" s="2"/>
      <c r="E411" s="3"/>
      <c r="O411" s="176"/>
      <c r="P411" s="176"/>
      <c r="Q411" s="176"/>
      <c r="R411" s="176"/>
      <c r="S411" s="176"/>
      <c r="T411" s="176"/>
      <c r="U411" s="176"/>
      <c r="V411" s="176"/>
      <c r="W411" s="176"/>
      <c r="X411" s="176"/>
      <c r="Y411" s="176"/>
      <c r="Z411" s="176"/>
      <c r="AA411" s="176"/>
      <c r="AB411" s="176"/>
      <c r="AC411" s="176"/>
      <c r="AD411" s="176"/>
      <c r="AE411" s="176"/>
      <c r="AF411" s="176"/>
      <c r="AG411" s="176"/>
      <c r="AH411" s="176"/>
      <c r="AI411" s="176"/>
      <c r="AJ411" s="176"/>
      <c r="AK411" s="176"/>
      <c r="AL411" s="176"/>
      <c r="AM411" s="176"/>
      <c r="AN411" s="176"/>
      <c r="AO411" s="176"/>
      <c r="AP411" s="176"/>
      <c r="AQ411" s="176"/>
      <c r="AR411" s="176"/>
      <c r="AS411" s="176"/>
      <c r="AT411" s="176"/>
      <c r="AU411" s="176"/>
      <c r="AV411" s="176"/>
      <c r="AW411" s="176"/>
      <c r="AX411" s="176"/>
      <c r="AY411" s="176"/>
      <c r="AZ411" s="176"/>
      <c r="BA411" s="176"/>
      <c r="BB411" s="176"/>
      <c r="BC411" s="176"/>
      <c r="BD411" s="176"/>
      <c r="BE411" s="176"/>
      <c r="BF411" s="176"/>
      <c r="BG411" s="176"/>
      <c r="BH411" s="176"/>
      <c r="BI411" s="176"/>
      <c r="BJ411" s="176"/>
    </row>
    <row r="412" spans="2:62" x14ac:dyDescent="0.3">
      <c r="B412" s="3"/>
      <c r="C412" s="2"/>
      <c r="D412" s="2"/>
      <c r="E412" s="3"/>
      <c r="O412" s="176"/>
      <c r="P412" s="176"/>
      <c r="Q412" s="176"/>
      <c r="R412" s="176"/>
      <c r="S412" s="176"/>
      <c r="T412" s="176"/>
      <c r="U412" s="176"/>
      <c r="V412" s="176"/>
      <c r="W412" s="176"/>
      <c r="X412" s="176"/>
      <c r="Y412" s="176"/>
      <c r="Z412" s="176"/>
      <c r="AA412" s="176"/>
      <c r="AB412" s="176"/>
      <c r="AC412" s="176"/>
      <c r="AD412" s="176"/>
      <c r="AE412" s="176"/>
      <c r="AF412" s="176"/>
      <c r="AG412" s="176"/>
      <c r="AH412" s="176"/>
      <c r="AI412" s="176"/>
      <c r="AJ412" s="176"/>
      <c r="AK412" s="176"/>
      <c r="AL412" s="176"/>
      <c r="AM412" s="176"/>
      <c r="AN412" s="176"/>
      <c r="AO412" s="176"/>
      <c r="AP412" s="176"/>
      <c r="AQ412" s="176"/>
      <c r="AR412" s="176"/>
      <c r="AS412" s="176"/>
      <c r="AT412" s="176"/>
      <c r="AU412" s="176"/>
      <c r="AV412" s="176"/>
      <c r="AW412" s="176"/>
      <c r="AX412" s="176"/>
      <c r="AY412" s="176"/>
      <c r="AZ412" s="176"/>
      <c r="BA412" s="176"/>
      <c r="BB412" s="176"/>
      <c r="BC412" s="176"/>
      <c r="BD412" s="176"/>
      <c r="BE412" s="176"/>
      <c r="BF412" s="176"/>
      <c r="BG412" s="176"/>
      <c r="BH412" s="176"/>
      <c r="BI412" s="176"/>
      <c r="BJ412" s="176"/>
    </row>
    <row r="413" spans="2:62" x14ac:dyDescent="0.3">
      <c r="B413" s="3"/>
      <c r="C413" s="2"/>
      <c r="D413" s="2"/>
      <c r="E413" s="3"/>
      <c r="O413" s="176"/>
      <c r="P413" s="176"/>
      <c r="Q413" s="176"/>
      <c r="R413" s="176"/>
      <c r="S413" s="176"/>
      <c r="T413" s="176"/>
      <c r="U413" s="176"/>
      <c r="V413" s="176"/>
      <c r="W413" s="176"/>
      <c r="X413" s="176"/>
      <c r="Y413" s="176"/>
      <c r="Z413" s="176"/>
      <c r="AA413" s="176"/>
      <c r="AB413" s="176"/>
      <c r="AC413" s="176"/>
      <c r="AD413" s="176"/>
      <c r="AE413" s="176"/>
      <c r="AF413" s="176"/>
      <c r="AG413" s="176"/>
      <c r="AH413" s="176"/>
      <c r="AI413" s="176"/>
      <c r="AJ413" s="176"/>
      <c r="AK413" s="176"/>
      <c r="AL413" s="176"/>
      <c r="AM413" s="176"/>
      <c r="AN413" s="176"/>
      <c r="AO413" s="176"/>
      <c r="AP413" s="176"/>
      <c r="AQ413" s="176"/>
      <c r="AR413" s="176"/>
      <c r="AS413" s="176"/>
      <c r="AT413" s="176"/>
      <c r="AU413" s="176"/>
      <c r="AV413" s="176"/>
      <c r="AW413" s="176"/>
      <c r="AX413" s="176"/>
      <c r="AY413" s="176"/>
      <c r="AZ413" s="176"/>
      <c r="BA413" s="176"/>
      <c r="BB413" s="176"/>
      <c r="BC413" s="176"/>
      <c r="BD413" s="176"/>
      <c r="BE413" s="176"/>
      <c r="BF413" s="176"/>
      <c r="BG413" s="176"/>
      <c r="BH413" s="176"/>
      <c r="BI413" s="176"/>
      <c r="BJ413" s="176"/>
    </row>
    <row r="414" spans="2:62" x14ac:dyDescent="0.3">
      <c r="B414" s="3"/>
      <c r="C414" s="2"/>
      <c r="D414" s="2"/>
      <c r="E414" s="3"/>
      <c r="O414" s="176"/>
      <c r="P414" s="176"/>
      <c r="Q414" s="176"/>
      <c r="R414" s="176"/>
      <c r="S414" s="176"/>
      <c r="T414" s="176"/>
      <c r="U414" s="176"/>
      <c r="V414" s="176"/>
      <c r="W414" s="176"/>
      <c r="X414" s="176"/>
      <c r="Y414" s="176"/>
      <c r="Z414" s="176"/>
      <c r="AA414" s="176"/>
      <c r="AB414" s="176"/>
      <c r="AC414" s="176"/>
      <c r="AD414" s="176"/>
      <c r="AE414" s="176"/>
      <c r="AF414" s="176"/>
      <c r="AG414" s="176"/>
      <c r="AH414" s="176"/>
      <c r="AI414" s="176"/>
      <c r="AJ414" s="176"/>
      <c r="AK414" s="176"/>
      <c r="AL414" s="176"/>
      <c r="AM414" s="176"/>
      <c r="AN414" s="176"/>
      <c r="AO414" s="176"/>
      <c r="AP414" s="176"/>
      <c r="AQ414" s="176"/>
      <c r="AR414" s="176"/>
      <c r="AS414" s="176"/>
      <c r="AT414" s="176"/>
      <c r="AU414" s="176"/>
      <c r="AV414" s="176"/>
      <c r="AW414" s="176"/>
      <c r="AX414" s="176"/>
      <c r="AY414" s="176"/>
      <c r="AZ414" s="176"/>
      <c r="BA414" s="176"/>
      <c r="BB414" s="176"/>
      <c r="BC414" s="176"/>
      <c r="BD414" s="176"/>
      <c r="BE414" s="176"/>
      <c r="BF414" s="176"/>
      <c r="BG414" s="176"/>
      <c r="BH414" s="176"/>
      <c r="BI414" s="176"/>
      <c r="BJ414" s="176"/>
    </row>
    <row r="415" spans="2:62" x14ac:dyDescent="0.3">
      <c r="B415" s="3"/>
      <c r="C415" s="2"/>
      <c r="D415" s="2"/>
      <c r="E415" s="3"/>
      <c r="O415" s="176"/>
      <c r="P415" s="176"/>
      <c r="Q415" s="176"/>
      <c r="R415" s="176"/>
      <c r="S415" s="176"/>
      <c r="T415" s="176"/>
      <c r="U415" s="176"/>
      <c r="V415" s="176"/>
      <c r="W415" s="176"/>
      <c r="X415" s="176"/>
      <c r="Y415" s="176"/>
      <c r="Z415" s="176"/>
      <c r="AA415" s="176"/>
      <c r="AB415" s="176"/>
      <c r="AC415" s="176"/>
      <c r="AD415" s="176"/>
      <c r="AE415" s="176"/>
      <c r="AF415" s="176"/>
      <c r="AG415" s="176"/>
      <c r="AH415" s="176"/>
      <c r="AI415" s="176"/>
      <c r="AJ415" s="176"/>
      <c r="AK415" s="176"/>
      <c r="AL415" s="176"/>
      <c r="AM415" s="176"/>
      <c r="AN415" s="176"/>
      <c r="AO415" s="176"/>
      <c r="AP415" s="176"/>
      <c r="AQ415" s="176"/>
      <c r="AR415" s="176"/>
      <c r="AS415" s="176"/>
      <c r="AT415" s="176"/>
      <c r="AU415" s="176"/>
      <c r="AV415" s="176"/>
      <c r="AW415" s="176"/>
      <c r="AX415" s="176"/>
      <c r="AY415" s="176"/>
      <c r="AZ415" s="176"/>
      <c r="BA415" s="176"/>
      <c r="BB415" s="176"/>
      <c r="BC415" s="176"/>
      <c r="BD415" s="176"/>
      <c r="BE415" s="176"/>
      <c r="BF415" s="176"/>
      <c r="BG415" s="176"/>
      <c r="BH415" s="176"/>
      <c r="BI415" s="176"/>
      <c r="BJ415" s="176"/>
    </row>
    <row r="416" spans="2:62" x14ac:dyDescent="0.3">
      <c r="B416" s="3"/>
      <c r="C416" s="2"/>
      <c r="D416" s="2"/>
      <c r="E416" s="3"/>
      <c r="O416" s="176"/>
      <c r="P416" s="176"/>
      <c r="Q416" s="176"/>
      <c r="R416" s="176"/>
      <c r="S416" s="176"/>
      <c r="T416" s="176"/>
      <c r="U416" s="176"/>
      <c r="V416" s="176"/>
      <c r="W416" s="176"/>
      <c r="X416" s="176"/>
      <c r="Y416" s="176"/>
      <c r="Z416" s="176"/>
      <c r="AA416" s="176"/>
      <c r="AB416" s="176"/>
      <c r="AC416" s="176"/>
      <c r="AD416" s="176"/>
      <c r="AE416" s="176"/>
      <c r="AF416" s="176"/>
      <c r="AG416" s="176"/>
      <c r="AH416" s="176"/>
      <c r="AI416" s="176"/>
      <c r="AJ416" s="176"/>
      <c r="AK416" s="176"/>
      <c r="AL416" s="176"/>
      <c r="AM416" s="176"/>
      <c r="AN416" s="176"/>
      <c r="AO416" s="176"/>
      <c r="AP416" s="176"/>
      <c r="AQ416" s="176"/>
      <c r="AR416" s="176"/>
      <c r="AS416" s="176"/>
      <c r="AT416" s="176"/>
      <c r="AU416" s="176"/>
      <c r="AV416" s="176"/>
      <c r="AW416" s="176"/>
      <c r="AX416" s="176"/>
      <c r="AY416" s="176"/>
      <c r="AZ416" s="176"/>
      <c r="BA416" s="176"/>
      <c r="BB416" s="176"/>
      <c r="BC416" s="176"/>
      <c r="BD416" s="176"/>
      <c r="BE416" s="176"/>
      <c r="BF416" s="176"/>
      <c r="BG416" s="176"/>
      <c r="BH416" s="176"/>
      <c r="BI416" s="176"/>
      <c r="BJ416" s="176"/>
    </row>
    <row r="417" spans="2:62" x14ac:dyDescent="0.3">
      <c r="B417" s="3"/>
      <c r="C417" s="2"/>
      <c r="D417" s="2"/>
      <c r="E417" s="3"/>
      <c r="O417" s="176"/>
      <c r="P417" s="176"/>
      <c r="Q417" s="176"/>
      <c r="R417" s="176"/>
      <c r="S417" s="176"/>
      <c r="T417" s="176"/>
      <c r="U417" s="176"/>
      <c r="V417" s="176"/>
      <c r="W417" s="176"/>
      <c r="X417" s="176"/>
      <c r="Y417" s="176"/>
      <c r="Z417" s="176"/>
      <c r="AA417" s="176"/>
      <c r="AB417" s="176"/>
      <c r="AC417" s="176"/>
      <c r="AD417" s="176"/>
      <c r="AE417" s="176"/>
      <c r="AF417" s="176"/>
      <c r="AG417" s="176"/>
      <c r="AH417" s="176"/>
      <c r="AI417" s="176"/>
      <c r="AJ417" s="176"/>
      <c r="AK417" s="176"/>
      <c r="AL417" s="176"/>
      <c r="AM417" s="176"/>
      <c r="AN417" s="176"/>
      <c r="AO417" s="176"/>
      <c r="AP417" s="176"/>
      <c r="AQ417" s="176"/>
      <c r="AR417" s="176"/>
      <c r="AS417" s="176"/>
      <c r="AT417" s="176"/>
      <c r="AU417" s="176"/>
      <c r="AV417" s="176"/>
      <c r="AW417" s="176"/>
      <c r="AX417" s="176"/>
      <c r="AY417" s="176"/>
      <c r="AZ417" s="176"/>
      <c r="BA417" s="176"/>
      <c r="BB417" s="176"/>
      <c r="BC417" s="176"/>
      <c r="BD417" s="176"/>
      <c r="BE417" s="176"/>
      <c r="BF417" s="176"/>
      <c r="BG417" s="176"/>
      <c r="BH417" s="176"/>
      <c r="BI417" s="176"/>
      <c r="BJ417" s="176"/>
    </row>
    <row r="418" spans="2:62" x14ac:dyDescent="0.3">
      <c r="B418" s="3"/>
      <c r="C418" s="2"/>
      <c r="D418" s="2"/>
      <c r="E418" s="3"/>
      <c r="O418" s="176"/>
      <c r="P418" s="176"/>
      <c r="Q418" s="176"/>
      <c r="R418" s="176"/>
      <c r="S418" s="176"/>
      <c r="T418" s="176"/>
      <c r="U418" s="176"/>
      <c r="V418" s="176"/>
      <c r="W418" s="176"/>
      <c r="X418" s="176"/>
      <c r="Y418" s="176"/>
      <c r="Z418" s="176"/>
      <c r="AA418" s="176"/>
      <c r="AB418" s="176"/>
      <c r="AC418" s="176"/>
      <c r="AD418" s="176"/>
      <c r="AE418" s="176"/>
      <c r="AF418" s="176"/>
      <c r="AG418" s="176"/>
      <c r="AH418" s="176"/>
      <c r="AI418" s="176"/>
      <c r="AJ418" s="176"/>
      <c r="AK418" s="176"/>
      <c r="AL418" s="176"/>
      <c r="AM418" s="176"/>
      <c r="AN418" s="176"/>
      <c r="AO418" s="176"/>
      <c r="AP418" s="176"/>
      <c r="AQ418" s="176"/>
      <c r="AR418" s="176"/>
      <c r="AS418" s="176"/>
      <c r="AT418" s="176"/>
      <c r="AU418" s="176"/>
      <c r="AV418" s="176"/>
      <c r="AW418" s="176"/>
      <c r="AX418" s="176"/>
      <c r="AY418" s="176"/>
      <c r="AZ418" s="176"/>
      <c r="BA418" s="176"/>
      <c r="BB418" s="176"/>
      <c r="BC418" s="176"/>
      <c r="BD418" s="176"/>
      <c r="BE418" s="176"/>
      <c r="BF418" s="176"/>
      <c r="BG418" s="176"/>
      <c r="BH418" s="176"/>
      <c r="BI418" s="176"/>
      <c r="BJ418" s="176"/>
    </row>
    <row r="419" spans="2:62" x14ac:dyDescent="0.3">
      <c r="B419" s="3"/>
      <c r="C419" s="2"/>
      <c r="D419" s="2"/>
      <c r="E419" s="3"/>
      <c r="O419" s="176"/>
      <c r="P419" s="176"/>
      <c r="Q419" s="176"/>
      <c r="R419" s="176"/>
      <c r="S419" s="176"/>
      <c r="T419" s="176"/>
      <c r="U419" s="176"/>
      <c r="V419" s="176"/>
      <c r="W419" s="176"/>
      <c r="X419" s="176"/>
      <c r="Y419" s="176"/>
      <c r="Z419" s="176"/>
      <c r="AA419" s="176"/>
      <c r="AB419" s="176"/>
      <c r="AC419" s="176"/>
      <c r="AD419" s="176"/>
      <c r="AE419" s="176"/>
      <c r="AF419" s="176"/>
      <c r="AG419" s="176"/>
      <c r="AH419" s="176"/>
      <c r="AI419" s="176"/>
      <c r="AJ419" s="176"/>
      <c r="AK419" s="176"/>
      <c r="AL419" s="176"/>
      <c r="AM419" s="176"/>
      <c r="AN419" s="176"/>
      <c r="AO419" s="176"/>
      <c r="AP419" s="176"/>
      <c r="AQ419" s="176"/>
      <c r="AR419" s="176"/>
      <c r="AS419" s="176"/>
      <c r="AT419" s="176"/>
      <c r="AU419" s="176"/>
      <c r="AV419" s="176"/>
      <c r="AW419" s="176"/>
      <c r="AX419" s="176"/>
      <c r="AY419" s="176"/>
      <c r="AZ419" s="176"/>
      <c r="BA419" s="176"/>
      <c r="BB419" s="176"/>
      <c r="BC419" s="176"/>
      <c r="BD419" s="176"/>
      <c r="BE419" s="176"/>
      <c r="BF419" s="176"/>
      <c r="BG419" s="176"/>
      <c r="BH419" s="176"/>
      <c r="BI419" s="176"/>
      <c r="BJ419" s="176"/>
    </row>
    <row r="420" spans="2:62" x14ac:dyDescent="0.3">
      <c r="B420" s="3"/>
      <c r="C420" s="2"/>
      <c r="D420" s="2"/>
      <c r="E420" s="3"/>
      <c r="O420" s="176"/>
      <c r="P420" s="176"/>
      <c r="Q420" s="176"/>
      <c r="R420" s="176"/>
      <c r="S420" s="176"/>
      <c r="T420" s="176"/>
      <c r="U420" s="176"/>
      <c r="V420" s="176"/>
      <c r="W420" s="176"/>
      <c r="X420" s="176"/>
      <c r="Y420" s="176"/>
      <c r="Z420" s="176"/>
      <c r="AA420" s="176"/>
      <c r="AB420" s="176"/>
      <c r="AC420" s="176"/>
      <c r="AD420" s="176"/>
      <c r="AE420" s="176"/>
      <c r="AF420" s="176"/>
      <c r="AG420" s="176"/>
      <c r="AH420" s="176"/>
      <c r="AI420" s="176"/>
      <c r="AJ420" s="176"/>
      <c r="AK420" s="176"/>
      <c r="AL420" s="176"/>
      <c r="AM420" s="176"/>
      <c r="AN420" s="176"/>
      <c r="AO420" s="176"/>
      <c r="AP420" s="176"/>
      <c r="AQ420" s="176"/>
      <c r="AR420" s="176"/>
      <c r="AS420" s="176"/>
      <c r="AT420" s="176"/>
      <c r="AU420" s="176"/>
      <c r="AV420" s="176"/>
      <c r="AW420" s="176"/>
      <c r="AX420" s="176"/>
      <c r="AY420" s="176"/>
      <c r="AZ420" s="176"/>
      <c r="BA420" s="176"/>
      <c r="BB420" s="176"/>
      <c r="BC420" s="176"/>
      <c r="BD420" s="176"/>
      <c r="BE420" s="176"/>
      <c r="BF420" s="176"/>
      <c r="BG420" s="176"/>
      <c r="BH420" s="176"/>
      <c r="BI420" s="176"/>
      <c r="BJ420" s="176"/>
    </row>
    <row r="421" spans="2:62" x14ac:dyDescent="0.3">
      <c r="B421" s="3"/>
      <c r="C421" s="2"/>
      <c r="D421" s="2"/>
      <c r="E421" s="3"/>
      <c r="O421" s="176"/>
      <c r="P421" s="176"/>
      <c r="Q421" s="176"/>
      <c r="R421" s="176"/>
      <c r="S421" s="176"/>
      <c r="T421" s="176"/>
      <c r="U421" s="176"/>
      <c r="V421" s="176"/>
      <c r="W421" s="176"/>
      <c r="X421" s="176"/>
      <c r="Y421" s="176"/>
      <c r="Z421" s="176"/>
      <c r="AA421" s="176"/>
      <c r="AB421" s="176"/>
      <c r="AC421" s="176"/>
      <c r="AD421" s="176"/>
      <c r="AE421" s="176"/>
      <c r="AF421" s="176"/>
      <c r="AG421" s="176"/>
      <c r="AH421" s="176"/>
      <c r="AI421" s="176"/>
      <c r="AJ421" s="176"/>
      <c r="AK421" s="176"/>
      <c r="AL421" s="176"/>
      <c r="AM421" s="176"/>
      <c r="AN421" s="176"/>
      <c r="AO421" s="176"/>
      <c r="AP421" s="176"/>
      <c r="AQ421" s="176"/>
      <c r="AR421" s="176"/>
      <c r="AS421" s="176"/>
      <c r="AT421" s="176"/>
      <c r="AU421" s="176"/>
      <c r="AV421" s="176"/>
      <c r="AW421" s="176"/>
      <c r="AX421" s="176"/>
      <c r="AY421" s="176"/>
      <c r="AZ421" s="176"/>
      <c r="BA421" s="176"/>
      <c r="BB421" s="176"/>
      <c r="BC421" s="176"/>
      <c r="BD421" s="176"/>
      <c r="BE421" s="176"/>
      <c r="BF421" s="176"/>
      <c r="BG421" s="176"/>
      <c r="BH421" s="176"/>
      <c r="BI421" s="176"/>
      <c r="BJ421" s="176"/>
    </row>
    <row r="422" spans="2:62" x14ac:dyDescent="0.3">
      <c r="B422" s="3"/>
      <c r="C422" s="2"/>
      <c r="D422" s="2"/>
      <c r="E422" s="3"/>
      <c r="O422" s="176"/>
      <c r="P422" s="176"/>
      <c r="Q422" s="176"/>
      <c r="R422" s="176"/>
      <c r="S422" s="176"/>
      <c r="T422" s="176"/>
      <c r="U422" s="176"/>
      <c r="V422" s="176"/>
      <c r="W422" s="176"/>
      <c r="X422" s="176"/>
      <c r="Y422" s="176"/>
      <c r="Z422" s="176"/>
      <c r="AA422" s="176"/>
      <c r="AB422" s="176"/>
      <c r="AC422" s="176"/>
      <c r="AD422" s="176"/>
      <c r="AE422" s="176"/>
      <c r="AF422" s="176"/>
      <c r="AG422" s="176"/>
      <c r="AH422" s="176"/>
      <c r="AI422" s="176"/>
      <c r="AJ422" s="176"/>
      <c r="AK422" s="176"/>
      <c r="AL422" s="176"/>
      <c r="AM422" s="176"/>
      <c r="AN422" s="176"/>
      <c r="AO422" s="176"/>
      <c r="AP422" s="176"/>
      <c r="AQ422" s="176"/>
      <c r="AR422" s="176"/>
      <c r="AS422" s="176"/>
      <c r="AT422" s="176"/>
      <c r="AU422" s="176"/>
      <c r="AV422" s="176"/>
      <c r="AW422" s="176"/>
      <c r="AX422" s="176"/>
      <c r="AY422" s="176"/>
      <c r="AZ422" s="176"/>
      <c r="BA422" s="176"/>
      <c r="BB422" s="176"/>
      <c r="BC422" s="176"/>
      <c r="BD422" s="176"/>
      <c r="BE422" s="176"/>
      <c r="BF422" s="176"/>
      <c r="BG422" s="176"/>
      <c r="BH422" s="176"/>
      <c r="BI422" s="176"/>
      <c r="BJ422" s="176"/>
    </row>
    <row r="423" spans="2:62" x14ac:dyDescent="0.3">
      <c r="B423" s="3"/>
      <c r="C423" s="2"/>
      <c r="D423" s="2"/>
      <c r="E423" s="3"/>
      <c r="O423" s="176"/>
      <c r="P423" s="176"/>
      <c r="Q423" s="176"/>
      <c r="R423" s="176"/>
      <c r="S423" s="176"/>
      <c r="T423" s="176"/>
      <c r="U423" s="176"/>
      <c r="V423" s="176"/>
      <c r="W423" s="176"/>
      <c r="X423" s="176"/>
      <c r="Y423" s="176"/>
      <c r="Z423" s="176"/>
      <c r="AA423" s="176"/>
      <c r="AB423" s="176"/>
      <c r="AC423" s="176"/>
      <c r="AD423" s="176"/>
      <c r="AE423" s="176"/>
      <c r="AF423" s="176"/>
      <c r="AG423" s="176"/>
      <c r="AH423" s="176"/>
      <c r="AI423" s="176"/>
      <c r="AJ423" s="176"/>
      <c r="AK423" s="176"/>
      <c r="AL423" s="176"/>
      <c r="AM423" s="176"/>
      <c r="AN423" s="176"/>
      <c r="AO423" s="176"/>
      <c r="AP423" s="176"/>
      <c r="AQ423" s="176"/>
      <c r="AR423" s="176"/>
      <c r="AS423" s="176"/>
      <c r="AT423" s="176"/>
      <c r="AU423" s="176"/>
      <c r="AV423" s="176"/>
      <c r="AW423" s="176"/>
      <c r="AX423" s="176"/>
      <c r="AY423" s="176"/>
      <c r="AZ423" s="176"/>
      <c r="BA423" s="176"/>
      <c r="BB423" s="176"/>
      <c r="BC423" s="176"/>
      <c r="BD423" s="176"/>
      <c r="BE423" s="176"/>
      <c r="BF423" s="176"/>
      <c r="BG423" s="176"/>
      <c r="BH423" s="176"/>
      <c r="BI423" s="176"/>
      <c r="BJ423" s="176"/>
    </row>
    <row r="424" spans="2:62" x14ac:dyDescent="0.3">
      <c r="B424" s="3"/>
      <c r="C424" s="2"/>
      <c r="D424" s="2"/>
      <c r="E424" s="3"/>
      <c r="O424" s="176"/>
      <c r="P424" s="176"/>
      <c r="Q424" s="176"/>
      <c r="R424" s="176"/>
      <c r="S424" s="176"/>
      <c r="T424" s="176"/>
      <c r="U424" s="176"/>
      <c r="V424" s="176"/>
      <c r="W424" s="176"/>
      <c r="X424" s="176"/>
      <c r="Y424" s="176"/>
      <c r="Z424" s="176"/>
      <c r="AA424" s="176"/>
      <c r="AB424" s="176"/>
      <c r="AC424" s="176"/>
      <c r="AD424" s="176"/>
      <c r="AE424" s="176"/>
      <c r="AF424" s="176"/>
      <c r="AG424" s="176"/>
      <c r="AH424" s="176"/>
      <c r="AI424" s="176"/>
      <c r="AJ424" s="176"/>
      <c r="AK424" s="176"/>
      <c r="AL424" s="176"/>
      <c r="AM424" s="176"/>
      <c r="AN424" s="176"/>
      <c r="AO424" s="176"/>
      <c r="AP424" s="176"/>
      <c r="AQ424" s="176"/>
      <c r="AR424" s="176"/>
      <c r="AS424" s="176"/>
      <c r="AT424" s="176"/>
      <c r="AU424" s="176"/>
      <c r="AV424" s="176"/>
      <c r="AW424" s="176"/>
      <c r="AX424" s="176"/>
      <c r="AY424" s="176"/>
      <c r="AZ424" s="176"/>
      <c r="BA424" s="176"/>
      <c r="BB424" s="176"/>
      <c r="BC424" s="176"/>
      <c r="BD424" s="176"/>
      <c r="BE424" s="176"/>
      <c r="BF424" s="176"/>
      <c r="BG424" s="176"/>
      <c r="BH424" s="176"/>
      <c r="BI424" s="176"/>
      <c r="BJ424" s="176"/>
    </row>
    <row r="425" spans="2:62" x14ac:dyDescent="0.3">
      <c r="B425" s="3"/>
      <c r="C425" s="2"/>
      <c r="D425" s="2"/>
      <c r="E425" s="3"/>
      <c r="O425" s="176"/>
      <c r="P425" s="176"/>
      <c r="Q425" s="176"/>
      <c r="R425" s="176"/>
      <c r="S425" s="176"/>
      <c r="T425" s="176"/>
      <c r="U425" s="176"/>
      <c r="V425" s="176"/>
      <c r="W425" s="176"/>
      <c r="X425" s="176"/>
      <c r="Y425" s="176"/>
      <c r="Z425" s="176"/>
      <c r="AA425" s="176"/>
      <c r="AB425" s="176"/>
      <c r="AC425" s="176"/>
      <c r="AD425" s="176"/>
      <c r="AE425" s="176"/>
      <c r="AF425" s="176"/>
      <c r="AG425" s="176"/>
      <c r="AH425" s="176"/>
      <c r="AI425" s="176"/>
      <c r="AJ425" s="176"/>
      <c r="AK425" s="176"/>
      <c r="AL425" s="176"/>
      <c r="AM425" s="176"/>
      <c r="AN425" s="176"/>
      <c r="AO425" s="176"/>
      <c r="AP425" s="176"/>
      <c r="AQ425" s="176"/>
      <c r="AR425" s="176"/>
      <c r="AS425" s="176"/>
      <c r="AT425" s="176"/>
      <c r="AU425" s="176"/>
      <c r="AV425" s="176"/>
      <c r="AW425" s="176"/>
      <c r="AX425" s="176"/>
      <c r="AY425" s="176"/>
      <c r="AZ425" s="176"/>
      <c r="BA425" s="176"/>
      <c r="BB425" s="176"/>
      <c r="BC425" s="176"/>
      <c r="BD425" s="176"/>
      <c r="BE425" s="176"/>
      <c r="BF425" s="176"/>
      <c r="BG425" s="176"/>
      <c r="BH425" s="176"/>
      <c r="BI425" s="176"/>
      <c r="BJ425" s="176"/>
    </row>
    <row r="426" spans="2:62" x14ac:dyDescent="0.3">
      <c r="B426" s="3"/>
      <c r="C426" s="2"/>
      <c r="D426" s="2"/>
      <c r="E426" s="3"/>
      <c r="O426" s="176"/>
      <c r="P426" s="176"/>
      <c r="Q426" s="176"/>
      <c r="R426" s="176"/>
      <c r="S426" s="176"/>
      <c r="T426" s="176"/>
      <c r="U426" s="176"/>
      <c r="V426" s="176"/>
      <c r="W426" s="176"/>
      <c r="X426" s="176"/>
      <c r="Y426" s="176"/>
      <c r="Z426" s="176"/>
      <c r="AA426" s="176"/>
      <c r="AB426" s="176"/>
      <c r="AC426" s="176"/>
      <c r="AD426" s="176"/>
      <c r="AE426" s="176"/>
      <c r="AF426" s="176"/>
      <c r="AG426" s="176"/>
      <c r="AH426" s="176"/>
      <c r="AI426" s="176"/>
      <c r="AJ426" s="176"/>
      <c r="AK426" s="176"/>
      <c r="AL426" s="176"/>
      <c r="AM426" s="176"/>
      <c r="AN426" s="176"/>
      <c r="AO426" s="176"/>
      <c r="AP426" s="176"/>
      <c r="AQ426" s="176"/>
      <c r="AR426" s="176"/>
      <c r="AS426" s="176"/>
      <c r="AT426" s="176"/>
      <c r="AU426" s="176"/>
      <c r="AV426" s="176"/>
      <c r="AW426" s="176"/>
      <c r="AX426" s="176"/>
      <c r="AY426" s="176"/>
      <c r="AZ426" s="176"/>
      <c r="BA426" s="176"/>
      <c r="BB426" s="176"/>
      <c r="BC426" s="176"/>
      <c r="BD426" s="176"/>
      <c r="BE426" s="176"/>
      <c r="BF426" s="176"/>
      <c r="BG426" s="176"/>
      <c r="BH426" s="176"/>
      <c r="BI426" s="176"/>
      <c r="BJ426" s="176"/>
    </row>
    <row r="427" spans="2:62" x14ac:dyDescent="0.3">
      <c r="B427" s="3"/>
      <c r="C427" s="2"/>
      <c r="D427" s="2"/>
      <c r="E427" s="3"/>
      <c r="O427" s="176"/>
      <c r="P427" s="176"/>
      <c r="Q427" s="176"/>
      <c r="R427" s="176"/>
      <c r="S427" s="176"/>
      <c r="T427" s="176"/>
      <c r="U427" s="176"/>
      <c r="V427" s="176"/>
      <c r="W427" s="176"/>
      <c r="X427" s="176"/>
      <c r="Y427" s="176"/>
      <c r="Z427" s="176"/>
      <c r="AA427" s="176"/>
      <c r="AB427" s="176"/>
      <c r="AC427" s="176"/>
      <c r="AD427" s="176"/>
      <c r="AE427" s="176"/>
      <c r="AF427" s="176"/>
      <c r="AG427" s="176"/>
      <c r="AH427" s="176"/>
      <c r="AI427" s="176"/>
      <c r="AJ427" s="176"/>
      <c r="AK427" s="176"/>
      <c r="AL427" s="176"/>
      <c r="AM427" s="176"/>
      <c r="AN427" s="176"/>
      <c r="AO427" s="176"/>
      <c r="AP427" s="176"/>
      <c r="AQ427" s="176"/>
      <c r="AR427" s="176"/>
      <c r="AS427" s="176"/>
      <c r="AT427" s="176"/>
      <c r="AU427" s="176"/>
      <c r="AV427" s="176"/>
      <c r="AW427" s="176"/>
      <c r="AX427" s="176"/>
      <c r="AY427" s="176"/>
      <c r="AZ427" s="176"/>
      <c r="BA427" s="176"/>
      <c r="BB427" s="176"/>
      <c r="BC427" s="176"/>
      <c r="BD427" s="176"/>
      <c r="BE427" s="176"/>
      <c r="BF427" s="176"/>
      <c r="BG427" s="176"/>
      <c r="BH427" s="176"/>
      <c r="BI427" s="176"/>
      <c r="BJ427" s="176"/>
    </row>
    <row r="428" spans="2:62" x14ac:dyDescent="0.3">
      <c r="B428" s="3"/>
      <c r="C428" s="2"/>
      <c r="D428" s="2"/>
      <c r="E428" s="3"/>
      <c r="O428" s="176"/>
      <c r="P428" s="176"/>
      <c r="Q428" s="176"/>
      <c r="R428" s="176"/>
      <c r="S428" s="176"/>
      <c r="T428" s="176"/>
      <c r="U428" s="176"/>
      <c r="V428" s="176"/>
      <c r="W428" s="176"/>
      <c r="X428" s="176"/>
      <c r="Y428" s="176"/>
      <c r="Z428" s="176"/>
      <c r="AA428" s="176"/>
      <c r="AB428" s="176"/>
      <c r="AC428" s="176"/>
      <c r="AD428" s="176"/>
      <c r="AE428" s="176"/>
      <c r="AF428" s="176"/>
      <c r="AG428" s="176"/>
      <c r="AH428" s="176"/>
      <c r="AI428" s="176"/>
      <c r="AJ428" s="176"/>
      <c r="AK428" s="176"/>
      <c r="AL428" s="176"/>
      <c r="AM428" s="176"/>
      <c r="AN428" s="176"/>
      <c r="AO428" s="176"/>
      <c r="AP428" s="176"/>
      <c r="AQ428" s="176"/>
      <c r="AR428" s="176"/>
      <c r="AS428" s="176"/>
      <c r="AT428" s="176"/>
      <c r="AU428" s="176"/>
      <c r="AV428" s="176"/>
      <c r="AW428" s="176"/>
      <c r="AX428" s="176"/>
      <c r="AY428" s="176"/>
      <c r="AZ428" s="176"/>
      <c r="BA428" s="176"/>
      <c r="BB428" s="176"/>
      <c r="BC428" s="176"/>
      <c r="BD428" s="176"/>
      <c r="BE428" s="176"/>
      <c r="BF428" s="176"/>
      <c r="BG428" s="176"/>
      <c r="BH428" s="176"/>
      <c r="BI428" s="176"/>
      <c r="BJ428" s="176"/>
    </row>
    <row r="429" spans="2:62" x14ac:dyDescent="0.3">
      <c r="B429" s="3"/>
      <c r="C429" s="2"/>
      <c r="D429" s="2"/>
      <c r="E429" s="3"/>
      <c r="O429" s="176"/>
      <c r="P429" s="176"/>
      <c r="Q429" s="176"/>
      <c r="R429" s="176"/>
      <c r="S429" s="176"/>
      <c r="T429" s="176"/>
      <c r="U429" s="176"/>
      <c r="V429" s="176"/>
      <c r="W429" s="176"/>
      <c r="X429" s="176"/>
      <c r="Y429" s="176"/>
      <c r="Z429" s="176"/>
      <c r="AA429" s="176"/>
      <c r="AB429" s="176"/>
      <c r="AC429" s="176"/>
      <c r="AD429" s="176"/>
      <c r="AE429" s="176"/>
      <c r="AF429" s="176"/>
      <c r="AG429" s="176"/>
      <c r="AH429" s="176"/>
      <c r="AI429" s="176"/>
      <c r="AJ429" s="176"/>
      <c r="AK429" s="176"/>
      <c r="AL429" s="176"/>
      <c r="AM429" s="176"/>
      <c r="AN429" s="176"/>
      <c r="AO429" s="176"/>
      <c r="AP429" s="176"/>
      <c r="AQ429" s="176"/>
      <c r="AR429" s="176"/>
      <c r="AS429" s="176"/>
      <c r="AT429" s="176"/>
      <c r="AU429" s="176"/>
      <c r="AV429" s="176"/>
      <c r="AW429" s="176"/>
      <c r="AX429" s="176"/>
      <c r="AY429" s="176"/>
      <c r="AZ429" s="176"/>
      <c r="BA429" s="176"/>
      <c r="BB429" s="176"/>
      <c r="BC429" s="176"/>
      <c r="BD429" s="176"/>
      <c r="BE429" s="176"/>
      <c r="BF429" s="176"/>
      <c r="BG429" s="176"/>
      <c r="BH429" s="176"/>
      <c r="BI429" s="176"/>
      <c r="BJ429" s="176"/>
    </row>
    <row r="430" spans="2:62" x14ac:dyDescent="0.3">
      <c r="B430" s="3"/>
      <c r="C430" s="2"/>
      <c r="D430" s="2"/>
      <c r="E430" s="3"/>
      <c r="O430" s="176"/>
      <c r="P430" s="176"/>
      <c r="Q430" s="176"/>
      <c r="R430" s="176"/>
      <c r="S430" s="176"/>
      <c r="T430" s="176"/>
      <c r="U430" s="176"/>
      <c r="V430" s="176"/>
      <c r="W430" s="176"/>
      <c r="X430" s="176"/>
      <c r="Y430" s="176"/>
      <c r="Z430" s="176"/>
      <c r="AA430" s="176"/>
      <c r="AB430" s="176"/>
      <c r="AC430" s="176"/>
      <c r="AD430" s="176"/>
      <c r="AE430" s="176"/>
      <c r="AF430" s="176"/>
      <c r="AG430" s="176"/>
      <c r="AH430" s="176"/>
      <c r="AI430" s="176"/>
      <c r="AJ430" s="176"/>
      <c r="AK430" s="176"/>
      <c r="AL430" s="176"/>
      <c r="AM430" s="176"/>
      <c r="AN430" s="176"/>
      <c r="AO430" s="176"/>
      <c r="AP430" s="176"/>
      <c r="AQ430" s="176"/>
      <c r="AR430" s="176"/>
      <c r="AS430" s="176"/>
      <c r="AT430" s="176"/>
      <c r="AU430" s="176"/>
      <c r="AV430" s="176"/>
      <c r="AW430" s="176"/>
      <c r="AX430" s="176"/>
      <c r="AY430" s="176"/>
      <c r="AZ430" s="176"/>
      <c r="BA430" s="176"/>
      <c r="BB430" s="176"/>
      <c r="BC430" s="176"/>
      <c r="BD430" s="176"/>
      <c r="BE430" s="176"/>
      <c r="BF430" s="176"/>
      <c r="BG430" s="176"/>
      <c r="BH430" s="176"/>
      <c r="BI430" s="176"/>
      <c r="BJ430" s="176"/>
    </row>
    <row r="431" spans="2:62" x14ac:dyDescent="0.3">
      <c r="B431" s="3"/>
      <c r="C431" s="2"/>
      <c r="D431" s="2"/>
      <c r="E431" s="3"/>
      <c r="O431" s="176"/>
      <c r="P431" s="176"/>
      <c r="Q431" s="176"/>
      <c r="R431" s="176"/>
      <c r="S431" s="176"/>
      <c r="T431" s="176"/>
      <c r="U431" s="176"/>
      <c r="V431" s="176"/>
      <c r="W431" s="176"/>
      <c r="X431" s="176"/>
      <c r="Y431" s="176"/>
      <c r="Z431" s="176"/>
      <c r="AA431" s="176"/>
      <c r="AB431" s="176"/>
      <c r="AC431" s="176"/>
      <c r="AD431" s="176"/>
      <c r="AE431" s="176"/>
      <c r="AF431" s="176"/>
      <c r="AG431" s="176"/>
      <c r="AH431" s="176"/>
      <c r="AI431" s="176"/>
      <c r="AJ431" s="176"/>
      <c r="AK431" s="176"/>
      <c r="AL431" s="176"/>
      <c r="AM431" s="176"/>
      <c r="AN431" s="176"/>
      <c r="AO431" s="176"/>
      <c r="AP431" s="176"/>
      <c r="AQ431" s="176"/>
      <c r="AR431" s="176"/>
      <c r="AS431" s="176"/>
      <c r="AT431" s="176"/>
      <c r="AU431" s="176"/>
      <c r="AV431" s="176"/>
      <c r="AW431" s="176"/>
      <c r="AX431" s="176"/>
      <c r="AY431" s="176"/>
      <c r="AZ431" s="176"/>
      <c r="BA431" s="176"/>
      <c r="BB431" s="176"/>
      <c r="BC431" s="176"/>
      <c r="BD431" s="176"/>
      <c r="BE431" s="176"/>
      <c r="BF431" s="176"/>
      <c r="BG431" s="176"/>
      <c r="BH431" s="176"/>
      <c r="BI431" s="176"/>
      <c r="BJ431" s="176"/>
    </row>
    <row r="432" spans="2:62" x14ac:dyDescent="0.3">
      <c r="B432" s="3"/>
      <c r="C432" s="2"/>
      <c r="D432" s="2"/>
      <c r="E432" s="3"/>
      <c r="O432" s="176"/>
      <c r="P432" s="176"/>
      <c r="Q432" s="176"/>
      <c r="R432" s="176"/>
      <c r="S432" s="176"/>
      <c r="T432" s="176"/>
      <c r="U432" s="176"/>
      <c r="V432" s="176"/>
      <c r="W432" s="176"/>
      <c r="X432" s="176"/>
      <c r="Y432" s="176"/>
      <c r="Z432" s="176"/>
      <c r="AA432" s="176"/>
      <c r="AB432" s="176"/>
      <c r="AC432" s="176"/>
      <c r="AD432" s="176"/>
      <c r="AE432" s="176"/>
      <c r="AF432" s="176"/>
      <c r="AG432" s="176"/>
      <c r="AH432" s="176"/>
      <c r="AI432" s="176"/>
      <c r="AJ432" s="176"/>
      <c r="AK432" s="176"/>
      <c r="AL432" s="176"/>
      <c r="AM432" s="176"/>
      <c r="AN432" s="176"/>
      <c r="AO432" s="176"/>
      <c r="AP432" s="176"/>
      <c r="AQ432" s="176"/>
      <c r="AR432" s="176"/>
      <c r="AS432" s="176"/>
      <c r="AT432" s="176"/>
      <c r="AU432" s="176"/>
      <c r="AV432" s="176"/>
      <c r="AW432" s="176"/>
      <c r="AX432" s="176"/>
      <c r="AY432" s="176"/>
      <c r="AZ432" s="176"/>
      <c r="BA432" s="176"/>
      <c r="BB432" s="176"/>
      <c r="BC432" s="176"/>
      <c r="BD432" s="176"/>
      <c r="BE432" s="176"/>
      <c r="BF432" s="176"/>
      <c r="BG432" s="176"/>
      <c r="BH432" s="176"/>
      <c r="BI432" s="176"/>
      <c r="BJ432" s="176"/>
    </row>
    <row r="433" spans="2:62" x14ac:dyDescent="0.3">
      <c r="B433" s="3"/>
      <c r="C433" s="2"/>
      <c r="D433" s="2"/>
      <c r="E433" s="3"/>
      <c r="O433" s="176"/>
      <c r="P433" s="176"/>
      <c r="Q433" s="176"/>
      <c r="R433" s="176"/>
      <c r="S433" s="176"/>
      <c r="T433" s="176"/>
      <c r="U433" s="176"/>
      <c r="V433" s="176"/>
      <c r="W433" s="176"/>
      <c r="X433" s="176"/>
      <c r="Y433" s="176"/>
      <c r="Z433" s="176"/>
      <c r="AA433" s="176"/>
      <c r="AB433" s="176"/>
      <c r="AC433" s="176"/>
      <c r="AD433" s="176"/>
      <c r="AE433" s="176"/>
      <c r="AF433" s="176"/>
      <c r="AG433" s="176"/>
      <c r="AH433" s="176"/>
      <c r="AI433" s="176"/>
      <c r="AJ433" s="176"/>
      <c r="AK433" s="176"/>
      <c r="AL433" s="176"/>
      <c r="AM433" s="176"/>
      <c r="AN433" s="176"/>
      <c r="AO433" s="176"/>
      <c r="AP433" s="176"/>
      <c r="AQ433" s="176"/>
      <c r="AR433" s="176"/>
      <c r="AS433" s="176"/>
      <c r="AT433" s="176"/>
      <c r="AU433" s="176"/>
      <c r="AV433" s="176"/>
      <c r="AW433" s="176"/>
      <c r="AX433" s="176"/>
      <c r="AY433" s="176"/>
      <c r="AZ433" s="176"/>
      <c r="BA433" s="176"/>
      <c r="BB433" s="176"/>
      <c r="BC433" s="176"/>
      <c r="BD433" s="176"/>
      <c r="BE433" s="176"/>
      <c r="BF433" s="176"/>
      <c r="BG433" s="176"/>
      <c r="BH433" s="176"/>
      <c r="BI433" s="176"/>
      <c r="BJ433" s="176"/>
    </row>
    <row r="434" spans="2:62" x14ac:dyDescent="0.3">
      <c r="B434" s="3"/>
      <c r="C434" s="2"/>
      <c r="D434" s="2"/>
      <c r="E434" s="3"/>
      <c r="O434" s="176"/>
      <c r="P434" s="176"/>
      <c r="Q434" s="176"/>
      <c r="R434" s="176"/>
      <c r="S434" s="176"/>
      <c r="T434" s="176"/>
      <c r="U434" s="176"/>
      <c r="V434" s="176"/>
      <c r="W434" s="176"/>
      <c r="X434" s="176"/>
      <c r="Y434" s="176"/>
      <c r="Z434" s="176"/>
      <c r="AA434" s="176"/>
      <c r="AB434" s="176"/>
      <c r="AC434" s="176"/>
      <c r="AD434" s="176"/>
      <c r="AE434" s="176"/>
      <c r="AF434" s="176"/>
      <c r="AG434" s="176"/>
      <c r="AH434" s="176"/>
      <c r="AI434" s="176"/>
      <c r="AJ434" s="176"/>
      <c r="AK434" s="176"/>
      <c r="AL434" s="176"/>
      <c r="AM434" s="176"/>
      <c r="AN434" s="176"/>
      <c r="AO434" s="176"/>
      <c r="AP434" s="176"/>
      <c r="AQ434" s="176"/>
      <c r="AR434" s="176"/>
      <c r="AS434" s="176"/>
      <c r="AT434" s="176"/>
      <c r="AU434" s="176"/>
      <c r="AV434" s="176"/>
      <c r="AW434" s="176"/>
      <c r="AX434" s="176"/>
      <c r="AY434" s="176"/>
      <c r="AZ434" s="176"/>
      <c r="BA434" s="176"/>
      <c r="BB434" s="176"/>
      <c r="BC434" s="176"/>
      <c r="BD434" s="176"/>
      <c r="BE434" s="176"/>
      <c r="BF434" s="176"/>
      <c r="BG434" s="176"/>
      <c r="BH434" s="176"/>
      <c r="BI434" s="176"/>
      <c r="BJ434" s="176"/>
    </row>
    <row r="435" spans="2:62" x14ac:dyDescent="0.3">
      <c r="B435" s="3"/>
      <c r="C435" s="2"/>
      <c r="D435" s="2"/>
      <c r="E435" s="3"/>
      <c r="O435" s="176"/>
      <c r="P435" s="176"/>
      <c r="Q435" s="176"/>
      <c r="R435" s="176"/>
      <c r="S435" s="176"/>
      <c r="T435" s="176"/>
      <c r="U435" s="176"/>
      <c r="V435" s="176"/>
      <c r="W435" s="176"/>
      <c r="X435" s="176"/>
      <c r="Y435" s="176"/>
      <c r="Z435" s="176"/>
      <c r="AA435" s="176"/>
      <c r="AB435" s="176"/>
      <c r="AC435" s="176"/>
      <c r="AD435" s="176"/>
      <c r="AE435" s="176"/>
      <c r="AF435" s="176"/>
      <c r="AG435" s="176"/>
      <c r="AH435" s="176"/>
      <c r="AI435" s="176"/>
      <c r="AJ435" s="176"/>
      <c r="AK435" s="176"/>
      <c r="AL435" s="176"/>
      <c r="AM435" s="176"/>
      <c r="AN435" s="176"/>
      <c r="AO435" s="176"/>
      <c r="AP435" s="176"/>
      <c r="AQ435" s="176"/>
      <c r="AR435" s="176"/>
      <c r="AS435" s="176"/>
      <c r="AT435" s="176"/>
      <c r="AU435" s="176"/>
      <c r="AV435" s="176"/>
      <c r="AW435" s="176"/>
      <c r="AX435" s="176"/>
      <c r="AY435" s="176"/>
      <c r="AZ435" s="176"/>
      <c r="BA435" s="176"/>
      <c r="BB435" s="176"/>
      <c r="BC435" s="176"/>
      <c r="BD435" s="176"/>
      <c r="BE435" s="176"/>
      <c r="BF435" s="176"/>
      <c r="BG435" s="176"/>
      <c r="BH435" s="176"/>
      <c r="BI435" s="176"/>
      <c r="BJ435" s="176"/>
    </row>
    <row r="436" spans="2:62" x14ac:dyDescent="0.3">
      <c r="B436" s="3"/>
      <c r="C436" s="2"/>
      <c r="D436" s="2"/>
      <c r="E436" s="3"/>
      <c r="O436" s="176"/>
      <c r="P436" s="176"/>
      <c r="Q436" s="176"/>
      <c r="R436" s="176"/>
      <c r="S436" s="176"/>
      <c r="T436" s="176"/>
      <c r="U436" s="176"/>
      <c r="V436" s="176"/>
      <c r="W436" s="176"/>
      <c r="X436" s="176"/>
      <c r="Y436" s="176"/>
      <c r="Z436" s="176"/>
      <c r="AA436" s="176"/>
      <c r="AB436" s="176"/>
      <c r="AC436" s="176"/>
      <c r="AD436" s="176"/>
      <c r="AE436" s="176"/>
      <c r="AF436" s="176"/>
      <c r="AG436" s="176"/>
      <c r="AH436" s="176"/>
      <c r="AI436" s="176"/>
      <c r="AJ436" s="176"/>
      <c r="AK436" s="176"/>
      <c r="AL436" s="176"/>
      <c r="AM436" s="176"/>
      <c r="AN436" s="176"/>
      <c r="AO436" s="176"/>
      <c r="AP436" s="176"/>
      <c r="AQ436" s="176"/>
      <c r="AR436" s="176"/>
      <c r="AS436" s="176"/>
      <c r="AT436" s="176"/>
      <c r="AU436" s="176"/>
      <c r="AV436" s="176"/>
      <c r="AW436" s="176"/>
      <c r="AX436" s="176"/>
      <c r="AY436" s="176"/>
      <c r="AZ436" s="176"/>
      <c r="BA436" s="176"/>
      <c r="BB436" s="176"/>
      <c r="BC436" s="176"/>
      <c r="BD436" s="176"/>
      <c r="BE436" s="176"/>
      <c r="BF436" s="176"/>
      <c r="BG436" s="176"/>
      <c r="BH436" s="176"/>
      <c r="BI436" s="176"/>
      <c r="BJ436" s="176"/>
    </row>
    <row r="437" spans="2:62" x14ac:dyDescent="0.3">
      <c r="B437" s="3"/>
      <c r="C437" s="2"/>
      <c r="D437" s="2"/>
      <c r="E437" s="3"/>
      <c r="O437" s="176"/>
      <c r="P437" s="176"/>
      <c r="Q437" s="176"/>
      <c r="R437" s="176"/>
      <c r="S437" s="176"/>
      <c r="T437" s="176"/>
      <c r="U437" s="176"/>
      <c r="V437" s="176"/>
      <c r="W437" s="176"/>
      <c r="X437" s="176"/>
      <c r="Y437" s="176"/>
      <c r="Z437" s="176"/>
      <c r="AA437" s="176"/>
      <c r="AB437" s="176"/>
      <c r="AC437" s="176"/>
      <c r="AD437" s="176"/>
      <c r="AE437" s="176"/>
      <c r="AF437" s="176"/>
      <c r="AG437" s="176"/>
      <c r="AH437" s="176"/>
      <c r="AI437" s="176"/>
      <c r="AJ437" s="176"/>
      <c r="AK437" s="176"/>
      <c r="AL437" s="176"/>
      <c r="AM437" s="176"/>
      <c r="AN437" s="176"/>
      <c r="AO437" s="176"/>
      <c r="AP437" s="176"/>
      <c r="AQ437" s="176"/>
      <c r="AR437" s="176"/>
      <c r="AS437" s="176"/>
      <c r="AT437" s="176"/>
      <c r="AU437" s="176"/>
      <c r="AV437" s="176"/>
      <c r="AW437" s="176"/>
      <c r="AX437" s="176"/>
      <c r="AY437" s="176"/>
      <c r="AZ437" s="176"/>
      <c r="BA437" s="176"/>
      <c r="BB437" s="176"/>
      <c r="BC437" s="176"/>
      <c r="BD437" s="176"/>
      <c r="BE437" s="176"/>
      <c r="BF437" s="176"/>
      <c r="BG437" s="176"/>
      <c r="BH437" s="176"/>
      <c r="BI437" s="176"/>
      <c r="BJ437" s="176"/>
    </row>
    <row r="438" spans="2:62" x14ac:dyDescent="0.3">
      <c r="B438" s="3"/>
      <c r="C438" s="2"/>
      <c r="D438" s="2"/>
      <c r="E438" s="3"/>
      <c r="O438" s="176"/>
      <c r="P438" s="176"/>
      <c r="Q438" s="176"/>
      <c r="R438" s="176"/>
      <c r="S438" s="176"/>
      <c r="T438" s="176"/>
      <c r="U438" s="176"/>
      <c r="V438" s="176"/>
      <c r="W438" s="176"/>
      <c r="X438" s="176"/>
      <c r="Y438" s="176"/>
      <c r="Z438" s="176"/>
      <c r="AA438" s="176"/>
      <c r="AB438" s="176"/>
      <c r="AC438" s="176"/>
      <c r="AD438" s="176"/>
      <c r="AE438" s="176"/>
      <c r="AF438" s="176"/>
      <c r="AG438" s="176"/>
      <c r="AH438" s="176"/>
      <c r="AI438" s="176"/>
      <c r="AJ438" s="176"/>
      <c r="AK438" s="176"/>
      <c r="AL438" s="176"/>
      <c r="AM438" s="176"/>
      <c r="AN438" s="176"/>
      <c r="AO438" s="176"/>
      <c r="AP438" s="176"/>
      <c r="AQ438" s="176"/>
      <c r="AR438" s="176"/>
      <c r="AS438" s="176"/>
      <c r="AT438" s="176"/>
      <c r="AU438" s="176"/>
      <c r="AV438" s="176"/>
      <c r="AW438" s="176"/>
      <c r="AX438" s="176"/>
      <c r="AY438" s="176"/>
      <c r="AZ438" s="176"/>
      <c r="BA438" s="176"/>
      <c r="BB438" s="176"/>
      <c r="BC438" s="176"/>
      <c r="BD438" s="176"/>
      <c r="BE438" s="176"/>
      <c r="BF438" s="176"/>
      <c r="BG438" s="176"/>
      <c r="BH438" s="176"/>
      <c r="BI438" s="176"/>
      <c r="BJ438" s="176"/>
    </row>
    <row r="439" spans="2:62" x14ac:dyDescent="0.3">
      <c r="B439" s="3"/>
      <c r="C439" s="2"/>
      <c r="D439" s="2"/>
      <c r="E439" s="3"/>
      <c r="O439" s="176"/>
      <c r="P439" s="176"/>
      <c r="Q439" s="176"/>
      <c r="R439" s="176"/>
      <c r="S439" s="176"/>
      <c r="T439" s="176"/>
      <c r="U439" s="176"/>
      <c r="V439" s="176"/>
      <c r="W439" s="176"/>
      <c r="X439" s="176"/>
      <c r="Y439" s="176"/>
      <c r="Z439" s="176"/>
      <c r="AA439" s="176"/>
      <c r="AB439" s="176"/>
      <c r="AC439" s="176"/>
      <c r="AD439" s="176"/>
      <c r="AE439" s="176"/>
      <c r="AF439" s="176"/>
      <c r="AG439" s="176"/>
      <c r="AH439" s="176"/>
      <c r="AI439" s="176"/>
      <c r="AJ439" s="176"/>
      <c r="AK439" s="176"/>
      <c r="AL439" s="176"/>
      <c r="AM439" s="176"/>
      <c r="AN439" s="176"/>
      <c r="AO439" s="176"/>
      <c r="AP439" s="176"/>
      <c r="AQ439" s="176"/>
      <c r="AR439" s="176"/>
      <c r="AS439" s="176"/>
      <c r="AT439" s="176"/>
      <c r="AU439" s="176"/>
      <c r="AV439" s="176"/>
      <c r="AW439" s="176"/>
      <c r="AX439" s="176"/>
      <c r="AY439" s="176"/>
      <c r="AZ439" s="176"/>
      <c r="BA439" s="176"/>
      <c r="BB439" s="176"/>
      <c r="BC439" s="176"/>
      <c r="BD439" s="176"/>
      <c r="BE439" s="176"/>
      <c r="BF439" s="176"/>
      <c r="BG439" s="176"/>
      <c r="BH439" s="176"/>
      <c r="BI439" s="176"/>
      <c r="BJ439" s="176"/>
    </row>
    <row r="440" spans="2:62" x14ac:dyDescent="0.3">
      <c r="B440" s="3"/>
      <c r="C440" s="2"/>
      <c r="D440" s="2"/>
      <c r="E440" s="3"/>
      <c r="O440" s="176"/>
      <c r="P440" s="176"/>
      <c r="Q440" s="176"/>
      <c r="R440" s="176"/>
      <c r="S440" s="176"/>
      <c r="T440" s="176"/>
      <c r="U440" s="176"/>
      <c r="V440" s="176"/>
      <c r="W440" s="176"/>
      <c r="X440" s="176"/>
      <c r="Y440" s="176"/>
      <c r="Z440" s="176"/>
      <c r="AA440" s="176"/>
      <c r="AB440" s="176"/>
      <c r="AC440" s="176"/>
      <c r="AD440" s="176"/>
      <c r="AE440" s="176"/>
      <c r="AF440" s="176"/>
      <c r="AG440" s="176"/>
      <c r="AH440" s="176"/>
      <c r="AI440" s="176"/>
      <c r="AJ440" s="176"/>
      <c r="AK440" s="176"/>
      <c r="AL440" s="176"/>
      <c r="AM440" s="176"/>
      <c r="AN440" s="176"/>
      <c r="AO440" s="176"/>
      <c r="AP440" s="176"/>
      <c r="AQ440" s="176"/>
      <c r="AR440" s="176"/>
      <c r="AS440" s="176"/>
      <c r="AT440" s="176"/>
      <c r="AU440" s="176"/>
      <c r="AV440" s="176"/>
      <c r="AW440" s="176"/>
      <c r="AX440" s="176"/>
      <c r="AY440" s="176"/>
      <c r="AZ440" s="176"/>
      <c r="BA440" s="176"/>
      <c r="BB440" s="176"/>
      <c r="BC440" s="176"/>
      <c r="BD440" s="176"/>
      <c r="BE440" s="176"/>
      <c r="BF440" s="176"/>
      <c r="BG440" s="176"/>
      <c r="BH440" s="176"/>
      <c r="BI440" s="176"/>
      <c r="BJ440" s="176"/>
    </row>
    <row r="441" spans="2:62" x14ac:dyDescent="0.3">
      <c r="B441" s="3"/>
      <c r="C441" s="2"/>
      <c r="D441" s="2"/>
      <c r="E441" s="3"/>
      <c r="O441" s="176"/>
      <c r="P441" s="176"/>
      <c r="Q441" s="176"/>
      <c r="R441" s="176"/>
      <c r="S441" s="176"/>
      <c r="T441" s="176"/>
      <c r="U441" s="176"/>
      <c r="V441" s="176"/>
      <c r="W441" s="176"/>
      <c r="X441" s="176"/>
      <c r="Y441" s="176"/>
      <c r="Z441" s="176"/>
      <c r="AA441" s="176"/>
      <c r="AB441" s="176"/>
      <c r="AC441" s="176"/>
      <c r="AD441" s="176"/>
      <c r="AE441" s="176"/>
      <c r="AF441" s="176"/>
      <c r="AG441" s="176"/>
      <c r="AH441" s="176"/>
      <c r="AI441" s="176"/>
      <c r="AJ441" s="176"/>
      <c r="AK441" s="176"/>
      <c r="AL441" s="176"/>
      <c r="AM441" s="176"/>
      <c r="AN441" s="176"/>
      <c r="AO441" s="176"/>
      <c r="AP441" s="176"/>
      <c r="AQ441" s="176"/>
      <c r="AR441" s="176"/>
      <c r="AS441" s="176"/>
      <c r="AT441" s="176"/>
      <c r="AU441" s="176"/>
      <c r="AV441" s="176"/>
      <c r="AW441" s="176"/>
      <c r="AX441" s="176"/>
      <c r="AY441" s="176"/>
      <c r="AZ441" s="176"/>
      <c r="BA441" s="176"/>
      <c r="BB441" s="176"/>
      <c r="BC441" s="176"/>
      <c r="BD441" s="176"/>
      <c r="BE441" s="176"/>
      <c r="BF441" s="176"/>
      <c r="BG441" s="176"/>
      <c r="BH441" s="176"/>
      <c r="BI441" s="176"/>
      <c r="BJ441" s="176"/>
    </row>
    <row r="442" spans="2:62" x14ac:dyDescent="0.3">
      <c r="B442" s="3"/>
      <c r="C442" s="2"/>
      <c r="D442" s="2"/>
      <c r="E442" s="3"/>
      <c r="O442" s="176"/>
      <c r="P442" s="176"/>
      <c r="Q442" s="176"/>
      <c r="R442" s="176"/>
      <c r="S442" s="176"/>
      <c r="T442" s="176"/>
      <c r="U442" s="176"/>
      <c r="V442" s="176"/>
      <c r="W442" s="176"/>
      <c r="X442" s="176"/>
      <c r="Y442" s="176"/>
      <c r="Z442" s="176"/>
      <c r="AA442" s="176"/>
      <c r="AB442" s="176"/>
      <c r="AC442" s="176"/>
      <c r="AD442" s="176"/>
      <c r="AE442" s="176"/>
      <c r="AF442" s="176"/>
      <c r="AG442" s="176"/>
      <c r="AH442" s="176"/>
      <c r="AI442" s="176"/>
      <c r="AJ442" s="176"/>
      <c r="AK442" s="176"/>
      <c r="AL442" s="176"/>
      <c r="AM442" s="176"/>
      <c r="AN442" s="176"/>
      <c r="AO442" s="176"/>
      <c r="AP442" s="176"/>
      <c r="AQ442" s="176"/>
      <c r="AR442" s="176"/>
      <c r="AS442" s="176"/>
      <c r="AT442" s="176"/>
      <c r="AU442" s="176"/>
      <c r="AV442" s="176"/>
      <c r="AW442" s="176"/>
      <c r="AX442" s="176"/>
      <c r="AY442" s="176"/>
      <c r="AZ442" s="176"/>
      <c r="BA442" s="176"/>
      <c r="BB442" s="176"/>
      <c r="BC442" s="176"/>
      <c r="BD442" s="176"/>
      <c r="BE442" s="176"/>
      <c r="BF442" s="176"/>
      <c r="BG442" s="176"/>
      <c r="BH442" s="176"/>
      <c r="BI442" s="176"/>
      <c r="BJ442" s="176"/>
    </row>
    <row r="443" spans="2:62" x14ac:dyDescent="0.3">
      <c r="B443" s="3"/>
      <c r="C443" s="2"/>
      <c r="D443" s="2"/>
      <c r="E443" s="3"/>
      <c r="O443" s="176"/>
      <c r="P443" s="176"/>
      <c r="Q443" s="176"/>
      <c r="R443" s="176"/>
      <c r="S443" s="176"/>
      <c r="T443" s="176"/>
      <c r="U443" s="176"/>
      <c r="V443" s="176"/>
      <c r="W443" s="176"/>
      <c r="X443" s="176"/>
      <c r="Y443" s="176"/>
      <c r="Z443" s="176"/>
      <c r="AA443" s="176"/>
      <c r="AB443" s="176"/>
      <c r="AC443" s="176"/>
      <c r="AD443" s="176"/>
      <c r="AE443" s="176"/>
      <c r="AF443" s="176"/>
      <c r="AG443" s="176"/>
      <c r="AH443" s="176"/>
      <c r="AI443" s="176"/>
      <c r="AJ443" s="176"/>
      <c r="AK443" s="176"/>
      <c r="AL443" s="176"/>
      <c r="AM443" s="176"/>
      <c r="AN443" s="176"/>
      <c r="AO443" s="176"/>
      <c r="AP443" s="176"/>
      <c r="AQ443" s="176"/>
      <c r="AR443" s="176"/>
      <c r="AS443" s="176"/>
      <c r="AT443" s="176"/>
      <c r="AU443" s="176"/>
      <c r="AV443" s="176"/>
      <c r="AW443" s="176"/>
      <c r="AX443" s="176"/>
      <c r="AY443" s="176"/>
      <c r="AZ443" s="176"/>
      <c r="BA443" s="176"/>
      <c r="BB443" s="176"/>
      <c r="BC443" s="176"/>
      <c r="BD443" s="176"/>
      <c r="BE443" s="176"/>
      <c r="BF443" s="176"/>
      <c r="BG443" s="176"/>
      <c r="BH443" s="176"/>
      <c r="BI443" s="176"/>
      <c r="BJ443" s="176"/>
    </row>
    <row r="444" spans="2:62" x14ac:dyDescent="0.3">
      <c r="B444" s="3"/>
      <c r="C444" s="2"/>
      <c r="D444" s="2"/>
      <c r="E444" s="3"/>
      <c r="O444" s="176"/>
      <c r="P444" s="176"/>
      <c r="Q444" s="176"/>
      <c r="R444" s="176"/>
      <c r="S444" s="176"/>
      <c r="T444" s="176"/>
      <c r="U444" s="176"/>
      <c r="V444" s="176"/>
      <c r="W444" s="176"/>
      <c r="X444" s="176"/>
      <c r="Y444" s="176"/>
      <c r="Z444" s="176"/>
      <c r="AA444" s="176"/>
      <c r="AB444" s="176"/>
      <c r="AC444" s="176"/>
      <c r="AD444" s="176"/>
      <c r="AE444" s="176"/>
      <c r="AF444" s="176"/>
      <c r="AG444" s="176"/>
      <c r="AH444" s="176"/>
      <c r="AI444" s="176"/>
      <c r="AJ444" s="176"/>
      <c r="AK444" s="176"/>
      <c r="AL444" s="176"/>
      <c r="AM444" s="176"/>
      <c r="AN444" s="176"/>
      <c r="AO444" s="176"/>
      <c r="AP444" s="176"/>
      <c r="AQ444" s="176"/>
      <c r="AR444" s="176"/>
      <c r="AS444" s="176"/>
      <c r="AT444" s="176"/>
      <c r="AU444" s="176"/>
      <c r="AV444" s="176"/>
      <c r="AW444" s="176"/>
      <c r="AX444" s="176"/>
      <c r="AY444" s="176"/>
      <c r="AZ444" s="176"/>
      <c r="BA444" s="176"/>
      <c r="BB444" s="176"/>
      <c r="BC444" s="176"/>
      <c r="BD444" s="176"/>
      <c r="BE444" s="176"/>
      <c r="BF444" s="176"/>
      <c r="BG444" s="176"/>
      <c r="BH444" s="176"/>
      <c r="BI444" s="176"/>
      <c r="BJ444" s="176"/>
    </row>
    <row r="445" spans="2:62" x14ac:dyDescent="0.3">
      <c r="B445" s="3"/>
      <c r="C445" s="2"/>
      <c r="D445" s="2"/>
      <c r="E445" s="3"/>
      <c r="O445" s="176"/>
      <c r="P445" s="176"/>
      <c r="Q445" s="176"/>
      <c r="R445" s="176"/>
      <c r="S445" s="176"/>
      <c r="T445" s="176"/>
      <c r="U445" s="176"/>
      <c r="V445" s="176"/>
      <c r="W445" s="176"/>
      <c r="X445" s="176"/>
      <c r="Y445" s="176"/>
      <c r="Z445" s="176"/>
      <c r="AA445" s="176"/>
      <c r="AB445" s="176"/>
      <c r="AC445" s="176"/>
      <c r="AD445" s="176"/>
      <c r="AE445" s="176"/>
      <c r="AF445" s="176"/>
      <c r="AG445" s="176"/>
      <c r="AH445" s="176"/>
      <c r="AI445" s="176"/>
      <c r="AJ445" s="176"/>
      <c r="AK445" s="176"/>
      <c r="AL445" s="176"/>
      <c r="AM445" s="176"/>
      <c r="AN445" s="176"/>
      <c r="AO445" s="176"/>
      <c r="AP445" s="176"/>
      <c r="AQ445" s="176"/>
      <c r="AR445" s="176"/>
      <c r="AS445" s="176"/>
      <c r="AT445" s="176"/>
      <c r="AU445" s="176"/>
      <c r="AV445" s="176"/>
      <c r="AW445" s="176"/>
      <c r="AX445" s="176"/>
      <c r="AY445" s="176"/>
      <c r="AZ445" s="176"/>
      <c r="BA445" s="176"/>
      <c r="BB445" s="176"/>
      <c r="BC445" s="176"/>
      <c r="BD445" s="176"/>
      <c r="BE445" s="176"/>
      <c r="BF445" s="176"/>
      <c r="BG445" s="176"/>
      <c r="BH445" s="176"/>
      <c r="BI445" s="176"/>
      <c r="BJ445" s="176"/>
    </row>
    <row r="446" spans="2:62" x14ac:dyDescent="0.3">
      <c r="B446" s="3"/>
      <c r="C446" s="2"/>
      <c r="D446" s="2"/>
      <c r="E446" s="3"/>
      <c r="O446" s="176"/>
      <c r="P446" s="176"/>
      <c r="Q446" s="176"/>
      <c r="R446" s="176"/>
      <c r="S446" s="176"/>
      <c r="T446" s="176"/>
      <c r="U446" s="176"/>
      <c r="V446" s="176"/>
      <c r="W446" s="176"/>
      <c r="X446" s="176"/>
      <c r="Y446" s="176"/>
      <c r="Z446" s="176"/>
      <c r="AA446" s="176"/>
      <c r="AB446" s="176"/>
      <c r="AC446" s="176"/>
      <c r="AD446" s="176"/>
      <c r="AE446" s="176"/>
      <c r="AF446" s="176"/>
      <c r="AG446" s="176"/>
      <c r="AH446" s="176"/>
      <c r="AI446" s="176"/>
      <c r="AJ446" s="176"/>
      <c r="AK446" s="176"/>
      <c r="AL446" s="176"/>
      <c r="AM446" s="176"/>
      <c r="AN446" s="176"/>
      <c r="AO446" s="176"/>
      <c r="AP446" s="176"/>
      <c r="AQ446" s="176"/>
      <c r="AR446" s="176"/>
      <c r="AS446" s="176"/>
      <c r="AT446" s="176"/>
      <c r="AU446" s="176"/>
      <c r="AV446" s="176"/>
      <c r="AW446" s="176"/>
      <c r="AX446" s="176"/>
      <c r="AY446" s="176"/>
      <c r="AZ446" s="176"/>
      <c r="BA446" s="176"/>
      <c r="BB446" s="176"/>
      <c r="BC446" s="176"/>
      <c r="BD446" s="176"/>
      <c r="BE446" s="176"/>
      <c r="BF446" s="176"/>
      <c r="BG446" s="176"/>
      <c r="BH446" s="176"/>
      <c r="BI446" s="176"/>
      <c r="BJ446" s="176"/>
    </row>
    <row r="447" spans="2:62" x14ac:dyDescent="0.3">
      <c r="B447" s="3"/>
      <c r="C447" s="2"/>
      <c r="D447" s="2"/>
      <c r="E447" s="3"/>
      <c r="O447" s="176"/>
      <c r="P447" s="176"/>
      <c r="Q447" s="176"/>
      <c r="R447" s="176"/>
      <c r="S447" s="176"/>
      <c r="T447" s="176"/>
      <c r="U447" s="176"/>
      <c r="V447" s="176"/>
      <c r="W447" s="176"/>
      <c r="X447" s="176"/>
      <c r="Y447" s="176"/>
      <c r="Z447" s="176"/>
      <c r="AA447" s="176"/>
      <c r="AB447" s="176"/>
      <c r="AC447" s="176"/>
      <c r="AD447" s="176"/>
      <c r="AE447" s="176"/>
      <c r="AF447" s="176"/>
      <c r="AG447" s="176"/>
      <c r="AH447" s="176"/>
      <c r="AI447" s="176"/>
      <c r="AJ447" s="176"/>
      <c r="AK447" s="176"/>
      <c r="AL447" s="176"/>
      <c r="AM447" s="176"/>
      <c r="AN447" s="176"/>
      <c r="AO447" s="176"/>
      <c r="AP447" s="176"/>
      <c r="AQ447" s="176"/>
      <c r="AR447" s="176"/>
      <c r="AS447" s="176"/>
      <c r="AT447" s="176"/>
      <c r="AU447" s="176"/>
      <c r="AV447" s="176"/>
      <c r="AW447" s="176"/>
      <c r="AX447" s="176"/>
      <c r="AY447" s="176"/>
      <c r="AZ447" s="176"/>
      <c r="BA447" s="176"/>
      <c r="BB447" s="176"/>
      <c r="BC447" s="176"/>
      <c r="BD447" s="176"/>
      <c r="BE447" s="176"/>
      <c r="BF447" s="176"/>
      <c r="BG447" s="176"/>
      <c r="BH447" s="176"/>
      <c r="BI447" s="176"/>
      <c r="BJ447" s="176"/>
    </row>
    <row r="448" spans="2:62" x14ac:dyDescent="0.3">
      <c r="B448" s="3"/>
      <c r="C448" s="2"/>
      <c r="D448" s="2"/>
      <c r="E448" s="3"/>
      <c r="O448" s="176"/>
      <c r="P448" s="176"/>
      <c r="Q448" s="176"/>
      <c r="R448" s="176"/>
      <c r="S448" s="176"/>
      <c r="T448" s="176"/>
      <c r="U448" s="176"/>
      <c r="V448" s="176"/>
      <c r="W448" s="176"/>
      <c r="X448" s="176"/>
      <c r="Y448" s="176"/>
      <c r="Z448" s="176"/>
      <c r="AA448" s="176"/>
      <c r="AB448" s="176"/>
      <c r="AC448" s="176"/>
      <c r="AD448" s="176"/>
      <c r="AE448" s="176"/>
      <c r="AF448" s="176"/>
      <c r="AG448" s="176"/>
      <c r="AH448" s="176"/>
      <c r="AI448" s="176"/>
      <c r="AJ448" s="176"/>
      <c r="AK448" s="176"/>
      <c r="AL448" s="176"/>
      <c r="AM448" s="176"/>
      <c r="AN448" s="176"/>
      <c r="AO448" s="176"/>
      <c r="AP448" s="176"/>
      <c r="AQ448" s="176"/>
      <c r="AR448" s="176"/>
      <c r="AS448" s="176"/>
      <c r="AT448" s="176"/>
      <c r="AU448" s="176"/>
      <c r="AV448" s="176"/>
      <c r="AW448" s="176"/>
      <c r="AX448" s="176"/>
      <c r="AY448" s="176"/>
      <c r="AZ448" s="176"/>
      <c r="BA448" s="176"/>
      <c r="BB448" s="176"/>
      <c r="BC448" s="176"/>
      <c r="BD448" s="176"/>
      <c r="BE448" s="176"/>
      <c r="BF448" s="176"/>
      <c r="BG448" s="176"/>
      <c r="BH448" s="176"/>
      <c r="BI448" s="176"/>
      <c r="BJ448" s="176"/>
    </row>
    <row r="449" spans="2:62" x14ac:dyDescent="0.3">
      <c r="B449" s="3"/>
      <c r="C449" s="2"/>
      <c r="D449" s="2"/>
      <c r="E449" s="3"/>
      <c r="O449" s="176"/>
      <c r="P449" s="176"/>
      <c r="Q449" s="176"/>
      <c r="R449" s="176"/>
      <c r="S449" s="176"/>
      <c r="T449" s="176"/>
      <c r="U449" s="176"/>
      <c r="V449" s="176"/>
      <c r="W449" s="176"/>
      <c r="X449" s="176"/>
      <c r="Y449" s="176"/>
      <c r="Z449" s="176"/>
      <c r="AA449" s="176"/>
      <c r="AB449" s="176"/>
      <c r="AC449" s="176"/>
      <c r="AD449" s="176"/>
      <c r="AE449" s="176"/>
      <c r="AF449" s="176"/>
      <c r="AG449" s="176"/>
      <c r="AH449" s="176"/>
      <c r="AI449" s="176"/>
      <c r="AJ449" s="176"/>
      <c r="AK449" s="176"/>
      <c r="AL449" s="176"/>
      <c r="AM449" s="176"/>
      <c r="AN449" s="176"/>
      <c r="AO449" s="176"/>
      <c r="AP449" s="176"/>
      <c r="AQ449" s="176"/>
      <c r="AR449" s="176"/>
      <c r="AS449" s="176"/>
      <c r="AT449" s="176"/>
      <c r="AU449" s="176"/>
      <c r="AV449" s="176"/>
      <c r="AW449" s="176"/>
      <c r="AX449" s="176"/>
      <c r="AY449" s="176"/>
      <c r="AZ449" s="176"/>
      <c r="BA449" s="176"/>
      <c r="BB449" s="176"/>
      <c r="BC449" s="176"/>
      <c r="BD449" s="176"/>
      <c r="BE449" s="176"/>
      <c r="BF449" s="176"/>
      <c r="BG449" s="176"/>
      <c r="BH449" s="176"/>
      <c r="BI449" s="176"/>
      <c r="BJ449" s="176"/>
    </row>
    <row r="450" spans="2:62" x14ac:dyDescent="0.3">
      <c r="B450" s="3"/>
      <c r="C450" s="2"/>
      <c r="D450" s="2"/>
      <c r="E450" s="3"/>
      <c r="O450" s="176"/>
      <c r="P450" s="176"/>
      <c r="Q450" s="176"/>
      <c r="R450" s="176"/>
      <c r="S450" s="176"/>
      <c r="T450" s="176"/>
      <c r="U450" s="176"/>
      <c r="V450" s="176"/>
      <c r="W450" s="176"/>
      <c r="X450" s="176"/>
      <c r="Y450" s="176"/>
      <c r="Z450" s="176"/>
      <c r="AA450" s="176"/>
      <c r="AB450" s="176"/>
      <c r="AC450" s="176"/>
      <c r="AD450" s="176"/>
      <c r="AE450" s="176"/>
      <c r="AF450" s="176"/>
      <c r="AG450" s="176"/>
      <c r="AH450" s="176"/>
      <c r="AI450" s="176"/>
      <c r="AJ450" s="176"/>
      <c r="AK450" s="176"/>
      <c r="AL450" s="176"/>
      <c r="AM450" s="176"/>
      <c r="AN450" s="176"/>
      <c r="AO450" s="176"/>
      <c r="AP450" s="176"/>
      <c r="AQ450" s="176"/>
      <c r="AR450" s="176"/>
      <c r="AS450" s="176"/>
      <c r="AT450" s="176"/>
      <c r="AU450" s="176"/>
      <c r="AV450" s="176"/>
      <c r="AW450" s="176"/>
      <c r="AX450" s="176"/>
      <c r="AY450" s="176"/>
      <c r="AZ450" s="176"/>
      <c r="BA450" s="176"/>
      <c r="BB450" s="176"/>
      <c r="BC450" s="176"/>
      <c r="BD450" s="176"/>
      <c r="BE450" s="176"/>
      <c r="BF450" s="176"/>
      <c r="BG450" s="176"/>
      <c r="BH450" s="176"/>
      <c r="BI450" s="176"/>
      <c r="BJ450" s="176"/>
    </row>
    <row r="451" spans="2:62" x14ac:dyDescent="0.3">
      <c r="B451" s="3"/>
      <c r="C451" s="2"/>
      <c r="D451" s="2"/>
      <c r="E451" s="3"/>
      <c r="O451" s="176"/>
      <c r="P451" s="176"/>
      <c r="Q451" s="176"/>
      <c r="R451" s="176"/>
      <c r="S451" s="176"/>
      <c r="T451" s="176"/>
      <c r="U451" s="176"/>
      <c r="V451" s="176"/>
      <c r="W451" s="176"/>
      <c r="X451" s="176"/>
      <c r="Y451" s="176"/>
      <c r="Z451" s="176"/>
      <c r="AA451" s="176"/>
      <c r="AB451" s="176"/>
      <c r="AC451" s="176"/>
      <c r="AD451" s="176"/>
      <c r="AE451" s="176"/>
      <c r="AF451" s="176"/>
      <c r="AG451" s="176"/>
      <c r="AH451" s="176"/>
      <c r="AI451" s="176"/>
      <c r="AJ451" s="176"/>
      <c r="AK451" s="176"/>
      <c r="AL451" s="176"/>
      <c r="AM451" s="176"/>
      <c r="AN451" s="176"/>
      <c r="AO451" s="176"/>
      <c r="AP451" s="176"/>
      <c r="AQ451" s="176"/>
      <c r="AR451" s="176"/>
      <c r="AS451" s="176"/>
      <c r="AT451" s="176"/>
      <c r="AU451" s="176"/>
      <c r="AV451" s="176"/>
      <c r="AW451" s="176"/>
      <c r="AX451" s="176"/>
      <c r="AY451" s="176"/>
      <c r="AZ451" s="176"/>
      <c r="BA451" s="176"/>
      <c r="BB451" s="176"/>
      <c r="BC451" s="176"/>
      <c r="BD451" s="176"/>
      <c r="BE451" s="176"/>
      <c r="BF451" s="176"/>
      <c r="BG451" s="176"/>
      <c r="BH451" s="176"/>
      <c r="BI451" s="176"/>
      <c r="BJ451" s="176"/>
    </row>
    <row r="452" spans="2:62" x14ac:dyDescent="0.3">
      <c r="B452" s="3"/>
      <c r="C452" s="2"/>
      <c r="D452" s="2"/>
      <c r="E452" s="3"/>
      <c r="O452" s="176"/>
      <c r="P452" s="176"/>
      <c r="Q452" s="176"/>
      <c r="R452" s="176"/>
      <c r="S452" s="176"/>
      <c r="T452" s="176"/>
      <c r="U452" s="176"/>
      <c r="V452" s="176"/>
      <c r="W452" s="176"/>
      <c r="X452" s="176"/>
      <c r="Y452" s="176"/>
      <c r="Z452" s="176"/>
      <c r="AA452" s="176"/>
      <c r="AB452" s="176"/>
      <c r="AC452" s="176"/>
      <c r="AD452" s="176"/>
      <c r="AE452" s="176"/>
      <c r="AF452" s="176"/>
      <c r="AG452" s="176"/>
      <c r="AH452" s="176"/>
      <c r="AI452" s="176"/>
      <c r="AJ452" s="176"/>
      <c r="AK452" s="176"/>
      <c r="AL452" s="176"/>
      <c r="AM452" s="176"/>
      <c r="AN452" s="176"/>
      <c r="AO452" s="176"/>
      <c r="AP452" s="176"/>
      <c r="AQ452" s="176"/>
      <c r="AR452" s="176"/>
      <c r="AS452" s="176"/>
      <c r="AT452" s="176"/>
      <c r="AU452" s="176"/>
      <c r="AV452" s="176"/>
      <c r="AW452" s="176"/>
      <c r="AX452" s="176"/>
      <c r="AY452" s="176"/>
      <c r="AZ452" s="176"/>
      <c r="BA452" s="176"/>
      <c r="BB452" s="176"/>
      <c r="BC452" s="176"/>
      <c r="BD452" s="176"/>
      <c r="BE452" s="176"/>
      <c r="BF452" s="176"/>
      <c r="BG452" s="176"/>
      <c r="BH452" s="176"/>
      <c r="BI452" s="176"/>
      <c r="BJ452" s="176"/>
    </row>
    <row r="453" spans="2:62" x14ac:dyDescent="0.3">
      <c r="B453" s="3"/>
      <c r="C453" s="2"/>
      <c r="D453" s="2"/>
      <c r="E453" s="3"/>
      <c r="O453" s="176"/>
      <c r="P453" s="176"/>
      <c r="Q453" s="176"/>
      <c r="R453" s="176"/>
      <c r="S453" s="176"/>
      <c r="T453" s="176"/>
      <c r="U453" s="176"/>
      <c r="V453" s="176"/>
      <c r="W453" s="176"/>
      <c r="X453" s="176"/>
      <c r="Y453" s="176"/>
      <c r="Z453" s="176"/>
      <c r="AA453" s="176"/>
      <c r="AB453" s="176"/>
      <c r="AC453" s="176"/>
      <c r="AD453" s="176"/>
      <c r="AE453" s="176"/>
      <c r="AF453" s="176"/>
      <c r="AG453" s="176"/>
      <c r="AH453" s="176"/>
      <c r="AI453" s="176"/>
      <c r="AJ453" s="176"/>
      <c r="AK453" s="176"/>
      <c r="AL453" s="176"/>
      <c r="AM453" s="176"/>
      <c r="AN453" s="176"/>
      <c r="AO453" s="176"/>
      <c r="AP453" s="176"/>
      <c r="AQ453" s="176"/>
      <c r="AR453" s="176"/>
      <c r="AS453" s="176"/>
      <c r="AT453" s="176"/>
      <c r="AU453" s="176"/>
      <c r="AV453" s="176"/>
      <c r="AW453" s="176"/>
      <c r="AX453" s="176"/>
      <c r="AY453" s="176"/>
      <c r="AZ453" s="176"/>
      <c r="BA453" s="176"/>
      <c r="BB453" s="176"/>
      <c r="BC453" s="176"/>
      <c r="BD453" s="176"/>
      <c r="BE453" s="176"/>
      <c r="BF453" s="176"/>
      <c r="BG453" s="176"/>
      <c r="BH453" s="176"/>
      <c r="BI453" s="176"/>
      <c r="BJ453" s="176"/>
    </row>
    <row r="454" spans="2:62" x14ac:dyDescent="0.3">
      <c r="B454" s="3"/>
      <c r="C454" s="2"/>
      <c r="D454" s="2"/>
      <c r="E454" s="3"/>
      <c r="O454" s="176"/>
      <c r="P454" s="176"/>
      <c r="Q454" s="176"/>
      <c r="R454" s="176"/>
      <c r="S454" s="176"/>
      <c r="T454" s="176"/>
      <c r="U454" s="176"/>
      <c r="V454" s="176"/>
      <c r="W454" s="176"/>
      <c r="X454" s="176"/>
      <c r="Y454" s="176"/>
      <c r="Z454" s="176"/>
      <c r="AA454" s="176"/>
      <c r="AB454" s="176"/>
      <c r="AC454" s="176"/>
      <c r="AD454" s="176"/>
      <c r="AE454" s="176"/>
      <c r="AF454" s="176"/>
      <c r="AG454" s="176"/>
      <c r="AH454" s="176"/>
      <c r="AI454" s="176"/>
      <c r="AJ454" s="176"/>
      <c r="AK454" s="176"/>
      <c r="AL454" s="176"/>
      <c r="AM454" s="176"/>
      <c r="AN454" s="176"/>
      <c r="AO454" s="176"/>
      <c r="AP454" s="176"/>
      <c r="AQ454" s="176"/>
      <c r="AR454" s="176"/>
      <c r="AS454" s="176"/>
      <c r="AT454" s="176"/>
      <c r="AU454" s="176"/>
      <c r="AV454" s="176"/>
      <c r="AW454" s="176"/>
      <c r="AX454" s="176"/>
      <c r="AY454" s="176"/>
      <c r="AZ454" s="176"/>
      <c r="BA454" s="176"/>
      <c r="BB454" s="176"/>
      <c r="BC454" s="176"/>
      <c r="BD454" s="176"/>
      <c r="BE454" s="176"/>
      <c r="BF454" s="176"/>
      <c r="BG454" s="176"/>
      <c r="BH454" s="176"/>
      <c r="BI454" s="176"/>
      <c r="BJ454" s="176"/>
    </row>
    <row r="455" spans="2:62" x14ac:dyDescent="0.3">
      <c r="B455" s="3"/>
      <c r="C455" s="2"/>
      <c r="D455" s="2"/>
      <c r="E455" s="3"/>
      <c r="O455" s="176"/>
      <c r="P455" s="176"/>
      <c r="Q455" s="176"/>
      <c r="R455" s="176"/>
      <c r="S455" s="176"/>
      <c r="T455" s="176"/>
      <c r="U455" s="176"/>
      <c r="V455" s="176"/>
      <c r="W455" s="176"/>
      <c r="X455" s="176"/>
      <c r="Y455" s="176"/>
      <c r="Z455" s="176"/>
      <c r="AA455" s="176"/>
      <c r="AB455" s="176"/>
      <c r="AC455" s="176"/>
      <c r="AD455" s="176"/>
      <c r="AE455" s="176"/>
      <c r="AF455" s="176"/>
      <c r="AG455" s="176"/>
      <c r="AH455" s="176"/>
      <c r="AI455" s="176"/>
      <c r="AJ455" s="176"/>
      <c r="AK455" s="176"/>
      <c r="AL455" s="176"/>
      <c r="AM455" s="176"/>
      <c r="AN455" s="176"/>
      <c r="AO455" s="176"/>
      <c r="AP455" s="176"/>
      <c r="AQ455" s="176"/>
      <c r="AR455" s="176"/>
      <c r="AS455" s="176"/>
      <c r="AT455" s="176"/>
      <c r="AU455" s="176"/>
      <c r="AV455" s="176"/>
      <c r="AW455" s="176"/>
      <c r="AX455" s="176"/>
      <c r="AY455" s="176"/>
      <c r="AZ455" s="176"/>
      <c r="BA455" s="176"/>
      <c r="BB455" s="176"/>
      <c r="BC455" s="176"/>
      <c r="BD455" s="176"/>
      <c r="BE455" s="176"/>
      <c r="BF455" s="176"/>
      <c r="BG455" s="176"/>
      <c r="BH455" s="176"/>
      <c r="BI455" s="176"/>
      <c r="BJ455" s="176"/>
    </row>
    <row r="456" spans="2:62" x14ac:dyDescent="0.3">
      <c r="B456" s="3"/>
      <c r="C456" s="2"/>
      <c r="D456" s="2"/>
      <c r="E456" s="3"/>
      <c r="O456" s="176"/>
      <c r="P456" s="176"/>
      <c r="Q456" s="176"/>
      <c r="R456" s="176"/>
      <c r="S456" s="176"/>
      <c r="T456" s="176"/>
      <c r="U456" s="176"/>
      <c r="V456" s="176"/>
      <c r="W456" s="176"/>
      <c r="X456" s="176"/>
      <c r="Y456" s="176"/>
      <c r="Z456" s="176"/>
      <c r="AA456" s="176"/>
      <c r="AB456" s="176"/>
      <c r="AC456" s="176"/>
      <c r="AD456" s="176"/>
      <c r="AE456" s="176"/>
      <c r="AF456" s="176"/>
      <c r="AG456" s="176"/>
      <c r="AH456" s="176"/>
      <c r="AI456" s="176"/>
      <c r="AJ456" s="176"/>
      <c r="AK456" s="176"/>
      <c r="AL456" s="176"/>
      <c r="AM456" s="176"/>
      <c r="AN456" s="176"/>
      <c r="AO456" s="176"/>
      <c r="AP456" s="176"/>
      <c r="AQ456" s="176"/>
      <c r="AR456" s="176"/>
      <c r="AS456" s="176"/>
      <c r="AT456" s="176"/>
      <c r="AU456" s="176"/>
      <c r="AV456" s="176"/>
      <c r="AW456" s="176"/>
      <c r="AX456" s="176"/>
      <c r="AY456" s="176"/>
      <c r="AZ456" s="176"/>
      <c r="BA456" s="176"/>
      <c r="BB456" s="176"/>
      <c r="BC456" s="176"/>
      <c r="BD456" s="176"/>
      <c r="BE456" s="176"/>
      <c r="BF456" s="176"/>
      <c r="BG456" s="176"/>
      <c r="BH456" s="176"/>
      <c r="BI456" s="176"/>
      <c r="BJ456" s="176"/>
    </row>
    <row r="457" spans="2:62" x14ac:dyDescent="0.3">
      <c r="B457" s="3"/>
      <c r="C457" s="2"/>
      <c r="D457" s="2"/>
      <c r="E457" s="3"/>
      <c r="O457" s="176"/>
      <c r="P457" s="176"/>
      <c r="Q457" s="176"/>
      <c r="R457" s="176"/>
      <c r="S457" s="176"/>
      <c r="T457" s="176"/>
      <c r="U457" s="176"/>
      <c r="V457" s="176"/>
      <c r="W457" s="176"/>
      <c r="X457" s="176"/>
      <c r="Y457" s="176"/>
      <c r="Z457" s="176"/>
      <c r="AA457" s="176"/>
      <c r="AB457" s="176"/>
      <c r="AC457" s="176"/>
      <c r="AD457" s="176"/>
      <c r="AE457" s="176"/>
      <c r="AF457" s="176"/>
      <c r="AG457" s="176"/>
      <c r="AH457" s="176"/>
      <c r="AI457" s="176"/>
      <c r="AJ457" s="176"/>
      <c r="AK457" s="176"/>
      <c r="AL457" s="176"/>
      <c r="AM457" s="176"/>
      <c r="AN457" s="176"/>
      <c r="AO457" s="176"/>
      <c r="AP457" s="176"/>
      <c r="AQ457" s="176"/>
      <c r="AR457" s="176"/>
      <c r="AS457" s="176"/>
      <c r="AT457" s="176"/>
      <c r="AU457" s="176"/>
      <c r="AV457" s="176"/>
      <c r="AW457" s="176"/>
      <c r="AX457" s="176"/>
      <c r="AY457" s="176"/>
      <c r="AZ457" s="176"/>
      <c r="BA457" s="176"/>
      <c r="BB457" s="176"/>
      <c r="BC457" s="176"/>
      <c r="BD457" s="176"/>
      <c r="BE457" s="176"/>
      <c r="BF457" s="176"/>
      <c r="BG457" s="176"/>
      <c r="BH457" s="176"/>
      <c r="BI457" s="176"/>
      <c r="BJ457" s="176"/>
    </row>
    <row r="458" spans="2:62" x14ac:dyDescent="0.3">
      <c r="B458" s="3"/>
      <c r="C458" s="2"/>
      <c r="D458" s="2"/>
      <c r="E458" s="3"/>
      <c r="O458" s="176"/>
      <c r="P458" s="176"/>
      <c r="Q458" s="176"/>
      <c r="R458" s="176"/>
      <c r="S458" s="176"/>
      <c r="T458" s="176"/>
      <c r="U458" s="176"/>
      <c r="V458" s="176"/>
      <c r="W458" s="176"/>
      <c r="X458" s="176"/>
      <c r="Y458" s="176"/>
      <c r="Z458" s="176"/>
      <c r="AA458" s="176"/>
      <c r="AB458" s="176"/>
      <c r="AC458" s="176"/>
      <c r="AD458" s="176"/>
      <c r="AE458" s="176"/>
      <c r="AF458" s="176"/>
      <c r="AG458" s="176"/>
      <c r="AH458" s="176"/>
      <c r="AI458" s="176"/>
      <c r="AJ458" s="176"/>
      <c r="AK458" s="176"/>
      <c r="AL458" s="176"/>
      <c r="AM458" s="176"/>
      <c r="AN458" s="176"/>
      <c r="AO458" s="176"/>
      <c r="AP458" s="176"/>
      <c r="AQ458" s="176"/>
      <c r="AR458" s="176"/>
      <c r="AS458" s="176"/>
      <c r="AT458" s="176"/>
      <c r="AU458" s="176"/>
      <c r="AV458" s="176"/>
      <c r="AW458" s="176"/>
      <c r="AX458" s="176"/>
      <c r="AY458" s="176"/>
      <c r="AZ458" s="176"/>
      <c r="BA458" s="176"/>
      <c r="BB458" s="176"/>
      <c r="BC458" s="176"/>
      <c r="BD458" s="176"/>
      <c r="BE458" s="176"/>
      <c r="BF458" s="176"/>
      <c r="BG458" s="176"/>
      <c r="BH458" s="176"/>
      <c r="BI458" s="176"/>
      <c r="BJ458" s="176"/>
    </row>
    <row r="459" spans="2:62" x14ac:dyDescent="0.3">
      <c r="B459" s="3"/>
      <c r="C459" s="2"/>
      <c r="D459" s="2"/>
      <c r="E459" s="3"/>
      <c r="O459" s="176"/>
      <c r="P459" s="176"/>
      <c r="Q459" s="176"/>
      <c r="R459" s="176"/>
      <c r="S459" s="176"/>
      <c r="T459" s="176"/>
      <c r="U459" s="176"/>
      <c r="V459" s="176"/>
      <c r="W459" s="176"/>
      <c r="X459" s="176"/>
      <c r="Y459" s="176"/>
      <c r="Z459" s="176"/>
      <c r="AA459" s="176"/>
      <c r="AB459" s="176"/>
      <c r="AC459" s="176"/>
      <c r="AD459" s="176"/>
      <c r="AE459" s="176"/>
      <c r="AF459" s="176"/>
      <c r="AG459" s="176"/>
      <c r="AH459" s="176"/>
      <c r="AI459" s="176"/>
      <c r="AJ459" s="176"/>
      <c r="AK459" s="176"/>
      <c r="AL459" s="176"/>
      <c r="AM459" s="176"/>
      <c r="AN459" s="176"/>
      <c r="AO459" s="176"/>
      <c r="AP459" s="176"/>
      <c r="AQ459" s="176"/>
      <c r="AR459" s="176"/>
      <c r="AS459" s="176"/>
      <c r="AT459" s="176"/>
      <c r="AU459" s="176"/>
      <c r="AV459" s="176"/>
      <c r="AW459" s="176"/>
      <c r="AX459" s="176"/>
      <c r="AY459" s="176"/>
      <c r="AZ459" s="176"/>
      <c r="BA459" s="176"/>
      <c r="BB459" s="176"/>
      <c r="BC459" s="176"/>
      <c r="BD459" s="176"/>
      <c r="BE459" s="176"/>
      <c r="BF459" s="176"/>
      <c r="BG459" s="176"/>
      <c r="BH459" s="176"/>
      <c r="BI459" s="176"/>
      <c r="BJ459" s="176"/>
    </row>
    <row r="460" spans="2:62" x14ac:dyDescent="0.3">
      <c r="B460" s="3"/>
      <c r="C460" s="2"/>
      <c r="D460" s="2"/>
      <c r="E460" s="3"/>
      <c r="O460" s="176"/>
      <c r="P460" s="176"/>
      <c r="Q460" s="176"/>
      <c r="R460" s="176"/>
      <c r="S460" s="176"/>
      <c r="T460" s="176"/>
      <c r="U460" s="176"/>
      <c r="V460" s="176"/>
      <c r="W460" s="176"/>
      <c r="X460" s="176"/>
      <c r="Y460" s="176"/>
      <c r="Z460" s="176"/>
      <c r="AA460" s="176"/>
      <c r="AB460" s="176"/>
      <c r="AC460" s="176"/>
      <c r="AD460" s="176"/>
      <c r="AE460" s="176"/>
      <c r="AF460" s="176"/>
      <c r="AG460" s="176"/>
      <c r="AH460" s="176"/>
      <c r="AI460" s="176"/>
      <c r="AJ460" s="176"/>
      <c r="AK460" s="176"/>
      <c r="AL460" s="176"/>
      <c r="AM460" s="176"/>
      <c r="AN460" s="176"/>
      <c r="AO460" s="176"/>
      <c r="AP460" s="176"/>
      <c r="AQ460" s="176"/>
      <c r="AR460" s="176"/>
      <c r="AS460" s="176"/>
      <c r="AT460" s="176"/>
      <c r="AU460" s="176"/>
      <c r="AV460" s="176"/>
      <c r="AW460" s="176"/>
      <c r="AX460" s="176"/>
      <c r="AY460" s="176"/>
      <c r="AZ460" s="176"/>
      <c r="BA460" s="176"/>
      <c r="BB460" s="176"/>
      <c r="BC460" s="176"/>
      <c r="BD460" s="176"/>
      <c r="BE460" s="176"/>
      <c r="BF460" s="176"/>
      <c r="BG460" s="176"/>
      <c r="BH460" s="176"/>
      <c r="BI460" s="176"/>
      <c r="BJ460" s="176"/>
    </row>
    <row r="461" spans="2:62" x14ac:dyDescent="0.3">
      <c r="B461" s="3"/>
      <c r="C461" s="2"/>
      <c r="D461" s="2"/>
      <c r="E461" s="3"/>
      <c r="O461" s="176"/>
      <c r="P461" s="176"/>
      <c r="Q461" s="176"/>
      <c r="R461" s="176"/>
      <c r="S461" s="176"/>
      <c r="T461" s="176"/>
      <c r="U461" s="176"/>
      <c r="V461" s="176"/>
      <c r="W461" s="176"/>
      <c r="X461" s="176"/>
      <c r="Y461" s="176"/>
      <c r="Z461" s="176"/>
      <c r="AA461" s="176"/>
      <c r="AB461" s="176"/>
      <c r="AC461" s="176"/>
      <c r="AD461" s="176"/>
      <c r="AE461" s="176"/>
      <c r="AF461" s="176"/>
      <c r="AG461" s="176"/>
      <c r="AH461" s="176"/>
      <c r="AI461" s="176"/>
      <c r="AJ461" s="176"/>
      <c r="AK461" s="176"/>
      <c r="AL461" s="176"/>
      <c r="AM461" s="176"/>
      <c r="AN461" s="176"/>
      <c r="AO461" s="176"/>
      <c r="AP461" s="176"/>
      <c r="AQ461" s="176"/>
      <c r="AR461" s="176"/>
      <c r="AS461" s="176"/>
      <c r="AT461" s="176"/>
      <c r="AU461" s="176"/>
      <c r="AV461" s="176"/>
      <c r="AW461" s="176"/>
      <c r="AX461" s="176"/>
      <c r="AY461" s="176"/>
      <c r="AZ461" s="176"/>
      <c r="BA461" s="176"/>
      <c r="BB461" s="176"/>
      <c r="BC461" s="176"/>
      <c r="BD461" s="176"/>
      <c r="BE461" s="176"/>
      <c r="BF461" s="176"/>
      <c r="BG461" s="176"/>
      <c r="BH461" s="176"/>
      <c r="BI461" s="176"/>
      <c r="BJ461" s="176"/>
    </row>
    <row r="462" spans="2:62" x14ac:dyDescent="0.3">
      <c r="B462" s="3"/>
      <c r="C462" s="2"/>
      <c r="D462" s="2"/>
      <c r="E462" s="3"/>
      <c r="O462" s="176"/>
      <c r="P462" s="176"/>
      <c r="Q462" s="176"/>
      <c r="R462" s="176"/>
      <c r="S462" s="176"/>
      <c r="T462" s="176"/>
      <c r="U462" s="176"/>
      <c r="V462" s="176"/>
      <c r="W462" s="176"/>
      <c r="X462" s="176"/>
      <c r="Y462" s="176"/>
      <c r="Z462" s="176"/>
      <c r="AA462" s="176"/>
      <c r="AB462" s="176"/>
      <c r="AC462" s="176"/>
      <c r="AD462" s="176"/>
      <c r="AE462" s="176"/>
      <c r="AF462" s="176"/>
      <c r="AG462" s="176"/>
      <c r="AH462" s="176"/>
      <c r="AI462" s="176"/>
      <c r="AJ462" s="176"/>
      <c r="AK462" s="176"/>
      <c r="AL462" s="176"/>
      <c r="AM462" s="176"/>
      <c r="AN462" s="176"/>
      <c r="AO462" s="176"/>
      <c r="AP462" s="176"/>
      <c r="AQ462" s="176"/>
      <c r="AR462" s="176"/>
      <c r="AS462" s="176"/>
      <c r="AT462" s="176"/>
      <c r="AU462" s="176"/>
      <c r="AV462" s="176"/>
      <c r="AW462" s="176"/>
      <c r="AX462" s="176"/>
      <c r="AY462" s="176"/>
      <c r="AZ462" s="176"/>
      <c r="BA462" s="176"/>
      <c r="BB462" s="176"/>
      <c r="BC462" s="176"/>
      <c r="BD462" s="176"/>
      <c r="BE462" s="176"/>
      <c r="BF462" s="176"/>
      <c r="BG462" s="176"/>
      <c r="BH462" s="176"/>
      <c r="BI462" s="176"/>
      <c r="BJ462" s="176"/>
    </row>
    <row r="463" spans="2:62" x14ac:dyDescent="0.3">
      <c r="B463" s="3"/>
      <c r="C463" s="2"/>
      <c r="D463" s="2"/>
      <c r="E463" s="3"/>
      <c r="O463" s="176"/>
      <c r="P463" s="176"/>
      <c r="Q463" s="176"/>
      <c r="R463" s="176"/>
      <c r="S463" s="176"/>
      <c r="T463" s="176"/>
      <c r="U463" s="176"/>
      <c r="V463" s="176"/>
      <c r="W463" s="176"/>
      <c r="X463" s="176"/>
      <c r="Y463" s="176"/>
      <c r="Z463" s="176"/>
      <c r="AA463" s="176"/>
      <c r="AB463" s="176"/>
      <c r="AC463" s="176"/>
      <c r="AD463" s="176"/>
      <c r="AE463" s="176"/>
      <c r="AF463" s="176"/>
      <c r="AG463" s="176"/>
      <c r="AH463" s="176"/>
      <c r="AI463" s="176"/>
      <c r="AJ463" s="176"/>
      <c r="AK463" s="176"/>
      <c r="AL463" s="176"/>
      <c r="AM463" s="176"/>
      <c r="AN463" s="176"/>
      <c r="AO463" s="176"/>
      <c r="AP463" s="176"/>
      <c r="AQ463" s="176"/>
      <c r="AR463" s="176"/>
      <c r="AS463" s="176"/>
      <c r="AT463" s="176"/>
      <c r="AU463" s="176"/>
      <c r="AV463" s="176"/>
      <c r="AW463" s="176"/>
      <c r="AX463" s="176"/>
      <c r="AY463" s="176"/>
      <c r="AZ463" s="176"/>
      <c r="BA463" s="176"/>
      <c r="BB463" s="176"/>
      <c r="BC463" s="176"/>
      <c r="BD463" s="176"/>
      <c r="BE463" s="176"/>
      <c r="BF463" s="176"/>
      <c r="BG463" s="176"/>
      <c r="BH463" s="176"/>
      <c r="BI463" s="176"/>
      <c r="BJ463" s="176"/>
    </row>
    <row r="464" spans="2:62" x14ac:dyDescent="0.3">
      <c r="B464" s="3"/>
      <c r="C464" s="2"/>
      <c r="D464" s="2"/>
      <c r="E464" s="3"/>
      <c r="O464" s="176"/>
      <c r="P464" s="176"/>
      <c r="Q464" s="176"/>
      <c r="R464" s="176"/>
      <c r="S464" s="176"/>
      <c r="T464" s="176"/>
      <c r="U464" s="176"/>
      <c r="V464" s="176"/>
      <c r="W464" s="176"/>
      <c r="X464" s="176"/>
      <c r="Y464" s="176"/>
      <c r="Z464" s="176"/>
      <c r="AA464" s="176"/>
      <c r="AB464" s="176"/>
      <c r="AC464" s="176"/>
      <c r="AD464" s="176"/>
      <c r="AE464" s="176"/>
      <c r="AF464" s="176"/>
      <c r="AG464" s="176"/>
      <c r="AH464" s="176"/>
      <c r="AI464" s="176"/>
      <c r="AJ464" s="176"/>
      <c r="AK464" s="176"/>
      <c r="AL464" s="176"/>
      <c r="AM464" s="176"/>
      <c r="AN464" s="176"/>
      <c r="AO464" s="176"/>
      <c r="AP464" s="176"/>
      <c r="AQ464" s="176"/>
      <c r="AR464" s="176"/>
      <c r="AS464" s="176"/>
      <c r="AT464" s="176"/>
      <c r="AU464" s="176"/>
      <c r="AV464" s="176"/>
      <c r="AW464" s="176"/>
      <c r="AX464" s="176"/>
      <c r="AY464" s="176"/>
      <c r="AZ464" s="176"/>
      <c r="BA464" s="176"/>
      <c r="BB464" s="176"/>
      <c r="BC464" s="176"/>
      <c r="BD464" s="176"/>
      <c r="BE464" s="176"/>
      <c r="BF464" s="176"/>
      <c r="BG464" s="176"/>
      <c r="BH464" s="176"/>
      <c r="BI464" s="176"/>
      <c r="BJ464" s="176"/>
    </row>
    <row r="465" spans="2:62" x14ac:dyDescent="0.3">
      <c r="B465" s="3"/>
      <c r="C465" s="2"/>
      <c r="D465" s="2"/>
      <c r="E465" s="3"/>
      <c r="O465" s="176"/>
      <c r="P465" s="176"/>
      <c r="Q465" s="176"/>
      <c r="R465" s="176"/>
      <c r="S465" s="176"/>
      <c r="T465" s="176"/>
      <c r="U465" s="176"/>
      <c r="V465" s="176"/>
      <c r="W465" s="176"/>
      <c r="X465" s="176"/>
      <c r="Y465" s="176"/>
      <c r="Z465" s="176"/>
      <c r="AA465" s="176"/>
      <c r="AB465" s="176"/>
      <c r="AC465" s="176"/>
      <c r="AD465" s="176"/>
      <c r="AE465" s="176"/>
      <c r="AF465" s="176"/>
      <c r="AG465" s="176"/>
      <c r="AH465" s="176"/>
      <c r="AI465" s="176"/>
      <c r="AJ465" s="176"/>
      <c r="AK465" s="176"/>
      <c r="AL465" s="176"/>
      <c r="AM465" s="176"/>
      <c r="AN465" s="176"/>
      <c r="AO465" s="176"/>
      <c r="AP465" s="176"/>
      <c r="AQ465" s="176"/>
      <c r="AR465" s="176"/>
      <c r="AS465" s="176"/>
      <c r="AT465" s="176"/>
      <c r="AU465" s="176"/>
      <c r="AV465" s="176"/>
      <c r="AW465" s="176"/>
      <c r="AX465" s="176"/>
      <c r="AY465" s="176"/>
      <c r="AZ465" s="176"/>
      <c r="BA465" s="176"/>
      <c r="BB465" s="176"/>
      <c r="BC465" s="176"/>
      <c r="BD465" s="176"/>
      <c r="BE465" s="176"/>
      <c r="BF465" s="176"/>
      <c r="BG465" s="176"/>
      <c r="BH465" s="176"/>
      <c r="BI465" s="176"/>
      <c r="BJ465" s="176"/>
    </row>
    <row r="466" spans="2:62" x14ac:dyDescent="0.3">
      <c r="B466" s="3"/>
      <c r="C466" s="2"/>
      <c r="D466" s="2"/>
      <c r="E466" s="3"/>
      <c r="O466" s="176"/>
      <c r="P466" s="176"/>
      <c r="Q466" s="176"/>
      <c r="R466" s="176"/>
      <c r="S466" s="176"/>
      <c r="T466" s="176"/>
      <c r="U466" s="176"/>
      <c r="V466" s="176"/>
      <c r="W466" s="176"/>
      <c r="X466" s="176"/>
      <c r="Y466" s="176"/>
      <c r="Z466" s="176"/>
      <c r="AA466" s="176"/>
      <c r="AB466" s="176"/>
      <c r="AC466" s="176"/>
      <c r="AD466" s="176"/>
      <c r="AE466" s="176"/>
      <c r="AF466" s="176"/>
      <c r="AG466" s="176"/>
      <c r="AH466" s="176"/>
      <c r="AI466" s="176"/>
      <c r="AJ466" s="176"/>
      <c r="AK466" s="176"/>
      <c r="AL466" s="176"/>
      <c r="AM466" s="176"/>
      <c r="AN466" s="176"/>
      <c r="AO466" s="176"/>
      <c r="AP466" s="176"/>
      <c r="AQ466" s="176"/>
      <c r="AR466" s="176"/>
      <c r="AS466" s="176"/>
      <c r="AT466" s="176"/>
      <c r="AU466" s="176"/>
      <c r="AV466" s="176"/>
      <c r="AW466" s="176"/>
      <c r="AX466" s="176"/>
      <c r="AY466" s="176"/>
      <c r="AZ466" s="176"/>
      <c r="BA466" s="176"/>
      <c r="BB466" s="176"/>
      <c r="BC466" s="176"/>
      <c r="BD466" s="176"/>
      <c r="BE466" s="176"/>
      <c r="BF466" s="176"/>
      <c r="BG466" s="176"/>
      <c r="BH466" s="176"/>
      <c r="BI466" s="176"/>
      <c r="BJ466" s="176"/>
    </row>
    <row r="467" spans="2:62" x14ac:dyDescent="0.3">
      <c r="B467" s="3"/>
      <c r="C467" s="2"/>
      <c r="D467" s="2"/>
      <c r="E467" s="3"/>
      <c r="O467" s="176"/>
      <c r="P467" s="176"/>
      <c r="Q467" s="176"/>
      <c r="R467" s="176"/>
      <c r="S467" s="176"/>
      <c r="T467" s="176"/>
      <c r="U467" s="176"/>
      <c r="V467" s="176"/>
      <c r="W467" s="176"/>
      <c r="X467" s="176"/>
      <c r="Y467" s="176"/>
      <c r="Z467" s="176"/>
      <c r="AA467" s="176"/>
      <c r="AB467" s="176"/>
      <c r="AC467" s="176"/>
      <c r="AD467" s="176"/>
      <c r="AE467" s="176"/>
      <c r="AF467" s="176"/>
      <c r="AG467" s="176"/>
      <c r="AH467" s="176"/>
      <c r="AI467" s="176"/>
      <c r="AJ467" s="176"/>
      <c r="AK467" s="176"/>
      <c r="AL467" s="176"/>
      <c r="AM467" s="176"/>
      <c r="AN467" s="176"/>
      <c r="AO467" s="176"/>
      <c r="AP467" s="176"/>
      <c r="AQ467" s="176"/>
      <c r="AR467" s="176"/>
      <c r="AS467" s="176"/>
      <c r="AT467" s="176"/>
      <c r="AU467" s="176"/>
      <c r="AV467" s="176"/>
      <c r="AW467" s="176"/>
      <c r="AX467" s="176"/>
      <c r="AY467" s="176"/>
      <c r="AZ467" s="176"/>
      <c r="BA467" s="176"/>
      <c r="BB467" s="176"/>
      <c r="BC467" s="176"/>
      <c r="BD467" s="176"/>
      <c r="BE467" s="176"/>
      <c r="BF467" s="176"/>
      <c r="BG467" s="176"/>
      <c r="BH467" s="176"/>
      <c r="BI467" s="176"/>
      <c r="BJ467" s="176"/>
    </row>
    <row r="468" spans="2:62" x14ac:dyDescent="0.3">
      <c r="B468" s="3"/>
      <c r="C468" s="2"/>
      <c r="D468" s="2"/>
      <c r="E468" s="3"/>
      <c r="O468" s="176"/>
      <c r="P468" s="176"/>
      <c r="Q468" s="176"/>
      <c r="R468" s="176"/>
      <c r="S468" s="176"/>
      <c r="T468" s="176"/>
      <c r="U468" s="176"/>
      <c r="V468" s="176"/>
      <c r="W468" s="176"/>
      <c r="X468" s="176"/>
      <c r="Y468" s="176"/>
      <c r="Z468" s="176"/>
      <c r="AA468" s="176"/>
      <c r="AB468" s="176"/>
      <c r="AC468" s="176"/>
      <c r="AD468" s="176"/>
      <c r="AE468" s="176"/>
      <c r="AF468" s="176"/>
      <c r="AG468" s="176"/>
      <c r="AH468" s="176"/>
      <c r="AI468" s="176"/>
      <c r="AJ468" s="176"/>
      <c r="AK468" s="176"/>
      <c r="AL468" s="176"/>
      <c r="AM468" s="176"/>
      <c r="AN468" s="176"/>
      <c r="AO468" s="176"/>
      <c r="AP468" s="176"/>
      <c r="AQ468" s="176"/>
      <c r="AR468" s="176"/>
      <c r="AS468" s="176"/>
      <c r="AT468" s="176"/>
      <c r="AU468" s="176"/>
      <c r="AV468" s="176"/>
      <c r="AW468" s="176"/>
      <c r="AX468" s="176"/>
      <c r="AY468" s="176"/>
      <c r="AZ468" s="176"/>
      <c r="BA468" s="176"/>
      <c r="BB468" s="176"/>
      <c r="BC468" s="176"/>
      <c r="BD468" s="176"/>
      <c r="BE468" s="176"/>
      <c r="BF468" s="176"/>
      <c r="BG468" s="176"/>
      <c r="BH468" s="176"/>
      <c r="BI468" s="176"/>
      <c r="BJ468" s="176"/>
    </row>
    <row r="469" spans="2:62" x14ac:dyDescent="0.3">
      <c r="B469" s="3"/>
      <c r="C469" s="2"/>
      <c r="D469" s="2"/>
      <c r="E469" s="3"/>
      <c r="O469" s="176"/>
      <c r="P469" s="176"/>
      <c r="Q469" s="176"/>
      <c r="R469" s="176"/>
      <c r="S469" s="176"/>
      <c r="T469" s="176"/>
      <c r="U469" s="176"/>
      <c r="V469" s="176"/>
      <c r="W469" s="176"/>
      <c r="X469" s="176"/>
      <c r="Y469" s="176"/>
      <c r="Z469" s="176"/>
      <c r="AA469" s="176"/>
      <c r="AB469" s="176"/>
      <c r="AC469" s="176"/>
      <c r="AD469" s="176"/>
      <c r="AE469" s="176"/>
      <c r="AF469" s="176"/>
      <c r="AG469" s="176"/>
      <c r="AH469" s="176"/>
      <c r="AI469" s="176"/>
      <c r="AJ469" s="176"/>
      <c r="AK469" s="176"/>
      <c r="AL469" s="176"/>
      <c r="AM469" s="176"/>
      <c r="AN469" s="176"/>
      <c r="AO469" s="176"/>
      <c r="AP469" s="176"/>
      <c r="AQ469" s="176"/>
      <c r="AR469" s="176"/>
      <c r="AS469" s="176"/>
      <c r="AT469" s="176"/>
      <c r="AU469" s="176"/>
      <c r="AV469" s="176"/>
      <c r="AW469" s="176"/>
      <c r="AX469" s="176"/>
      <c r="AY469" s="176"/>
      <c r="AZ469" s="176"/>
      <c r="BA469" s="176"/>
      <c r="BB469" s="176"/>
      <c r="BC469" s="176"/>
      <c r="BD469" s="176"/>
      <c r="BE469" s="176"/>
      <c r="BF469" s="176"/>
      <c r="BG469" s="176"/>
      <c r="BH469" s="176"/>
      <c r="BI469" s="176"/>
      <c r="BJ469" s="176"/>
    </row>
    <row r="470" spans="2:62" x14ac:dyDescent="0.3">
      <c r="B470" s="3"/>
      <c r="C470" s="2"/>
      <c r="D470" s="2"/>
      <c r="E470" s="3"/>
      <c r="O470" s="176"/>
      <c r="P470" s="176"/>
      <c r="Q470" s="176"/>
      <c r="R470" s="176"/>
      <c r="S470" s="176"/>
      <c r="T470" s="176"/>
      <c r="U470" s="176"/>
      <c r="V470" s="176"/>
      <c r="W470" s="176"/>
      <c r="X470" s="176"/>
      <c r="Y470" s="176"/>
      <c r="Z470" s="176"/>
      <c r="AA470" s="176"/>
      <c r="AB470" s="176"/>
      <c r="AC470" s="176"/>
      <c r="AD470" s="176"/>
      <c r="AE470" s="176"/>
      <c r="AF470" s="176"/>
      <c r="AG470" s="176"/>
      <c r="AH470" s="176"/>
      <c r="AI470" s="176"/>
      <c r="AJ470" s="176"/>
      <c r="AK470" s="176"/>
      <c r="AL470" s="176"/>
      <c r="AM470" s="176"/>
      <c r="AN470" s="176"/>
      <c r="AO470" s="176"/>
      <c r="AP470" s="176"/>
      <c r="AQ470" s="176"/>
      <c r="AR470" s="176"/>
      <c r="AS470" s="176"/>
      <c r="AT470" s="176"/>
      <c r="AU470" s="176"/>
      <c r="AV470" s="176"/>
      <c r="AW470" s="176"/>
      <c r="AX470" s="176"/>
      <c r="AY470" s="176"/>
      <c r="AZ470" s="176"/>
      <c r="BA470" s="176"/>
      <c r="BB470" s="176"/>
      <c r="BC470" s="176"/>
      <c r="BD470" s="176"/>
      <c r="BE470" s="176"/>
      <c r="BF470" s="176"/>
      <c r="BG470" s="176"/>
      <c r="BH470" s="176"/>
      <c r="BI470" s="176"/>
      <c r="BJ470" s="176"/>
    </row>
    <row r="471" spans="2:62" x14ac:dyDescent="0.3">
      <c r="B471" s="3"/>
      <c r="C471" s="2"/>
      <c r="D471" s="2"/>
      <c r="E471" s="3"/>
      <c r="O471" s="176"/>
      <c r="P471" s="176"/>
      <c r="Q471" s="176"/>
      <c r="R471" s="176"/>
      <c r="S471" s="176"/>
      <c r="T471" s="176"/>
      <c r="U471" s="176"/>
      <c r="V471" s="176"/>
      <c r="W471" s="176"/>
      <c r="X471" s="176"/>
      <c r="Y471" s="176"/>
      <c r="Z471" s="176"/>
      <c r="AA471" s="176"/>
      <c r="AB471" s="176"/>
      <c r="AC471" s="176"/>
      <c r="AD471" s="176"/>
      <c r="AE471" s="176"/>
      <c r="AF471" s="176"/>
      <c r="AG471" s="176"/>
      <c r="AH471" s="176"/>
      <c r="AI471" s="176"/>
      <c r="AJ471" s="176"/>
      <c r="AK471" s="176"/>
      <c r="AL471" s="176"/>
      <c r="AM471" s="176"/>
      <c r="AN471" s="176"/>
      <c r="AO471" s="176"/>
      <c r="AP471" s="176"/>
      <c r="AQ471" s="176"/>
      <c r="AR471" s="176"/>
      <c r="AS471" s="176"/>
      <c r="AT471" s="176"/>
      <c r="AU471" s="176"/>
      <c r="AV471" s="176"/>
      <c r="AW471" s="176"/>
      <c r="AX471" s="176"/>
      <c r="AY471" s="176"/>
      <c r="AZ471" s="176"/>
      <c r="BA471" s="176"/>
      <c r="BB471" s="176"/>
      <c r="BC471" s="176"/>
      <c r="BD471" s="176"/>
      <c r="BE471" s="176"/>
      <c r="BF471" s="176"/>
      <c r="BG471" s="176"/>
      <c r="BH471" s="176"/>
      <c r="BI471" s="176"/>
      <c r="BJ471" s="176"/>
    </row>
    <row r="472" spans="2:62" x14ac:dyDescent="0.3">
      <c r="B472" s="3"/>
      <c r="C472" s="2"/>
      <c r="D472" s="2"/>
      <c r="E472" s="3"/>
      <c r="O472" s="176"/>
      <c r="P472" s="176"/>
      <c r="Q472" s="176"/>
      <c r="R472" s="176"/>
      <c r="S472" s="176"/>
      <c r="T472" s="176"/>
      <c r="U472" s="176"/>
      <c r="V472" s="176"/>
      <c r="W472" s="176"/>
      <c r="X472" s="176"/>
      <c r="Y472" s="176"/>
      <c r="Z472" s="176"/>
      <c r="AA472" s="176"/>
      <c r="AB472" s="176"/>
      <c r="AC472" s="176"/>
      <c r="AD472" s="176"/>
      <c r="AE472" s="176"/>
      <c r="AF472" s="176"/>
      <c r="AG472" s="176"/>
      <c r="AH472" s="176"/>
      <c r="AI472" s="176"/>
      <c r="AJ472" s="176"/>
      <c r="AK472" s="176"/>
      <c r="AL472" s="176"/>
      <c r="AM472" s="176"/>
      <c r="AN472" s="176"/>
      <c r="AO472" s="176"/>
      <c r="AP472" s="176"/>
      <c r="AQ472" s="176"/>
      <c r="AR472" s="176"/>
      <c r="AS472" s="176"/>
      <c r="AT472" s="176"/>
      <c r="AU472" s="176"/>
      <c r="AV472" s="176"/>
      <c r="AW472" s="176"/>
      <c r="AX472" s="176"/>
      <c r="AY472" s="176"/>
      <c r="AZ472" s="176"/>
      <c r="BA472" s="176"/>
      <c r="BB472" s="176"/>
      <c r="BC472" s="176"/>
      <c r="BD472" s="176"/>
      <c r="BE472" s="176"/>
      <c r="BF472" s="176"/>
      <c r="BG472" s="176"/>
      <c r="BH472" s="176"/>
      <c r="BI472" s="176"/>
      <c r="BJ472" s="176"/>
    </row>
    <row r="473" spans="2:62" x14ac:dyDescent="0.3">
      <c r="B473" s="3"/>
      <c r="C473" s="2"/>
      <c r="D473" s="2"/>
      <c r="E473" s="3"/>
      <c r="O473" s="176"/>
      <c r="P473" s="176"/>
      <c r="Q473" s="176"/>
      <c r="R473" s="176"/>
      <c r="S473" s="176"/>
      <c r="T473" s="176"/>
      <c r="U473" s="176"/>
      <c r="V473" s="176"/>
      <c r="W473" s="176"/>
      <c r="X473" s="176"/>
      <c r="Y473" s="176"/>
      <c r="Z473" s="176"/>
      <c r="AA473" s="176"/>
      <c r="AB473" s="176"/>
      <c r="AC473" s="176"/>
      <c r="AD473" s="176"/>
      <c r="AE473" s="176"/>
      <c r="AF473" s="176"/>
      <c r="AG473" s="176"/>
      <c r="AH473" s="176"/>
      <c r="AI473" s="176"/>
      <c r="AJ473" s="176"/>
      <c r="AK473" s="176"/>
      <c r="AL473" s="176"/>
      <c r="AM473" s="176"/>
      <c r="AN473" s="176"/>
      <c r="AO473" s="176"/>
      <c r="AP473" s="176"/>
      <c r="AQ473" s="176"/>
      <c r="AR473" s="176"/>
      <c r="AS473" s="176"/>
      <c r="AT473" s="176"/>
      <c r="AU473" s="176"/>
      <c r="AV473" s="176"/>
      <c r="AW473" s="176"/>
      <c r="AX473" s="176"/>
      <c r="AY473" s="176"/>
      <c r="AZ473" s="176"/>
      <c r="BA473" s="176"/>
      <c r="BB473" s="176"/>
      <c r="BC473" s="176"/>
      <c r="BD473" s="176"/>
      <c r="BE473" s="176"/>
      <c r="BF473" s="176"/>
      <c r="BG473" s="176"/>
      <c r="BH473" s="176"/>
      <c r="BI473" s="176"/>
      <c r="BJ473" s="176"/>
    </row>
    <row r="474" spans="2:62" x14ac:dyDescent="0.3">
      <c r="B474" s="3"/>
      <c r="C474" s="2"/>
      <c r="D474" s="2"/>
      <c r="E474" s="3"/>
      <c r="O474" s="176"/>
      <c r="P474" s="176"/>
      <c r="Q474" s="176"/>
      <c r="R474" s="176"/>
      <c r="S474" s="176"/>
      <c r="T474" s="176"/>
      <c r="U474" s="176"/>
      <c r="V474" s="176"/>
      <c r="W474" s="176"/>
      <c r="X474" s="176"/>
      <c r="Y474" s="176"/>
      <c r="Z474" s="176"/>
      <c r="AA474" s="176"/>
      <c r="AB474" s="176"/>
      <c r="AC474" s="176"/>
      <c r="AD474" s="176"/>
      <c r="AE474" s="176"/>
      <c r="AF474" s="176"/>
      <c r="AG474" s="176"/>
      <c r="AH474" s="176"/>
      <c r="AI474" s="176"/>
      <c r="AJ474" s="176"/>
      <c r="AK474" s="176"/>
      <c r="AL474" s="176"/>
      <c r="AM474" s="176"/>
      <c r="AN474" s="176"/>
      <c r="AO474" s="176"/>
      <c r="AP474" s="176"/>
      <c r="AQ474" s="176"/>
      <c r="AR474" s="176"/>
      <c r="AS474" s="176"/>
      <c r="AT474" s="176"/>
      <c r="AU474" s="176"/>
      <c r="AV474" s="176"/>
      <c r="AW474" s="176"/>
      <c r="AX474" s="176"/>
      <c r="AY474" s="176"/>
      <c r="AZ474" s="176"/>
      <c r="BA474" s="176"/>
      <c r="BB474" s="176"/>
      <c r="BC474" s="176"/>
      <c r="BD474" s="176"/>
      <c r="BE474" s="176"/>
      <c r="BF474" s="176"/>
      <c r="BG474" s="176"/>
      <c r="BH474" s="176"/>
      <c r="BI474" s="176"/>
      <c r="BJ474" s="176"/>
    </row>
    <row r="475" spans="2:62" x14ac:dyDescent="0.3">
      <c r="B475" s="3"/>
      <c r="C475" s="2"/>
      <c r="D475" s="2"/>
      <c r="E475" s="3"/>
      <c r="O475" s="176"/>
      <c r="P475" s="176"/>
      <c r="Q475" s="176"/>
      <c r="R475" s="176"/>
      <c r="S475" s="176"/>
      <c r="T475" s="176"/>
      <c r="U475" s="176"/>
      <c r="V475" s="176"/>
      <c r="W475" s="176"/>
      <c r="X475" s="176"/>
      <c r="Y475" s="176"/>
      <c r="Z475" s="176"/>
      <c r="AA475" s="176"/>
      <c r="AB475" s="176"/>
      <c r="AC475" s="176"/>
      <c r="AD475" s="176"/>
      <c r="AE475" s="176"/>
      <c r="AF475" s="176"/>
      <c r="AG475" s="176"/>
      <c r="AH475" s="176"/>
      <c r="AI475" s="176"/>
      <c r="AJ475" s="176"/>
      <c r="AK475" s="176"/>
      <c r="AL475" s="176"/>
      <c r="AM475" s="176"/>
      <c r="AN475" s="176"/>
      <c r="AO475" s="176"/>
      <c r="AP475" s="176"/>
      <c r="AQ475" s="176"/>
      <c r="AR475" s="176"/>
      <c r="AS475" s="176"/>
      <c r="AT475" s="176"/>
      <c r="AU475" s="176"/>
      <c r="AV475" s="176"/>
      <c r="AW475" s="176"/>
      <c r="AX475" s="176"/>
      <c r="AY475" s="176"/>
      <c r="AZ475" s="176"/>
      <c r="BA475" s="176"/>
      <c r="BB475" s="176"/>
      <c r="BC475" s="176"/>
      <c r="BD475" s="176"/>
      <c r="BE475" s="176"/>
      <c r="BF475" s="176"/>
      <c r="BG475" s="176"/>
      <c r="BH475" s="176"/>
      <c r="BI475" s="176"/>
      <c r="BJ475" s="176"/>
    </row>
    <row r="476" spans="2:62" x14ac:dyDescent="0.3">
      <c r="B476" s="3"/>
      <c r="C476" s="2"/>
      <c r="D476" s="2"/>
      <c r="E476" s="3"/>
      <c r="O476" s="176"/>
      <c r="P476" s="176"/>
      <c r="Q476" s="176"/>
      <c r="R476" s="176"/>
      <c r="S476" s="176"/>
      <c r="T476" s="176"/>
      <c r="U476" s="176"/>
      <c r="V476" s="176"/>
      <c r="W476" s="176"/>
      <c r="X476" s="176"/>
      <c r="Y476" s="176"/>
      <c r="Z476" s="176"/>
      <c r="AA476" s="176"/>
      <c r="AB476" s="176"/>
      <c r="AC476" s="176"/>
      <c r="AD476" s="176"/>
      <c r="AE476" s="176"/>
      <c r="AF476" s="176"/>
      <c r="AG476" s="176"/>
      <c r="AH476" s="176"/>
      <c r="AI476" s="176"/>
      <c r="AJ476" s="176"/>
      <c r="AK476" s="176"/>
      <c r="AL476" s="176"/>
      <c r="AM476" s="176"/>
      <c r="AN476" s="176"/>
      <c r="AO476" s="176"/>
      <c r="AP476" s="176"/>
      <c r="AQ476" s="176"/>
      <c r="AR476" s="176"/>
      <c r="AS476" s="176"/>
      <c r="AT476" s="176"/>
      <c r="AU476" s="176"/>
      <c r="AV476" s="176"/>
      <c r="AW476" s="176"/>
      <c r="AX476" s="176"/>
      <c r="AY476" s="176"/>
      <c r="AZ476" s="176"/>
      <c r="BA476" s="176"/>
      <c r="BB476" s="176"/>
      <c r="BC476" s="176"/>
      <c r="BD476" s="176"/>
      <c r="BE476" s="176"/>
      <c r="BF476" s="176"/>
      <c r="BG476" s="176"/>
      <c r="BH476" s="176"/>
      <c r="BI476" s="176"/>
      <c r="BJ476" s="176"/>
    </row>
    <row r="477" spans="2:62" x14ac:dyDescent="0.3">
      <c r="B477" s="3"/>
      <c r="C477" s="2"/>
      <c r="D477" s="2"/>
      <c r="E477" s="3"/>
      <c r="O477" s="176"/>
      <c r="P477" s="176"/>
      <c r="Q477" s="176"/>
      <c r="R477" s="176"/>
      <c r="S477" s="176"/>
      <c r="T477" s="176"/>
      <c r="U477" s="176"/>
      <c r="V477" s="176"/>
      <c r="W477" s="176"/>
      <c r="X477" s="176"/>
      <c r="Y477" s="176"/>
      <c r="Z477" s="176"/>
      <c r="AA477" s="176"/>
      <c r="AB477" s="176"/>
      <c r="AC477" s="176"/>
      <c r="AD477" s="176"/>
      <c r="AE477" s="176"/>
      <c r="AF477" s="176"/>
      <c r="AG477" s="176"/>
      <c r="AH477" s="176"/>
      <c r="AI477" s="176"/>
      <c r="AJ477" s="176"/>
      <c r="AK477" s="176"/>
      <c r="AL477" s="176"/>
      <c r="AM477" s="176"/>
      <c r="AN477" s="176"/>
      <c r="AO477" s="176"/>
      <c r="AP477" s="176"/>
      <c r="AQ477" s="176"/>
      <c r="AR477" s="176"/>
      <c r="AS477" s="176"/>
      <c r="AT477" s="176"/>
      <c r="AU477" s="176"/>
      <c r="AV477" s="176"/>
      <c r="AW477" s="176"/>
      <c r="AX477" s="176"/>
      <c r="AY477" s="176"/>
      <c r="AZ477" s="176"/>
      <c r="BA477" s="176"/>
      <c r="BB477" s="176"/>
      <c r="BC477" s="176"/>
      <c r="BD477" s="176"/>
      <c r="BE477" s="176"/>
      <c r="BF477" s="176"/>
      <c r="BG477" s="176"/>
      <c r="BH477" s="176"/>
      <c r="BI477" s="176"/>
      <c r="BJ477" s="176"/>
    </row>
    <row r="478" spans="2:62" x14ac:dyDescent="0.3">
      <c r="B478" s="3"/>
      <c r="C478" s="2"/>
      <c r="D478" s="2"/>
      <c r="E478" s="3"/>
      <c r="O478" s="176"/>
      <c r="P478" s="176"/>
      <c r="Q478" s="176"/>
      <c r="R478" s="176"/>
      <c r="S478" s="176"/>
      <c r="T478" s="176"/>
      <c r="U478" s="176"/>
      <c r="V478" s="176"/>
      <c r="W478" s="176"/>
      <c r="X478" s="176"/>
      <c r="Y478" s="176"/>
      <c r="Z478" s="176"/>
      <c r="AA478" s="176"/>
      <c r="AB478" s="176"/>
      <c r="AC478" s="176"/>
      <c r="AD478" s="176"/>
      <c r="AE478" s="176"/>
      <c r="AF478" s="176"/>
      <c r="AG478" s="176"/>
      <c r="AH478" s="176"/>
      <c r="AI478" s="176"/>
      <c r="AJ478" s="176"/>
      <c r="AK478" s="176"/>
      <c r="AL478" s="176"/>
      <c r="AM478" s="176"/>
      <c r="AN478" s="176"/>
      <c r="AO478" s="176"/>
      <c r="AP478" s="176"/>
      <c r="AQ478" s="176"/>
      <c r="AR478" s="176"/>
      <c r="AS478" s="176"/>
      <c r="AT478" s="176"/>
      <c r="AU478" s="176"/>
      <c r="AV478" s="176"/>
      <c r="AW478" s="176"/>
      <c r="AX478" s="176"/>
      <c r="AY478" s="176"/>
      <c r="AZ478" s="176"/>
      <c r="BA478" s="176"/>
      <c r="BB478" s="176"/>
      <c r="BC478" s="176"/>
      <c r="BD478" s="176"/>
      <c r="BE478" s="176"/>
      <c r="BF478" s="176"/>
      <c r="BG478" s="176"/>
      <c r="BH478" s="176"/>
      <c r="BI478" s="176"/>
      <c r="BJ478" s="176"/>
    </row>
    <row r="479" spans="2:62" x14ac:dyDescent="0.3">
      <c r="B479" s="3"/>
      <c r="C479" s="2"/>
      <c r="D479" s="2"/>
      <c r="E479" s="3"/>
      <c r="O479" s="176"/>
      <c r="P479" s="176"/>
      <c r="Q479" s="176"/>
      <c r="R479" s="176"/>
      <c r="S479" s="176"/>
      <c r="T479" s="176"/>
      <c r="U479" s="176"/>
      <c r="V479" s="176"/>
      <c r="W479" s="176"/>
      <c r="X479" s="176"/>
      <c r="Y479" s="176"/>
      <c r="Z479" s="176"/>
      <c r="AA479" s="176"/>
      <c r="AB479" s="176"/>
      <c r="AC479" s="176"/>
      <c r="AD479" s="176"/>
      <c r="AE479" s="176"/>
      <c r="AF479" s="176"/>
      <c r="AG479" s="176"/>
      <c r="AH479" s="176"/>
      <c r="AI479" s="176"/>
      <c r="AJ479" s="176"/>
      <c r="AK479" s="176"/>
      <c r="AL479" s="176"/>
      <c r="AM479" s="176"/>
      <c r="AN479" s="176"/>
      <c r="AO479" s="176"/>
      <c r="AP479" s="176"/>
      <c r="AQ479" s="176"/>
      <c r="AR479" s="176"/>
      <c r="AS479" s="176"/>
      <c r="AT479" s="176"/>
      <c r="AU479" s="176"/>
      <c r="AV479" s="176"/>
      <c r="AW479" s="176"/>
      <c r="AX479" s="176"/>
      <c r="AY479" s="176"/>
      <c r="AZ479" s="176"/>
      <c r="BA479" s="176"/>
      <c r="BB479" s="176"/>
      <c r="BC479" s="176"/>
      <c r="BD479" s="176"/>
      <c r="BE479" s="176"/>
      <c r="BF479" s="176"/>
      <c r="BG479" s="176"/>
      <c r="BH479" s="176"/>
      <c r="BI479" s="176"/>
      <c r="BJ479" s="176"/>
    </row>
    <row r="480" spans="2:62" x14ac:dyDescent="0.3">
      <c r="B480" s="3"/>
      <c r="C480" s="2"/>
      <c r="D480" s="2"/>
      <c r="E480" s="3"/>
      <c r="O480" s="176"/>
      <c r="P480" s="176"/>
      <c r="Q480" s="176"/>
      <c r="R480" s="176"/>
      <c r="S480" s="176"/>
      <c r="T480" s="176"/>
      <c r="U480" s="176"/>
      <c r="V480" s="176"/>
      <c r="W480" s="176"/>
      <c r="X480" s="176"/>
      <c r="Y480" s="176"/>
      <c r="Z480" s="176"/>
      <c r="AA480" s="176"/>
      <c r="AB480" s="176"/>
      <c r="AC480" s="176"/>
      <c r="AD480" s="176"/>
      <c r="AE480" s="176"/>
      <c r="AF480" s="176"/>
      <c r="AG480" s="176"/>
      <c r="AH480" s="176"/>
      <c r="AI480" s="176"/>
      <c r="AJ480" s="176"/>
      <c r="AK480" s="176"/>
      <c r="AL480" s="176"/>
      <c r="AM480" s="176"/>
      <c r="AN480" s="176"/>
      <c r="AO480" s="176"/>
      <c r="AP480" s="176"/>
      <c r="AQ480" s="176"/>
      <c r="AR480" s="176"/>
      <c r="AS480" s="176"/>
      <c r="AT480" s="176"/>
      <c r="AU480" s="176"/>
      <c r="AV480" s="176"/>
      <c r="AW480" s="176"/>
      <c r="AX480" s="176"/>
      <c r="AY480" s="176"/>
      <c r="AZ480" s="176"/>
      <c r="BA480" s="176"/>
      <c r="BB480" s="176"/>
      <c r="BC480" s="176"/>
      <c r="BD480" s="176"/>
      <c r="BE480" s="176"/>
      <c r="BF480" s="176"/>
      <c r="BG480" s="176"/>
      <c r="BH480" s="176"/>
      <c r="BI480" s="176"/>
      <c r="BJ480" s="176"/>
    </row>
    <row r="481" spans="2:62" x14ac:dyDescent="0.3">
      <c r="B481" s="3"/>
      <c r="C481" s="2"/>
      <c r="D481" s="2"/>
      <c r="E481" s="3"/>
      <c r="O481" s="176"/>
      <c r="P481" s="176"/>
      <c r="Q481" s="176"/>
      <c r="R481" s="176"/>
      <c r="S481" s="176"/>
      <c r="T481" s="176"/>
      <c r="U481" s="176"/>
      <c r="V481" s="176"/>
      <c r="W481" s="176"/>
      <c r="X481" s="176"/>
      <c r="Y481" s="176"/>
      <c r="Z481" s="176"/>
      <c r="AA481" s="176"/>
      <c r="AB481" s="176"/>
      <c r="AC481" s="176"/>
      <c r="AD481" s="176"/>
      <c r="AE481" s="176"/>
      <c r="AF481" s="176"/>
      <c r="AG481" s="176"/>
      <c r="AH481" s="176"/>
      <c r="AI481" s="176"/>
      <c r="AJ481" s="176"/>
      <c r="AK481" s="176"/>
      <c r="AL481" s="176"/>
      <c r="AM481" s="176"/>
      <c r="AN481" s="176"/>
      <c r="AO481" s="176"/>
      <c r="AP481" s="176"/>
      <c r="AQ481" s="176"/>
      <c r="AR481" s="176"/>
      <c r="AS481" s="176"/>
      <c r="AT481" s="176"/>
      <c r="AU481" s="176"/>
      <c r="AV481" s="176"/>
      <c r="AW481" s="176"/>
      <c r="AX481" s="176"/>
      <c r="AY481" s="176"/>
      <c r="AZ481" s="176"/>
      <c r="BA481" s="176"/>
      <c r="BB481" s="176"/>
      <c r="BC481" s="176"/>
      <c r="BD481" s="176"/>
      <c r="BE481" s="176"/>
      <c r="BF481" s="176"/>
      <c r="BG481" s="176"/>
      <c r="BH481" s="176"/>
      <c r="BI481" s="176"/>
      <c r="BJ481" s="176"/>
    </row>
    <row r="482" spans="2:62" x14ac:dyDescent="0.3">
      <c r="B482" s="3"/>
      <c r="C482" s="2"/>
      <c r="D482" s="2"/>
      <c r="E482" s="3"/>
      <c r="O482" s="176"/>
      <c r="P482" s="176"/>
      <c r="Q482" s="176"/>
      <c r="R482" s="176"/>
      <c r="S482" s="176"/>
      <c r="T482" s="176"/>
      <c r="U482" s="176"/>
      <c r="V482" s="176"/>
      <c r="W482" s="176"/>
      <c r="X482" s="176"/>
      <c r="Y482" s="176"/>
      <c r="Z482" s="176"/>
      <c r="AA482" s="176"/>
      <c r="AB482" s="176"/>
      <c r="AC482" s="176"/>
      <c r="AD482" s="176"/>
      <c r="AE482" s="176"/>
      <c r="AF482" s="176"/>
      <c r="AG482" s="176"/>
      <c r="AH482" s="176"/>
      <c r="AI482" s="176"/>
      <c r="AJ482" s="176"/>
      <c r="AK482" s="176"/>
      <c r="AL482" s="176"/>
      <c r="AM482" s="176"/>
      <c r="AN482" s="176"/>
      <c r="AO482" s="176"/>
      <c r="AP482" s="176"/>
      <c r="AQ482" s="176"/>
      <c r="AR482" s="176"/>
      <c r="AS482" s="176"/>
      <c r="AT482" s="176"/>
      <c r="AU482" s="176"/>
      <c r="AV482" s="176"/>
      <c r="AW482" s="176"/>
      <c r="AX482" s="176"/>
      <c r="AY482" s="176"/>
      <c r="AZ482" s="176"/>
      <c r="BA482" s="176"/>
      <c r="BB482" s="176"/>
      <c r="BC482" s="176"/>
      <c r="BD482" s="176"/>
      <c r="BE482" s="176"/>
      <c r="BF482" s="176"/>
      <c r="BG482" s="176"/>
      <c r="BH482" s="176"/>
      <c r="BI482" s="176"/>
      <c r="BJ482" s="176"/>
    </row>
    <row r="483" spans="2:62" x14ac:dyDescent="0.3">
      <c r="B483" s="3"/>
      <c r="C483" s="2"/>
      <c r="D483" s="2"/>
      <c r="E483" s="3"/>
      <c r="O483" s="176"/>
      <c r="P483" s="176"/>
      <c r="Q483" s="176"/>
      <c r="R483" s="176"/>
      <c r="S483" s="176"/>
      <c r="T483" s="176"/>
      <c r="U483" s="176"/>
      <c r="V483" s="176"/>
      <c r="W483" s="176"/>
      <c r="X483" s="176"/>
      <c r="Y483" s="176"/>
      <c r="Z483" s="176"/>
      <c r="AA483" s="176"/>
      <c r="AB483" s="176"/>
      <c r="AC483" s="176"/>
      <c r="AD483" s="176"/>
      <c r="AE483" s="176"/>
      <c r="AF483" s="176"/>
      <c r="AG483" s="176"/>
      <c r="AH483" s="176"/>
      <c r="AI483" s="176"/>
      <c r="AJ483" s="176"/>
      <c r="AK483" s="176"/>
      <c r="AL483" s="176"/>
      <c r="AM483" s="176"/>
      <c r="AN483" s="176"/>
      <c r="AO483" s="176"/>
      <c r="AP483" s="176"/>
      <c r="AQ483" s="176"/>
      <c r="AR483" s="176"/>
      <c r="AS483" s="176"/>
      <c r="AT483" s="176"/>
      <c r="AU483" s="176"/>
      <c r="AV483" s="176"/>
      <c r="AW483" s="176"/>
      <c r="AX483" s="176"/>
      <c r="AY483" s="176"/>
      <c r="AZ483" s="176"/>
      <c r="BA483" s="176"/>
      <c r="BB483" s="176"/>
      <c r="BC483" s="176"/>
      <c r="BD483" s="176"/>
      <c r="BE483" s="176"/>
      <c r="BF483" s="176"/>
      <c r="BG483" s="176"/>
      <c r="BH483" s="176"/>
      <c r="BI483" s="176"/>
      <c r="BJ483" s="176"/>
    </row>
    <row r="484" spans="2:62" x14ac:dyDescent="0.3">
      <c r="B484" s="3"/>
      <c r="C484" s="2"/>
      <c r="D484" s="2"/>
      <c r="E484" s="3"/>
      <c r="O484" s="176"/>
      <c r="P484" s="176"/>
      <c r="Q484" s="176"/>
      <c r="R484" s="176"/>
      <c r="S484" s="176"/>
      <c r="T484" s="176"/>
      <c r="U484" s="176"/>
      <c r="V484" s="176"/>
      <c r="W484" s="176"/>
      <c r="X484" s="176"/>
      <c r="Y484" s="176"/>
      <c r="Z484" s="176"/>
      <c r="AA484" s="176"/>
      <c r="AB484" s="176"/>
      <c r="AC484" s="176"/>
      <c r="AD484" s="176"/>
      <c r="AE484" s="176"/>
      <c r="AF484" s="176"/>
      <c r="AG484" s="176"/>
      <c r="AH484" s="176"/>
      <c r="AI484" s="176"/>
      <c r="AJ484" s="176"/>
      <c r="AK484" s="176"/>
      <c r="AL484" s="176"/>
      <c r="AM484" s="176"/>
      <c r="AN484" s="176"/>
      <c r="AO484" s="176"/>
      <c r="AP484" s="176"/>
      <c r="AQ484" s="176"/>
      <c r="AR484" s="176"/>
      <c r="AS484" s="176"/>
      <c r="AT484" s="176"/>
      <c r="AU484" s="176"/>
      <c r="AV484" s="176"/>
      <c r="AW484" s="176"/>
      <c r="AX484" s="176"/>
      <c r="AY484" s="176"/>
      <c r="AZ484" s="176"/>
      <c r="BA484" s="176"/>
      <c r="BB484" s="176"/>
      <c r="BC484" s="176"/>
      <c r="BD484" s="176"/>
      <c r="BE484" s="176"/>
      <c r="BF484" s="176"/>
      <c r="BG484" s="176"/>
      <c r="BH484" s="176"/>
      <c r="BI484" s="176"/>
      <c r="BJ484" s="176"/>
    </row>
    <row r="485" spans="2:62" x14ac:dyDescent="0.3">
      <c r="B485" s="3"/>
      <c r="C485" s="2"/>
      <c r="D485" s="2"/>
      <c r="E485" s="3"/>
      <c r="O485" s="176"/>
      <c r="P485" s="176"/>
      <c r="Q485" s="176"/>
      <c r="R485" s="176"/>
      <c r="S485" s="176"/>
      <c r="T485" s="176"/>
      <c r="U485" s="176"/>
      <c r="V485" s="176"/>
      <c r="W485" s="176"/>
      <c r="X485" s="176"/>
      <c r="Y485" s="176"/>
      <c r="Z485" s="176"/>
      <c r="AA485" s="176"/>
      <c r="AB485" s="176"/>
      <c r="AC485" s="176"/>
      <c r="AD485" s="176"/>
      <c r="AE485" s="176"/>
      <c r="AF485" s="176"/>
      <c r="AG485" s="176"/>
      <c r="AH485" s="176"/>
      <c r="AI485" s="176"/>
      <c r="AJ485" s="176"/>
      <c r="AK485" s="176"/>
      <c r="AL485" s="176"/>
      <c r="AM485" s="176"/>
      <c r="AN485" s="176"/>
      <c r="AO485" s="176"/>
      <c r="AP485" s="176"/>
      <c r="AQ485" s="176"/>
      <c r="AR485" s="176"/>
      <c r="AS485" s="176"/>
      <c r="AT485" s="176"/>
      <c r="AU485" s="176"/>
      <c r="AV485" s="176"/>
      <c r="AW485" s="176"/>
      <c r="AX485" s="176"/>
      <c r="AY485" s="176"/>
      <c r="AZ485" s="176"/>
      <c r="BA485" s="176"/>
      <c r="BB485" s="176"/>
      <c r="BC485" s="176"/>
      <c r="BD485" s="176"/>
      <c r="BE485" s="176"/>
      <c r="BF485" s="176"/>
      <c r="BG485" s="176"/>
      <c r="BH485" s="176"/>
      <c r="BI485" s="176"/>
      <c r="BJ485" s="176"/>
    </row>
    <row r="486" spans="2:62" x14ac:dyDescent="0.3">
      <c r="B486" s="3"/>
      <c r="C486" s="2"/>
      <c r="D486" s="2"/>
      <c r="E486" s="3"/>
      <c r="O486" s="176"/>
      <c r="P486" s="176"/>
      <c r="Q486" s="176"/>
      <c r="R486" s="176"/>
      <c r="S486" s="176"/>
      <c r="T486" s="176"/>
      <c r="U486" s="176"/>
      <c r="V486" s="176"/>
      <c r="W486" s="176"/>
      <c r="X486" s="176"/>
      <c r="Y486" s="176"/>
      <c r="Z486" s="176"/>
      <c r="AA486" s="176"/>
      <c r="AB486" s="176"/>
      <c r="AC486" s="176"/>
      <c r="AD486" s="176"/>
      <c r="AE486" s="176"/>
      <c r="AF486" s="176"/>
      <c r="AG486" s="176"/>
      <c r="AH486" s="176"/>
      <c r="AI486" s="176"/>
      <c r="AJ486" s="176"/>
      <c r="AK486" s="176"/>
      <c r="AL486" s="176"/>
      <c r="AM486" s="176"/>
      <c r="AN486" s="176"/>
      <c r="AO486" s="176"/>
      <c r="AP486" s="176"/>
      <c r="AQ486" s="176"/>
      <c r="AR486" s="176"/>
      <c r="AS486" s="176"/>
      <c r="AT486" s="176"/>
      <c r="AU486" s="176"/>
      <c r="AV486" s="176"/>
      <c r="AW486" s="176"/>
      <c r="AX486" s="176"/>
      <c r="AY486" s="176"/>
      <c r="AZ486" s="176"/>
      <c r="BA486" s="176"/>
      <c r="BB486" s="176"/>
      <c r="BC486" s="176"/>
      <c r="BD486" s="176"/>
      <c r="BE486" s="176"/>
      <c r="BF486" s="176"/>
      <c r="BG486" s="176"/>
      <c r="BH486" s="176"/>
      <c r="BI486" s="176"/>
      <c r="BJ486" s="176"/>
    </row>
    <row r="487" spans="2:62" x14ac:dyDescent="0.3">
      <c r="B487" s="3"/>
      <c r="C487" s="2"/>
      <c r="D487" s="2"/>
      <c r="E487" s="3"/>
      <c r="O487" s="176"/>
      <c r="P487" s="176"/>
      <c r="Q487" s="176"/>
      <c r="R487" s="176"/>
      <c r="S487" s="176"/>
      <c r="T487" s="176"/>
      <c r="U487" s="176"/>
      <c r="V487" s="176"/>
      <c r="W487" s="176"/>
      <c r="X487" s="176"/>
      <c r="Y487" s="176"/>
      <c r="Z487" s="176"/>
      <c r="AA487" s="176"/>
      <c r="AB487" s="176"/>
      <c r="AC487" s="176"/>
      <c r="AD487" s="176"/>
      <c r="AE487" s="176"/>
      <c r="AF487" s="176"/>
      <c r="AG487" s="176"/>
      <c r="AH487" s="176"/>
      <c r="AI487" s="176"/>
      <c r="AJ487" s="176"/>
      <c r="AK487" s="176"/>
      <c r="AL487" s="176"/>
      <c r="AM487" s="176"/>
      <c r="AN487" s="176"/>
      <c r="AO487" s="176"/>
      <c r="AP487" s="176"/>
      <c r="AQ487" s="176"/>
      <c r="AR487" s="176"/>
      <c r="AS487" s="176"/>
      <c r="AT487" s="176"/>
      <c r="AU487" s="176"/>
      <c r="AV487" s="176"/>
      <c r="AW487" s="176"/>
      <c r="AX487" s="176"/>
      <c r="AY487" s="176"/>
      <c r="AZ487" s="176"/>
      <c r="BA487" s="176"/>
      <c r="BB487" s="176"/>
      <c r="BC487" s="176"/>
      <c r="BD487" s="176"/>
      <c r="BE487" s="176"/>
      <c r="BF487" s="176"/>
      <c r="BG487" s="176"/>
      <c r="BH487" s="176"/>
      <c r="BI487" s="176"/>
      <c r="BJ487" s="176"/>
    </row>
    <row r="488" spans="2:62" x14ac:dyDescent="0.3">
      <c r="B488" s="3"/>
      <c r="C488" s="2"/>
      <c r="D488" s="2"/>
      <c r="E488" s="3"/>
      <c r="O488" s="176"/>
      <c r="P488" s="176"/>
      <c r="Q488" s="176"/>
      <c r="R488" s="176"/>
      <c r="S488" s="176"/>
      <c r="T488" s="176"/>
      <c r="U488" s="176"/>
      <c r="V488" s="176"/>
      <c r="W488" s="176"/>
      <c r="X488" s="176"/>
      <c r="Y488" s="176"/>
      <c r="Z488" s="176"/>
      <c r="AA488" s="176"/>
      <c r="AB488" s="176"/>
      <c r="AC488" s="176"/>
      <c r="AD488" s="176"/>
      <c r="AE488" s="176"/>
      <c r="AF488" s="176"/>
      <c r="AG488" s="176"/>
      <c r="AH488" s="176"/>
      <c r="AI488" s="176"/>
      <c r="AJ488" s="176"/>
      <c r="AK488" s="176"/>
      <c r="AL488" s="176"/>
      <c r="AM488" s="176"/>
      <c r="AN488" s="176"/>
      <c r="AO488" s="176"/>
      <c r="AP488" s="176"/>
      <c r="AQ488" s="176"/>
      <c r="AR488" s="176"/>
      <c r="AS488" s="176"/>
      <c r="AT488" s="176"/>
      <c r="AU488" s="176"/>
      <c r="AV488" s="176"/>
      <c r="AW488" s="176"/>
      <c r="AX488" s="176"/>
      <c r="AY488" s="176"/>
      <c r="AZ488" s="176"/>
      <c r="BA488" s="176"/>
      <c r="BB488" s="176"/>
      <c r="BC488" s="176"/>
      <c r="BD488" s="176"/>
      <c r="BE488" s="176"/>
      <c r="BF488" s="176"/>
      <c r="BG488" s="176"/>
      <c r="BH488" s="176"/>
      <c r="BI488" s="176"/>
      <c r="BJ488" s="176"/>
    </row>
    <row r="489" spans="2:62" x14ac:dyDescent="0.3">
      <c r="B489" s="3"/>
      <c r="C489" s="2"/>
      <c r="D489" s="2"/>
      <c r="E489" s="3"/>
      <c r="O489" s="176"/>
      <c r="P489" s="176"/>
      <c r="Q489" s="176"/>
      <c r="R489" s="176"/>
      <c r="S489" s="176"/>
      <c r="T489" s="176"/>
      <c r="U489" s="176"/>
      <c r="V489" s="176"/>
      <c r="W489" s="176"/>
      <c r="X489" s="176"/>
      <c r="Y489" s="176"/>
      <c r="Z489" s="176"/>
      <c r="AA489" s="176"/>
      <c r="AB489" s="176"/>
      <c r="AC489" s="176"/>
      <c r="AD489" s="176"/>
      <c r="AE489" s="176"/>
      <c r="AF489" s="176"/>
      <c r="AG489" s="176"/>
      <c r="AH489" s="176"/>
      <c r="AI489" s="176"/>
      <c r="AJ489" s="176"/>
      <c r="AK489" s="176"/>
      <c r="AL489" s="176"/>
      <c r="AM489" s="176"/>
      <c r="AN489" s="176"/>
      <c r="AO489" s="176"/>
      <c r="AP489" s="176"/>
      <c r="AQ489" s="176"/>
      <c r="AR489" s="176"/>
      <c r="AS489" s="176"/>
      <c r="AT489" s="176"/>
      <c r="AU489" s="176"/>
      <c r="AV489" s="176"/>
      <c r="AW489" s="176"/>
      <c r="AX489" s="176"/>
      <c r="AY489" s="176"/>
      <c r="AZ489" s="176"/>
      <c r="BA489" s="176"/>
      <c r="BB489" s="176"/>
      <c r="BC489" s="176"/>
      <c r="BD489" s="176"/>
      <c r="BE489" s="176"/>
      <c r="BF489" s="176"/>
      <c r="BG489" s="176"/>
      <c r="BH489" s="176"/>
      <c r="BI489" s="176"/>
      <c r="BJ489" s="176"/>
    </row>
    <row r="490" spans="2:62" x14ac:dyDescent="0.3">
      <c r="B490" s="3"/>
      <c r="C490" s="2"/>
      <c r="D490" s="2"/>
      <c r="E490" s="3"/>
      <c r="O490" s="176"/>
      <c r="P490" s="176"/>
      <c r="Q490" s="176"/>
      <c r="R490" s="176"/>
      <c r="S490" s="176"/>
      <c r="T490" s="176"/>
      <c r="U490" s="176"/>
      <c r="V490" s="176"/>
      <c r="W490" s="176"/>
      <c r="X490" s="176"/>
      <c r="Y490" s="176"/>
      <c r="Z490" s="176"/>
      <c r="AA490" s="176"/>
      <c r="AB490" s="176"/>
      <c r="AC490" s="176"/>
      <c r="AD490" s="176"/>
      <c r="AE490" s="176"/>
      <c r="AF490" s="176"/>
      <c r="AG490" s="176"/>
      <c r="AH490" s="176"/>
      <c r="AI490" s="176"/>
      <c r="AJ490" s="176"/>
      <c r="AK490" s="176"/>
      <c r="AL490" s="176"/>
      <c r="AM490" s="176"/>
      <c r="AN490" s="176"/>
      <c r="AO490" s="176"/>
      <c r="AP490" s="176"/>
      <c r="AQ490" s="176"/>
      <c r="AR490" s="176"/>
      <c r="AS490" s="176"/>
      <c r="AT490" s="176"/>
      <c r="AU490" s="176"/>
      <c r="AV490" s="176"/>
      <c r="AW490" s="176"/>
      <c r="AX490" s="176"/>
      <c r="AY490" s="176"/>
      <c r="AZ490" s="176"/>
      <c r="BA490" s="176"/>
      <c r="BB490" s="176"/>
      <c r="BC490" s="176"/>
      <c r="BD490" s="176"/>
      <c r="BE490" s="176"/>
      <c r="BF490" s="176"/>
      <c r="BG490" s="176"/>
      <c r="BH490" s="176"/>
      <c r="BI490" s="176"/>
      <c r="BJ490" s="176"/>
    </row>
    <row r="491" spans="2:62" x14ac:dyDescent="0.3">
      <c r="B491" s="3"/>
      <c r="C491" s="2"/>
      <c r="D491" s="2"/>
      <c r="E491" s="3"/>
      <c r="O491" s="176"/>
      <c r="P491" s="176"/>
      <c r="Q491" s="176"/>
      <c r="R491" s="176"/>
      <c r="S491" s="176"/>
      <c r="T491" s="176"/>
      <c r="U491" s="176"/>
      <c r="V491" s="176"/>
      <c r="W491" s="176"/>
      <c r="X491" s="176"/>
      <c r="Y491" s="176"/>
      <c r="Z491" s="176"/>
      <c r="AA491" s="176"/>
      <c r="AB491" s="176"/>
      <c r="AC491" s="176"/>
      <c r="AD491" s="176"/>
      <c r="AE491" s="176"/>
      <c r="AF491" s="176"/>
      <c r="AG491" s="176"/>
      <c r="AH491" s="176"/>
      <c r="AI491" s="176"/>
      <c r="AJ491" s="176"/>
      <c r="AK491" s="176"/>
      <c r="AL491" s="176"/>
      <c r="AM491" s="176"/>
      <c r="AN491" s="176"/>
      <c r="AO491" s="176"/>
      <c r="AP491" s="176"/>
      <c r="AQ491" s="176"/>
      <c r="AR491" s="176"/>
      <c r="AS491" s="176"/>
      <c r="AT491" s="176"/>
      <c r="AU491" s="176"/>
      <c r="AV491" s="176"/>
      <c r="AW491" s="176"/>
      <c r="AX491" s="176"/>
      <c r="AY491" s="176"/>
      <c r="AZ491" s="176"/>
      <c r="BA491" s="176"/>
      <c r="BB491" s="176"/>
      <c r="BC491" s="176"/>
      <c r="BD491" s="176"/>
      <c r="BE491" s="176"/>
      <c r="BF491" s="176"/>
      <c r="BG491" s="176"/>
      <c r="BH491" s="176"/>
      <c r="BI491" s="176"/>
      <c r="BJ491" s="176"/>
    </row>
    <row r="492" spans="2:62" x14ac:dyDescent="0.3">
      <c r="B492" s="3"/>
      <c r="C492" s="2"/>
      <c r="D492" s="2"/>
      <c r="E492" s="3"/>
      <c r="O492" s="176"/>
      <c r="P492" s="176"/>
      <c r="Q492" s="176"/>
      <c r="R492" s="176"/>
      <c r="S492" s="176"/>
      <c r="T492" s="176"/>
      <c r="U492" s="176"/>
      <c r="V492" s="176"/>
      <c r="W492" s="176"/>
      <c r="X492" s="176"/>
      <c r="Y492" s="176"/>
      <c r="Z492" s="176"/>
      <c r="AA492" s="176"/>
      <c r="AB492" s="176"/>
      <c r="AC492" s="176"/>
      <c r="AD492" s="176"/>
      <c r="AE492" s="176"/>
      <c r="AF492" s="176"/>
      <c r="AG492" s="176"/>
      <c r="AH492" s="176"/>
      <c r="AI492" s="176"/>
      <c r="AJ492" s="176"/>
      <c r="AK492" s="176"/>
      <c r="AL492" s="176"/>
      <c r="AM492" s="176"/>
      <c r="AN492" s="176"/>
      <c r="AO492" s="176"/>
      <c r="AP492" s="176"/>
      <c r="AQ492" s="176"/>
      <c r="AR492" s="176"/>
      <c r="AS492" s="176"/>
      <c r="AT492" s="176"/>
      <c r="AU492" s="176"/>
      <c r="AV492" s="176"/>
      <c r="AW492" s="176"/>
      <c r="AX492" s="176"/>
      <c r="AY492" s="176"/>
      <c r="AZ492" s="176"/>
      <c r="BA492" s="176"/>
      <c r="BB492" s="176"/>
      <c r="BC492" s="176"/>
      <c r="BD492" s="176"/>
      <c r="BE492" s="176"/>
      <c r="BF492" s="176"/>
      <c r="BG492" s="176"/>
      <c r="BH492" s="176"/>
      <c r="BI492" s="176"/>
      <c r="BJ492" s="176"/>
    </row>
    <row r="493" spans="2:62" x14ac:dyDescent="0.3">
      <c r="B493" s="3"/>
      <c r="C493" s="2"/>
      <c r="D493" s="2"/>
      <c r="E493" s="3"/>
      <c r="O493" s="176"/>
      <c r="P493" s="176"/>
      <c r="Q493" s="176"/>
      <c r="R493" s="176"/>
      <c r="S493" s="176"/>
      <c r="T493" s="176"/>
      <c r="U493" s="176"/>
      <c r="V493" s="176"/>
      <c r="W493" s="176"/>
      <c r="X493" s="176"/>
      <c r="Y493" s="176"/>
      <c r="Z493" s="176"/>
      <c r="AA493" s="176"/>
      <c r="AB493" s="176"/>
      <c r="AC493" s="176"/>
      <c r="AD493" s="176"/>
      <c r="AE493" s="176"/>
      <c r="AF493" s="176"/>
      <c r="AG493" s="176"/>
      <c r="AH493" s="176"/>
      <c r="AI493" s="176"/>
      <c r="AJ493" s="176"/>
      <c r="AK493" s="176"/>
      <c r="AL493" s="176"/>
      <c r="AM493" s="176"/>
      <c r="AN493" s="176"/>
      <c r="AO493" s="176"/>
      <c r="AP493" s="176"/>
      <c r="AQ493" s="176"/>
      <c r="AR493" s="176"/>
      <c r="AS493" s="176"/>
      <c r="AT493" s="176"/>
      <c r="AU493" s="176"/>
      <c r="AV493" s="176"/>
      <c r="AW493" s="176"/>
      <c r="AX493" s="176"/>
      <c r="AY493" s="176"/>
      <c r="AZ493" s="176"/>
      <c r="BA493" s="176"/>
      <c r="BB493" s="176"/>
      <c r="BC493" s="176"/>
      <c r="BD493" s="176"/>
      <c r="BE493" s="176"/>
      <c r="BF493" s="176"/>
      <c r="BG493" s="176"/>
      <c r="BH493" s="176"/>
      <c r="BI493" s="176"/>
      <c r="BJ493" s="176"/>
    </row>
    <row r="494" spans="2:62" x14ac:dyDescent="0.3">
      <c r="B494" s="3"/>
      <c r="C494" s="2"/>
      <c r="D494" s="2"/>
      <c r="E494" s="3"/>
      <c r="O494" s="176"/>
      <c r="P494" s="176"/>
      <c r="Q494" s="176"/>
      <c r="R494" s="176"/>
      <c r="S494" s="176"/>
      <c r="T494" s="176"/>
      <c r="U494" s="176"/>
      <c r="V494" s="176"/>
      <c r="W494" s="176"/>
      <c r="X494" s="176"/>
      <c r="Y494" s="176"/>
      <c r="Z494" s="176"/>
      <c r="AA494" s="176"/>
      <c r="AB494" s="176"/>
      <c r="AC494" s="176"/>
      <c r="AD494" s="176"/>
      <c r="AE494" s="176"/>
      <c r="AF494" s="176"/>
      <c r="AG494" s="176"/>
      <c r="AH494" s="176"/>
      <c r="AI494" s="176"/>
      <c r="AJ494" s="176"/>
      <c r="AK494" s="176"/>
      <c r="AL494" s="176"/>
      <c r="AM494" s="176"/>
      <c r="AN494" s="176"/>
      <c r="AO494" s="176"/>
      <c r="AP494" s="176"/>
      <c r="AQ494" s="176"/>
      <c r="AR494" s="176"/>
      <c r="AS494" s="176"/>
      <c r="AT494" s="176"/>
      <c r="AU494" s="176"/>
      <c r="AV494" s="176"/>
      <c r="AW494" s="176"/>
      <c r="AX494" s="176"/>
      <c r="AY494" s="176"/>
      <c r="AZ494" s="176"/>
      <c r="BA494" s="176"/>
      <c r="BB494" s="176"/>
      <c r="BC494" s="176"/>
      <c r="BD494" s="176"/>
      <c r="BE494" s="176"/>
      <c r="BF494" s="176"/>
      <c r="BG494" s="176"/>
      <c r="BH494" s="176"/>
      <c r="BI494" s="176"/>
      <c r="BJ494" s="176"/>
    </row>
    <row r="495" spans="2:62" x14ac:dyDescent="0.3">
      <c r="B495" s="3"/>
      <c r="C495" s="2"/>
      <c r="D495" s="2"/>
      <c r="E495" s="3"/>
      <c r="O495" s="176"/>
      <c r="P495" s="176"/>
      <c r="Q495" s="176"/>
      <c r="R495" s="176"/>
      <c r="S495" s="176"/>
      <c r="T495" s="176"/>
      <c r="U495" s="176"/>
      <c r="V495" s="176"/>
      <c r="W495" s="176"/>
      <c r="X495" s="176"/>
      <c r="Y495" s="176"/>
      <c r="Z495" s="176"/>
      <c r="AA495" s="176"/>
      <c r="AB495" s="176"/>
      <c r="AC495" s="176"/>
      <c r="AD495" s="176"/>
      <c r="AE495" s="176"/>
      <c r="AF495" s="176"/>
      <c r="AG495" s="176"/>
      <c r="AH495" s="176"/>
      <c r="AI495" s="176"/>
      <c r="AJ495" s="176"/>
      <c r="AK495" s="176"/>
      <c r="AL495" s="176"/>
      <c r="AM495" s="176"/>
      <c r="AN495" s="176"/>
      <c r="AO495" s="176"/>
      <c r="AP495" s="176"/>
      <c r="AQ495" s="176"/>
      <c r="AR495" s="176"/>
      <c r="AS495" s="176"/>
      <c r="AT495" s="176"/>
      <c r="AU495" s="176"/>
      <c r="AV495" s="176"/>
      <c r="AW495" s="176"/>
      <c r="AX495" s="176"/>
      <c r="AY495" s="176"/>
      <c r="AZ495" s="176"/>
      <c r="BA495" s="176"/>
      <c r="BB495" s="176"/>
      <c r="BC495" s="176"/>
      <c r="BD495" s="176"/>
      <c r="BE495" s="176"/>
      <c r="BF495" s="176"/>
      <c r="BG495" s="176"/>
      <c r="BH495" s="176"/>
      <c r="BI495" s="176"/>
      <c r="BJ495" s="176"/>
    </row>
    <row r="496" spans="2:62" x14ac:dyDescent="0.3">
      <c r="B496" s="3"/>
      <c r="C496" s="2"/>
      <c r="D496" s="2"/>
      <c r="E496" s="3"/>
      <c r="O496" s="176"/>
      <c r="P496" s="176"/>
      <c r="Q496" s="176"/>
      <c r="R496" s="176"/>
      <c r="S496" s="176"/>
      <c r="T496" s="176"/>
      <c r="U496" s="176"/>
      <c r="V496" s="176"/>
      <c r="W496" s="176"/>
      <c r="X496" s="176"/>
      <c r="Y496" s="176"/>
      <c r="Z496" s="176"/>
      <c r="AA496" s="176"/>
      <c r="AB496" s="176"/>
      <c r="AC496" s="176"/>
      <c r="AD496" s="176"/>
      <c r="AE496" s="176"/>
      <c r="AF496" s="176"/>
      <c r="AG496" s="176"/>
      <c r="AH496" s="176"/>
      <c r="AI496" s="176"/>
      <c r="AJ496" s="176"/>
      <c r="AK496" s="176"/>
      <c r="AL496" s="176"/>
      <c r="AM496" s="176"/>
      <c r="AN496" s="176"/>
      <c r="AO496" s="176"/>
      <c r="AP496" s="176"/>
      <c r="AQ496" s="176"/>
      <c r="AR496" s="176"/>
      <c r="AS496" s="176"/>
      <c r="AT496" s="176"/>
      <c r="AU496" s="176"/>
      <c r="AV496" s="176"/>
      <c r="AW496" s="176"/>
      <c r="AX496" s="176"/>
      <c r="AY496" s="176"/>
      <c r="AZ496" s="176"/>
      <c r="BA496" s="176"/>
      <c r="BB496" s="176"/>
      <c r="BC496" s="176"/>
      <c r="BD496" s="176"/>
      <c r="BE496" s="176"/>
      <c r="BF496" s="176"/>
      <c r="BG496" s="176"/>
      <c r="BH496" s="176"/>
      <c r="BI496" s="176"/>
      <c r="BJ496" s="176"/>
    </row>
    <row r="497" spans="2:62" x14ac:dyDescent="0.3">
      <c r="B497" s="3"/>
      <c r="C497" s="2"/>
      <c r="D497" s="2"/>
      <c r="E497" s="3"/>
      <c r="O497" s="176"/>
      <c r="P497" s="176"/>
      <c r="Q497" s="176"/>
      <c r="R497" s="176"/>
      <c r="S497" s="176"/>
      <c r="T497" s="176"/>
      <c r="U497" s="176"/>
      <c r="V497" s="176"/>
      <c r="W497" s="176"/>
      <c r="X497" s="176"/>
      <c r="Y497" s="176"/>
      <c r="Z497" s="176"/>
      <c r="AA497" s="176"/>
      <c r="AB497" s="176"/>
      <c r="AC497" s="176"/>
      <c r="AD497" s="176"/>
      <c r="AE497" s="176"/>
      <c r="AF497" s="176"/>
      <c r="AG497" s="176"/>
      <c r="AH497" s="176"/>
      <c r="AI497" s="176"/>
      <c r="AJ497" s="176"/>
      <c r="AK497" s="176"/>
      <c r="AL497" s="176"/>
      <c r="AM497" s="176"/>
      <c r="AN497" s="176"/>
      <c r="AO497" s="176"/>
      <c r="AP497" s="176"/>
      <c r="AQ497" s="176"/>
      <c r="AR497" s="176"/>
      <c r="AS497" s="176"/>
      <c r="AT497" s="176"/>
      <c r="AU497" s="176"/>
      <c r="AV497" s="176"/>
      <c r="AW497" s="176"/>
      <c r="AX497" s="176"/>
      <c r="AY497" s="176"/>
      <c r="AZ497" s="176"/>
      <c r="BA497" s="176"/>
      <c r="BB497" s="176"/>
      <c r="BC497" s="176"/>
      <c r="BD497" s="176"/>
      <c r="BE497" s="176"/>
      <c r="BF497" s="176"/>
      <c r="BG497" s="176"/>
      <c r="BH497" s="176"/>
      <c r="BI497" s="176"/>
      <c r="BJ497" s="176"/>
    </row>
    <row r="498" spans="2:62" x14ac:dyDescent="0.3">
      <c r="B498" s="3"/>
      <c r="C498" s="2"/>
      <c r="D498" s="2"/>
      <c r="E498" s="3"/>
      <c r="O498" s="176"/>
      <c r="P498" s="176"/>
      <c r="Q498" s="176"/>
      <c r="R498" s="176"/>
      <c r="S498" s="176"/>
      <c r="T498" s="176"/>
      <c r="U498" s="176"/>
      <c r="V498" s="176"/>
      <c r="W498" s="176"/>
      <c r="X498" s="176"/>
      <c r="Y498" s="176"/>
      <c r="Z498" s="176"/>
      <c r="AA498" s="176"/>
      <c r="AB498" s="176"/>
      <c r="AC498" s="176"/>
      <c r="AD498" s="176"/>
      <c r="AE498" s="176"/>
      <c r="AF498" s="176"/>
      <c r="AG498" s="176"/>
      <c r="AH498" s="176"/>
      <c r="AI498" s="176"/>
      <c r="AJ498" s="176"/>
      <c r="AK498" s="176"/>
      <c r="AL498" s="176"/>
      <c r="AM498" s="176"/>
      <c r="AN498" s="176"/>
      <c r="AO498" s="176"/>
      <c r="AP498" s="176"/>
      <c r="AQ498" s="176"/>
      <c r="AR498" s="176"/>
      <c r="AS498" s="176"/>
      <c r="AT498" s="176"/>
      <c r="AU498" s="176"/>
      <c r="AV498" s="176"/>
      <c r="AW498" s="176"/>
      <c r="AX498" s="176"/>
      <c r="AY498" s="176"/>
      <c r="AZ498" s="176"/>
      <c r="BA498" s="176"/>
      <c r="BB498" s="176"/>
      <c r="BC498" s="176"/>
      <c r="BD498" s="176"/>
      <c r="BE498" s="176"/>
      <c r="BF498" s="176"/>
      <c r="BG498" s="176"/>
      <c r="BH498" s="176"/>
      <c r="BI498" s="176"/>
      <c r="BJ498" s="176"/>
    </row>
    <row r="499" spans="2:62" x14ac:dyDescent="0.3">
      <c r="B499" s="3"/>
      <c r="C499" s="2"/>
      <c r="D499" s="2"/>
      <c r="E499" s="3"/>
      <c r="O499" s="176"/>
      <c r="P499" s="176"/>
      <c r="Q499" s="176"/>
      <c r="R499" s="176"/>
      <c r="S499" s="176"/>
      <c r="T499" s="176"/>
      <c r="U499" s="176"/>
      <c r="V499" s="176"/>
      <c r="W499" s="176"/>
      <c r="X499" s="176"/>
      <c r="Y499" s="176"/>
      <c r="Z499" s="176"/>
      <c r="AA499" s="176"/>
      <c r="AB499" s="176"/>
      <c r="AC499" s="176"/>
      <c r="AD499" s="176"/>
      <c r="AE499" s="176"/>
      <c r="AF499" s="176"/>
      <c r="AG499" s="176"/>
      <c r="AH499" s="176"/>
      <c r="AI499" s="176"/>
      <c r="AJ499" s="176"/>
      <c r="AK499" s="176"/>
      <c r="AL499" s="176"/>
      <c r="AM499" s="176"/>
      <c r="AN499" s="176"/>
      <c r="AO499" s="176"/>
      <c r="AP499" s="176"/>
      <c r="AQ499" s="176"/>
      <c r="AR499" s="176"/>
      <c r="AS499" s="176"/>
      <c r="AT499" s="176"/>
      <c r="AU499" s="176"/>
      <c r="AV499" s="176"/>
      <c r="AW499" s="176"/>
      <c r="AX499" s="176"/>
      <c r="AY499" s="176"/>
      <c r="AZ499" s="176"/>
      <c r="BA499" s="176"/>
      <c r="BB499" s="176"/>
      <c r="BC499" s="176"/>
      <c r="BD499" s="176"/>
      <c r="BE499" s="176"/>
      <c r="BF499" s="176"/>
      <c r="BG499" s="176"/>
      <c r="BH499" s="176"/>
      <c r="BI499" s="176"/>
      <c r="BJ499" s="176"/>
    </row>
    <row r="500" spans="2:62" x14ac:dyDescent="0.3">
      <c r="B500" s="3"/>
      <c r="C500" s="2"/>
      <c r="D500" s="2"/>
      <c r="E500" s="3"/>
      <c r="O500" s="176"/>
      <c r="P500" s="176"/>
      <c r="Q500" s="176"/>
      <c r="R500" s="176"/>
      <c r="S500" s="176"/>
      <c r="T500" s="176"/>
      <c r="U500" s="176"/>
      <c r="V500" s="176"/>
      <c r="W500" s="176"/>
      <c r="X500" s="176"/>
      <c r="Y500" s="176"/>
      <c r="Z500" s="176"/>
      <c r="AA500" s="176"/>
      <c r="AB500" s="176"/>
      <c r="AC500" s="176"/>
      <c r="AD500" s="176"/>
      <c r="AE500" s="176"/>
      <c r="AF500" s="176"/>
      <c r="AG500" s="176"/>
      <c r="AH500" s="176"/>
      <c r="AI500" s="176"/>
      <c r="AJ500" s="176"/>
      <c r="AK500" s="176"/>
      <c r="AL500" s="176"/>
      <c r="AM500" s="176"/>
      <c r="AN500" s="176"/>
      <c r="AO500" s="176"/>
      <c r="AP500" s="176"/>
      <c r="AQ500" s="176"/>
      <c r="AR500" s="176"/>
      <c r="AS500" s="176"/>
      <c r="AT500" s="176"/>
      <c r="AU500" s="176"/>
      <c r="AV500" s="176"/>
      <c r="AW500" s="176"/>
      <c r="AX500" s="176"/>
      <c r="AY500" s="176"/>
      <c r="AZ500" s="176"/>
      <c r="BA500" s="176"/>
      <c r="BB500" s="176"/>
      <c r="BC500" s="176"/>
      <c r="BD500" s="176"/>
      <c r="BE500" s="176"/>
      <c r="BF500" s="176"/>
      <c r="BG500" s="176"/>
      <c r="BH500" s="176"/>
      <c r="BI500" s="176"/>
      <c r="BJ500" s="176"/>
    </row>
    <row r="501" spans="2:62" x14ac:dyDescent="0.3">
      <c r="B501" s="3"/>
      <c r="C501" s="2"/>
      <c r="D501" s="2"/>
      <c r="E501" s="3"/>
      <c r="O501" s="176"/>
      <c r="P501" s="176"/>
      <c r="Q501" s="176"/>
      <c r="R501" s="176"/>
      <c r="S501" s="176"/>
      <c r="T501" s="176"/>
      <c r="U501" s="176"/>
      <c r="V501" s="176"/>
      <c r="W501" s="176"/>
      <c r="X501" s="176"/>
      <c r="Y501" s="176"/>
      <c r="Z501" s="176"/>
      <c r="AA501" s="176"/>
      <c r="AB501" s="176"/>
      <c r="AC501" s="176"/>
      <c r="AD501" s="176"/>
      <c r="AE501" s="176"/>
      <c r="AF501" s="176"/>
      <c r="AG501" s="176"/>
      <c r="AH501" s="176"/>
      <c r="AI501" s="176"/>
      <c r="AJ501" s="176"/>
      <c r="AK501" s="176"/>
      <c r="AL501" s="176"/>
      <c r="AM501" s="176"/>
      <c r="AN501" s="176"/>
      <c r="AO501" s="176"/>
      <c r="AP501" s="176"/>
      <c r="AQ501" s="176"/>
      <c r="AR501" s="176"/>
      <c r="AS501" s="176"/>
      <c r="AT501" s="176"/>
      <c r="AU501" s="176"/>
      <c r="AV501" s="176"/>
      <c r="AW501" s="176"/>
      <c r="AX501" s="176"/>
      <c r="AY501" s="176"/>
      <c r="AZ501" s="176"/>
      <c r="BA501" s="176"/>
      <c r="BB501" s="176"/>
      <c r="BC501" s="176"/>
      <c r="BD501" s="176"/>
      <c r="BE501" s="176"/>
      <c r="BF501" s="176"/>
      <c r="BG501" s="176"/>
      <c r="BH501" s="176"/>
      <c r="BI501" s="176"/>
      <c r="BJ501" s="176"/>
    </row>
    <row r="502" spans="2:62" x14ac:dyDescent="0.3">
      <c r="B502" s="3"/>
      <c r="C502" s="2"/>
      <c r="D502" s="2"/>
      <c r="E502" s="3"/>
      <c r="O502" s="176"/>
      <c r="P502" s="176"/>
      <c r="Q502" s="176"/>
      <c r="R502" s="176"/>
      <c r="S502" s="176"/>
      <c r="T502" s="176"/>
      <c r="U502" s="176"/>
      <c r="V502" s="176"/>
      <c r="W502" s="176"/>
      <c r="X502" s="176"/>
      <c r="Y502" s="176"/>
      <c r="Z502" s="176"/>
      <c r="AA502" s="176"/>
      <c r="AB502" s="176"/>
      <c r="AC502" s="176"/>
      <c r="AD502" s="176"/>
      <c r="AE502" s="176"/>
      <c r="AF502" s="176"/>
      <c r="AG502" s="176"/>
      <c r="AH502" s="176"/>
      <c r="AI502" s="176"/>
      <c r="AJ502" s="176"/>
      <c r="AK502" s="176"/>
      <c r="AL502" s="176"/>
      <c r="AM502" s="176"/>
      <c r="AN502" s="176"/>
      <c r="AO502" s="176"/>
      <c r="AP502" s="176"/>
      <c r="AQ502" s="176"/>
      <c r="AR502" s="176"/>
      <c r="AS502" s="176"/>
      <c r="AT502" s="176"/>
      <c r="AU502" s="176"/>
      <c r="AV502" s="176"/>
      <c r="AW502" s="176"/>
      <c r="AX502" s="176"/>
      <c r="AY502" s="176"/>
      <c r="AZ502" s="176"/>
      <c r="BA502" s="176"/>
      <c r="BB502" s="176"/>
      <c r="BC502" s="176"/>
      <c r="BD502" s="176"/>
      <c r="BE502" s="176"/>
      <c r="BF502" s="176"/>
      <c r="BG502" s="176"/>
      <c r="BH502" s="176"/>
      <c r="BI502" s="176"/>
      <c r="BJ502" s="176"/>
    </row>
    <row r="503" spans="2:62" x14ac:dyDescent="0.3">
      <c r="B503" s="3"/>
      <c r="C503" s="2"/>
      <c r="D503" s="2"/>
      <c r="E503" s="3"/>
      <c r="O503" s="176"/>
      <c r="P503" s="176"/>
      <c r="Q503" s="176"/>
      <c r="R503" s="176"/>
      <c r="S503" s="176"/>
      <c r="T503" s="176"/>
      <c r="U503" s="176"/>
      <c r="V503" s="176"/>
      <c r="W503" s="176"/>
      <c r="X503" s="176"/>
      <c r="Y503" s="176"/>
      <c r="Z503" s="176"/>
      <c r="AA503" s="176"/>
      <c r="AB503" s="176"/>
      <c r="AC503" s="176"/>
      <c r="AD503" s="176"/>
      <c r="AE503" s="176"/>
      <c r="AF503" s="176"/>
      <c r="AG503" s="176"/>
      <c r="AH503" s="176"/>
      <c r="AI503" s="176"/>
      <c r="AJ503" s="176"/>
      <c r="AK503" s="176"/>
      <c r="AL503" s="176"/>
      <c r="AM503" s="176"/>
      <c r="AN503" s="176"/>
      <c r="AO503" s="176"/>
      <c r="AP503" s="176"/>
      <c r="AQ503" s="176"/>
      <c r="AR503" s="176"/>
      <c r="AS503" s="176"/>
      <c r="AT503" s="176"/>
      <c r="AU503" s="176"/>
      <c r="AV503" s="176"/>
      <c r="AW503" s="176"/>
      <c r="AX503" s="176"/>
      <c r="AY503" s="176"/>
      <c r="AZ503" s="176"/>
      <c r="BA503" s="176"/>
      <c r="BB503" s="176"/>
      <c r="BC503" s="176"/>
      <c r="BD503" s="176"/>
      <c r="BE503" s="176"/>
      <c r="BF503" s="176"/>
      <c r="BG503" s="176"/>
      <c r="BH503" s="176"/>
      <c r="BI503" s="176"/>
      <c r="BJ503" s="176"/>
    </row>
    <row r="504" spans="2:62" x14ac:dyDescent="0.3">
      <c r="B504" s="3"/>
      <c r="C504" s="2"/>
      <c r="D504" s="2"/>
      <c r="E504" s="3"/>
      <c r="O504" s="176"/>
      <c r="P504" s="176"/>
      <c r="Q504" s="176"/>
      <c r="R504" s="176"/>
      <c r="S504" s="176"/>
      <c r="T504" s="176"/>
      <c r="U504" s="176"/>
      <c r="V504" s="176"/>
      <c r="W504" s="176"/>
      <c r="X504" s="176"/>
      <c r="Y504" s="176"/>
      <c r="Z504" s="176"/>
      <c r="AA504" s="176"/>
      <c r="AB504" s="176"/>
      <c r="AC504" s="176"/>
      <c r="AD504" s="176"/>
      <c r="AE504" s="176"/>
      <c r="AF504" s="176"/>
      <c r="AG504" s="176"/>
      <c r="AH504" s="176"/>
      <c r="AI504" s="176"/>
      <c r="AJ504" s="176"/>
      <c r="AK504" s="176"/>
      <c r="AL504" s="176"/>
      <c r="AM504" s="176"/>
      <c r="AN504" s="176"/>
      <c r="AO504" s="176"/>
      <c r="AP504" s="176"/>
      <c r="AQ504" s="176"/>
      <c r="AR504" s="176"/>
      <c r="AS504" s="176"/>
      <c r="AT504" s="176"/>
      <c r="AU504" s="176"/>
      <c r="AV504" s="176"/>
      <c r="AW504" s="176"/>
      <c r="AX504" s="176"/>
      <c r="AY504" s="176"/>
      <c r="AZ504" s="176"/>
      <c r="BA504" s="176"/>
      <c r="BB504" s="176"/>
      <c r="BC504" s="176"/>
      <c r="BD504" s="176"/>
      <c r="BE504" s="176"/>
      <c r="BF504" s="176"/>
      <c r="BG504" s="176"/>
      <c r="BH504" s="176"/>
      <c r="BI504" s="176"/>
      <c r="BJ504" s="176"/>
    </row>
    <row r="505" spans="2:62" x14ac:dyDescent="0.3">
      <c r="B505" s="3"/>
      <c r="C505" s="2"/>
      <c r="D505" s="2"/>
      <c r="E505" s="3"/>
      <c r="O505" s="176"/>
      <c r="P505" s="176"/>
      <c r="Q505" s="176"/>
      <c r="R505" s="176"/>
      <c r="S505" s="176"/>
      <c r="T505" s="176"/>
      <c r="U505" s="176"/>
      <c r="V505" s="176"/>
      <c r="W505" s="176"/>
      <c r="X505" s="176"/>
      <c r="Y505" s="176"/>
      <c r="Z505" s="176"/>
      <c r="AA505" s="176"/>
      <c r="AB505" s="176"/>
      <c r="AC505" s="176"/>
      <c r="AD505" s="176"/>
      <c r="AE505" s="176"/>
      <c r="AF505" s="176"/>
      <c r="AG505" s="176"/>
      <c r="AH505" s="176"/>
      <c r="AI505" s="176"/>
      <c r="AJ505" s="176"/>
      <c r="AK505" s="176"/>
      <c r="AL505" s="176"/>
      <c r="AM505" s="176"/>
      <c r="AN505" s="176"/>
      <c r="AO505" s="176"/>
      <c r="AP505" s="176"/>
      <c r="AQ505" s="176"/>
      <c r="AR505" s="176"/>
      <c r="AS505" s="176"/>
      <c r="AT505" s="176"/>
      <c r="AU505" s="176"/>
      <c r="AV505" s="176"/>
      <c r="AW505" s="176"/>
      <c r="AX505" s="176"/>
      <c r="AY505" s="176"/>
      <c r="AZ505" s="176"/>
      <c r="BA505" s="176"/>
      <c r="BB505" s="176"/>
      <c r="BC505" s="176"/>
      <c r="BD505" s="176"/>
      <c r="BE505" s="176"/>
      <c r="BF505" s="176"/>
      <c r="BG505" s="176"/>
      <c r="BH505" s="176"/>
      <c r="BI505" s="176"/>
      <c r="BJ505" s="176"/>
    </row>
    <row r="506" spans="2:62" x14ac:dyDescent="0.3">
      <c r="B506" s="3"/>
      <c r="C506" s="2"/>
      <c r="D506" s="2"/>
      <c r="E506" s="3"/>
      <c r="O506" s="176"/>
      <c r="P506" s="176"/>
      <c r="Q506" s="176"/>
      <c r="R506" s="176"/>
      <c r="S506" s="176"/>
      <c r="T506" s="176"/>
      <c r="U506" s="176"/>
      <c r="V506" s="176"/>
      <c r="W506" s="176"/>
      <c r="X506" s="176"/>
      <c r="Y506" s="176"/>
      <c r="Z506" s="176"/>
      <c r="AA506" s="176"/>
      <c r="AB506" s="176"/>
      <c r="AC506" s="176"/>
      <c r="AD506" s="176"/>
      <c r="AE506" s="176"/>
      <c r="AF506" s="176"/>
      <c r="AG506" s="176"/>
      <c r="AH506" s="176"/>
      <c r="AI506" s="176"/>
      <c r="AJ506" s="176"/>
      <c r="AK506" s="176"/>
      <c r="AL506" s="176"/>
      <c r="AM506" s="176"/>
      <c r="AN506" s="176"/>
      <c r="AO506" s="176"/>
      <c r="AP506" s="176"/>
      <c r="AQ506" s="176"/>
      <c r="AR506" s="176"/>
      <c r="AS506" s="176"/>
      <c r="AT506" s="176"/>
      <c r="AU506" s="176"/>
      <c r="AV506" s="176"/>
      <c r="AW506" s="176"/>
      <c r="AX506" s="176"/>
      <c r="AY506" s="176"/>
      <c r="AZ506" s="176"/>
      <c r="BA506" s="176"/>
      <c r="BB506" s="176"/>
      <c r="BC506" s="176"/>
      <c r="BD506" s="176"/>
      <c r="BE506" s="176"/>
      <c r="BF506" s="176"/>
      <c r="BG506" s="176"/>
      <c r="BH506" s="176"/>
      <c r="BI506" s="176"/>
      <c r="BJ506" s="176"/>
    </row>
    <row r="507" spans="2:62" x14ac:dyDescent="0.3">
      <c r="B507" s="3"/>
      <c r="C507" s="2"/>
      <c r="D507" s="2"/>
      <c r="E507" s="3"/>
      <c r="O507" s="176"/>
      <c r="P507" s="176"/>
      <c r="Q507" s="176"/>
      <c r="R507" s="176"/>
      <c r="S507" s="176"/>
      <c r="T507" s="176"/>
      <c r="U507" s="176"/>
      <c r="V507" s="176"/>
      <c r="W507" s="176"/>
      <c r="X507" s="176"/>
      <c r="Y507" s="176"/>
      <c r="Z507" s="176"/>
      <c r="AA507" s="176"/>
      <c r="AB507" s="176"/>
      <c r="AC507" s="176"/>
      <c r="AD507" s="176"/>
      <c r="AE507" s="176"/>
      <c r="AF507" s="176"/>
      <c r="AG507" s="176"/>
      <c r="AH507" s="176"/>
      <c r="AI507" s="176"/>
      <c r="AJ507" s="176"/>
      <c r="AK507" s="176"/>
      <c r="AL507" s="176"/>
      <c r="AM507" s="176"/>
      <c r="AN507" s="176"/>
      <c r="AO507" s="176"/>
      <c r="AP507" s="176"/>
      <c r="AQ507" s="176"/>
      <c r="AR507" s="176"/>
      <c r="AS507" s="176"/>
      <c r="AT507" s="176"/>
      <c r="AU507" s="176"/>
      <c r="AV507" s="176"/>
      <c r="AW507" s="176"/>
      <c r="AX507" s="176"/>
      <c r="AY507" s="176"/>
      <c r="AZ507" s="176"/>
      <c r="BA507" s="176"/>
      <c r="BB507" s="176"/>
      <c r="BC507" s="176"/>
      <c r="BD507" s="176"/>
      <c r="BE507" s="176"/>
      <c r="BF507" s="176"/>
      <c r="BG507" s="176"/>
      <c r="BH507" s="176"/>
      <c r="BI507" s="176"/>
      <c r="BJ507" s="176"/>
    </row>
    <row r="508" spans="2:62" x14ac:dyDescent="0.3">
      <c r="B508" s="3"/>
      <c r="C508" s="2"/>
      <c r="D508" s="2"/>
      <c r="E508" s="3"/>
      <c r="O508" s="176"/>
      <c r="P508" s="176"/>
      <c r="Q508" s="176"/>
      <c r="R508" s="176"/>
      <c r="S508" s="176"/>
      <c r="T508" s="176"/>
      <c r="U508" s="176"/>
      <c r="V508" s="176"/>
      <c r="W508" s="176"/>
      <c r="X508" s="176"/>
      <c r="Y508" s="176"/>
      <c r="Z508" s="176"/>
      <c r="AA508" s="176"/>
      <c r="AB508" s="176"/>
      <c r="AC508" s="176"/>
      <c r="AD508" s="176"/>
      <c r="AE508" s="176"/>
      <c r="AF508" s="176"/>
      <c r="AG508" s="176"/>
      <c r="AH508" s="176"/>
      <c r="AI508" s="176"/>
      <c r="AJ508" s="176"/>
      <c r="AK508" s="176"/>
      <c r="AL508" s="176"/>
      <c r="AM508" s="176"/>
      <c r="AN508" s="176"/>
      <c r="AO508" s="176"/>
      <c r="AP508" s="176"/>
      <c r="AQ508" s="176"/>
      <c r="AR508" s="176"/>
      <c r="AS508" s="176"/>
      <c r="AT508" s="176"/>
      <c r="AU508" s="176"/>
      <c r="AV508" s="176"/>
      <c r="AW508" s="176"/>
      <c r="AX508" s="176"/>
      <c r="AY508" s="176"/>
      <c r="AZ508" s="176"/>
      <c r="BA508" s="176"/>
      <c r="BB508" s="176"/>
      <c r="BC508" s="176"/>
      <c r="BD508" s="176"/>
      <c r="BE508" s="176"/>
      <c r="BF508" s="176"/>
      <c r="BG508" s="176"/>
      <c r="BH508" s="176"/>
      <c r="BI508" s="176"/>
      <c r="BJ508" s="176"/>
    </row>
    <row r="509" spans="2:62" x14ac:dyDescent="0.3">
      <c r="B509" s="3"/>
      <c r="C509" s="2"/>
      <c r="D509" s="2"/>
      <c r="E509" s="3"/>
      <c r="O509" s="176"/>
      <c r="P509" s="176"/>
      <c r="Q509" s="176"/>
      <c r="R509" s="176"/>
      <c r="S509" s="176"/>
      <c r="T509" s="176"/>
      <c r="U509" s="176"/>
      <c r="V509" s="176"/>
      <c r="W509" s="176"/>
      <c r="X509" s="176"/>
      <c r="Y509" s="176"/>
      <c r="Z509" s="176"/>
      <c r="AA509" s="176"/>
      <c r="AB509" s="176"/>
      <c r="AC509" s="176"/>
      <c r="AD509" s="176"/>
      <c r="AE509" s="176"/>
      <c r="AF509" s="176"/>
      <c r="AG509" s="176"/>
      <c r="AH509" s="176"/>
      <c r="AI509" s="176"/>
      <c r="AJ509" s="176"/>
      <c r="AK509" s="176"/>
      <c r="AL509" s="176"/>
      <c r="AM509" s="176"/>
      <c r="AN509" s="176"/>
      <c r="AO509" s="176"/>
      <c r="AP509" s="176"/>
      <c r="AQ509" s="176"/>
      <c r="AR509" s="176"/>
      <c r="AS509" s="176"/>
      <c r="AT509" s="176"/>
      <c r="AU509" s="176"/>
      <c r="AV509" s="176"/>
      <c r="AW509" s="176"/>
      <c r="AX509" s="176"/>
      <c r="AY509" s="176"/>
      <c r="AZ509" s="176"/>
      <c r="BA509" s="176"/>
      <c r="BB509" s="176"/>
      <c r="BC509" s="176"/>
      <c r="BD509" s="176"/>
      <c r="BE509" s="176"/>
      <c r="BF509" s="176"/>
      <c r="BG509" s="176"/>
      <c r="BH509" s="176"/>
      <c r="BI509" s="176"/>
      <c r="BJ509" s="176"/>
    </row>
    <row r="510" spans="2:62" x14ac:dyDescent="0.3">
      <c r="B510" s="3"/>
      <c r="C510" s="2"/>
      <c r="D510" s="2"/>
      <c r="E510" s="3"/>
      <c r="O510" s="176"/>
      <c r="P510" s="176"/>
      <c r="Q510" s="176"/>
      <c r="R510" s="176"/>
      <c r="S510" s="176"/>
      <c r="T510" s="176"/>
      <c r="U510" s="176"/>
      <c r="V510" s="176"/>
      <c r="W510" s="176"/>
      <c r="X510" s="176"/>
      <c r="Y510" s="176"/>
      <c r="Z510" s="176"/>
      <c r="AA510" s="176"/>
      <c r="AB510" s="176"/>
      <c r="AC510" s="176"/>
      <c r="AD510" s="176"/>
      <c r="AE510" s="176"/>
      <c r="AF510" s="176"/>
      <c r="AG510" s="176"/>
      <c r="AH510" s="176"/>
      <c r="AI510" s="176"/>
      <c r="AJ510" s="176"/>
      <c r="AK510" s="176"/>
      <c r="AL510" s="176"/>
      <c r="AM510" s="176"/>
      <c r="AN510" s="176"/>
      <c r="AO510" s="176"/>
      <c r="AP510" s="176"/>
      <c r="AQ510" s="176"/>
      <c r="AR510" s="176"/>
      <c r="AS510" s="176"/>
      <c r="AT510" s="176"/>
      <c r="AU510" s="176"/>
      <c r="AV510" s="176"/>
      <c r="AW510" s="176"/>
      <c r="AX510" s="176"/>
      <c r="AY510" s="176"/>
      <c r="AZ510" s="176"/>
      <c r="BA510" s="176"/>
      <c r="BB510" s="176"/>
      <c r="BC510" s="176"/>
      <c r="BD510" s="176"/>
      <c r="BE510" s="176"/>
      <c r="BF510" s="176"/>
      <c r="BG510" s="176"/>
      <c r="BH510" s="176"/>
      <c r="BI510" s="176"/>
      <c r="BJ510" s="176"/>
    </row>
    <row r="511" spans="2:62" x14ac:dyDescent="0.3">
      <c r="B511" s="3"/>
      <c r="C511" s="2"/>
      <c r="D511" s="2"/>
      <c r="E511" s="3"/>
      <c r="O511" s="176"/>
      <c r="P511" s="176"/>
      <c r="Q511" s="176"/>
      <c r="R511" s="176"/>
      <c r="S511" s="176"/>
      <c r="T511" s="176"/>
      <c r="U511" s="176"/>
      <c r="V511" s="176"/>
      <c r="W511" s="176"/>
      <c r="X511" s="176"/>
      <c r="Y511" s="176"/>
      <c r="Z511" s="176"/>
      <c r="AA511" s="176"/>
      <c r="AB511" s="176"/>
      <c r="AC511" s="176"/>
      <c r="AD511" s="176"/>
      <c r="AE511" s="176"/>
      <c r="AF511" s="176"/>
      <c r="AG511" s="176"/>
      <c r="AH511" s="176"/>
      <c r="AI511" s="176"/>
      <c r="AJ511" s="176"/>
      <c r="AK511" s="176"/>
      <c r="AL511" s="176"/>
      <c r="AM511" s="176"/>
      <c r="AN511" s="176"/>
      <c r="AO511" s="176"/>
      <c r="AP511" s="176"/>
      <c r="AQ511" s="176"/>
      <c r="AR511" s="176"/>
      <c r="AS511" s="176"/>
      <c r="AT511" s="176"/>
      <c r="AU511" s="176"/>
      <c r="AV511" s="176"/>
      <c r="AW511" s="176"/>
      <c r="AX511" s="176"/>
      <c r="AY511" s="176"/>
      <c r="AZ511" s="176"/>
      <c r="BA511" s="176"/>
      <c r="BB511" s="176"/>
      <c r="BC511" s="176"/>
      <c r="BD511" s="176"/>
      <c r="BE511" s="176"/>
      <c r="BF511" s="176"/>
      <c r="BG511" s="176"/>
      <c r="BH511" s="176"/>
      <c r="BI511" s="176"/>
      <c r="BJ511" s="176"/>
    </row>
    <row r="512" spans="2:62" x14ac:dyDescent="0.3">
      <c r="B512" s="3"/>
      <c r="C512" s="2"/>
      <c r="D512" s="2"/>
      <c r="E512" s="3"/>
      <c r="O512" s="176"/>
      <c r="P512" s="176"/>
      <c r="Q512" s="176"/>
      <c r="R512" s="176"/>
      <c r="S512" s="176"/>
      <c r="T512" s="176"/>
      <c r="U512" s="176"/>
      <c r="V512" s="176"/>
      <c r="W512" s="176"/>
      <c r="X512" s="176"/>
      <c r="Y512" s="176"/>
      <c r="Z512" s="176"/>
      <c r="AA512" s="176"/>
      <c r="AB512" s="176"/>
      <c r="AC512" s="176"/>
      <c r="AD512" s="176"/>
      <c r="AE512" s="176"/>
      <c r="AF512" s="176"/>
      <c r="AG512" s="176"/>
      <c r="AH512" s="176"/>
      <c r="AI512" s="176"/>
      <c r="AJ512" s="176"/>
      <c r="AK512" s="176"/>
      <c r="AL512" s="176"/>
      <c r="AM512" s="176"/>
      <c r="AN512" s="176"/>
      <c r="AO512" s="176"/>
      <c r="AP512" s="176"/>
      <c r="AQ512" s="176"/>
      <c r="AR512" s="176"/>
      <c r="AS512" s="176"/>
      <c r="AT512" s="176"/>
      <c r="AU512" s="176"/>
      <c r="AV512" s="176"/>
      <c r="AW512" s="176"/>
      <c r="AX512" s="176"/>
      <c r="AY512" s="176"/>
      <c r="AZ512" s="176"/>
      <c r="BA512" s="176"/>
      <c r="BB512" s="176"/>
      <c r="BC512" s="176"/>
      <c r="BD512" s="176"/>
      <c r="BE512" s="176"/>
      <c r="BF512" s="176"/>
      <c r="BG512" s="176"/>
      <c r="BH512" s="176"/>
      <c r="BI512" s="176"/>
      <c r="BJ512" s="176"/>
    </row>
    <row r="513" spans="2:62" x14ac:dyDescent="0.3">
      <c r="B513" s="3"/>
      <c r="C513" s="2"/>
      <c r="D513" s="2"/>
      <c r="E513" s="3"/>
      <c r="O513" s="176"/>
      <c r="P513" s="176"/>
      <c r="Q513" s="176"/>
      <c r="R513" s="176"/>
      <c r="S513" s="176"/>
      <c r="T513" s="176"/>
      <c r="U513" s="176"/>
      <c r="V513" s="176"/>
      <c r="W513" s="176"/>
      <c r="X513" s="176"/>
      <c r="Y513" s="176"/>
      <c r="Z513" s="176"/>
      <c r="AA513" s="176"/>
      <c r="AB513" s="176"/>
      <c r="AC513" s="176"/>
      <c r="AD513" s="176"/>
      <c r="AE513" s="176"/>
      <c r="AF513" s="176"/>
      <c r="AG513" s="176"/>
      <c r="AH513" s="176"/>
      <c r="AI513" s="176"/>
      <c r="AJ513" s="176"/>
      <c r="AK513" s="176"/>
      <c r="AL513" s="176"/>
      <c r="AM513" s="176"/>
      <c r="AN513" s="176"/>
      <c r="AO513" s="176"/>
      <c r="AP513" s="176"/>
      <c r="AQ513" s="176"/>
      <c r="AR513" s="176"/>
      <c r="AS513" s="176"/>
      <c r="AT513" s="176"/>
      <c r="AU513" s="176"/>
      <c r="AV513" s="176"/>
      <c r="AW513" s="176"/>
      <c r="AX513" s="176"/>
      <c r="AY513" s="176"/>
      <c r="AZ513" s="176"/>
      <c r="BA513" s="176"/>
      <c r="BB513" s="176"/>
      <c r="BC513" s="176"/>
      <c r="BD513" s="176"/>
      <c r="BE513" s="176"/>
      <c r="BF513" s="176"/>
      <c r="BG513" s="176"/>
      <c r="BH513" s="176"/>
      <c r="BI513" s="176"/>
      <c r="BJ513" s="176"/>
    </row>
    <row r="514" spans="2:62" x14ac:dyDescent="0.3">
      <c r="B514" s="3"/>
      <c r="C514" s="2"/>
      <c r="D514" s="2"/>
      <c r="E514" s="3"/>
      <c r="O514" s="176"/>
      <c r="P514" s="176"/>
      <c r="Q514" s="176"/>
      <c r="R514" s="176"/>
      <c r="S514" s="176"/>
      <c r="T514" s="176"/>
      <c r="U514" s="176"/>
      <c r="V514" s="176"/>
      <c r="W514" s="176"/>
      <c r="X514" s="176"/>
      <c r="Y514" s="176"/>
      <c r="Z514" s="176"/>
      <c r="AA514" s="176"/>
      <c r="AB514" s="176"/>
      <c r="AC514" s="176"/>
      <c r="AD514" s="176"/>
      <c r="AE514" s="176"/>
      <c r="AF514" s="176"/>
      <c r="AG514" s="176"/>
      <c r="AH514" s="176"/>
      <c r="AI514" s="176"/>
      <c r="AJ514" s="176"/>
      <c r="AK514" s="176"/>
      <c r="AL514" s="176"/>
      <c r="AM514" s="176"/>
      <c r="AN514" s="176"/>
      <c r="AO514" s="176"/>
      <c r="AP514" s="176"/>
      <c r="AQ514" s="176"/>
      <c r="AR514" s="176"/>
      <c r="AS514" s="176"/>
      <c r="AT514" s="176"/>
      <c r="AU514" s="176"/>
      <c r="AV514" s="176"/>
      <c r="AW514" s="176"/>
      <c r="AX514" s="176"/>
      <c r="AY514" s="176"/>
      <c r="AZ514" s="176"/>
      <c r="BA514" s="176"/>
      <c r="BB514" s="176"/>
      <c r="BC514" s="176"/>
      <c r="BD514" s="176"/>
      <c r="BE514" s="176"/>
      <c r="BF514" s="176"/>
      <c r="BG514" s="176"/>
      <c r="BH514" s="176"/>
      <c r="BI514" s="176"/>
      <c r="BJ514" s="176"/>
    </row>
    <row r="515" spans="2:62" x14ac:dyDescent="0.3">
      <c r="B515" s="3"/>
      <c r="C515" s="2"/>
      <c r="D515" s="2"/>
      <c r="E515" s="3"/>
      <c r="O515" s="176"/>
      <c r="P515" s="176"/>
      <c r="Q515" s="176"/>
      <c r="R515" s="176"/>
      <c r="S515" s="176"/>
      <c r="T515" s="176"/>
      <c r="U515" s="176"/>
      <c r="V515" s="176"/>
      <c r="W515" s="176"/>
      <c r="X515" s="176"/>
      <c r="Y515" s="176"/>
      <c r="Z515" s="176"/>
      <c r="AA515" s="176"/>
      <c r="AB515" s="176"/>
      <c r="AC515" s="176"/>
      <c r="AD515" s="176"/>
      <c r="AE515" s="176"/>
      <c r="AF515" s="176"/>
      <c r="AG515" s="176"/>
      <c r="AH515" s="176"/>
      <c r="AI515" s="176"/>
      <c r="AJ515" s="176"/>
      <c r="AK515" s="176"/>
      <c r="AL515" s="176"/>
      <c r="AM515" s="176"/>
      <c r="AN515" s="176"/>
      <c r="AO515" s="176"/>
      <c r="AP515" s="176"/>
      <c r="AQ515" s="176"/>
      <c r="AR515" s="176"/>
      <c r="AS515" s="176"/>
      <c r="AT515" s="176"/>
      <c r="AU515" s="176"/>
      <c r="AV515" s="176"/>
      <c r="AW515" s="176"/>
      <c r="AX515" s="176"/>
      <c r="AY515" s="176"/>
      <c r="AZ515" s="176"/>
      <c r="BA515" s="176"/>
      <c r="BB515" s="176"/>
      <c r="BC515" s="176"/>
      <c r="BD515" s="176"/>
      <c r="BE515" s="176"/>
      <c r="BF515" s="176"/>
      <c r="BG515" s="176"/>
      <c r="BH515" s="176"/>
      <c r="BI515" s="176"/>
      <c r="BJ515" s="176"/>
    </row>
    <row r="516" spans="2:62" x14ac:dyDescent="0.3">
      <c r="B516" s="3"/>
      <c r="C516" s="2"/>
      <c r="D516" s="2"/>
      <c r="E516" s="3"/>
      <c r="O516" s="176"/>
      <c r="P516" s="176"/>
      <c r="Q516" s="176"/>
      <c r="R516" s="176"/>
      <c r="S516" s="176"/>
      <c r="T516" s="176"/>
      <c r="U516" s="176"/>
      <c r="V516" s="176"/>
      <c r="W516" s="176"/>
      <c r="X516" s="176"/>
      <c r="Y516" s="176"/>
      <c r="Z516" s="176"/>
      <c r="AA516" s="176"/>
      <c r="AB516" s="176"/>
      <c r="AC516" s="176"/>
      <c r="AD516" s="176"/>
      <c r="AE516" s="176"/>
      <c r="AF516" s="176"/>
      <c r="AG516" s="176"/>
      <c r="AH516" s="176"/>
      <c r="AI516" s="176"/>
      <c r="AJ516" s="176"/>
      <c r="AK516" s="176"/>
      <c r="AL516" s="176"/>
      <c r="AM516" s="176"/>
      <c r="AN516" s="176"/>
      <c r="AO516" s="176"/>
      <c r="AP516" s="176"/>
      <c r="AQ516" s="176"/>
      <c r="AR516" s="176"/>
      <c r="AS516" s="176"/>
      <c r="AT516" s="176"/>
      <c r="AU516" s="176"/>
      <c r="AV516" s="176"/>
      <c r="AW516" s="176"/>
      <c r="AX516" s="176"/>
      <c r="AY516" s="176"/>
      <c r="AZ516" s="176"/>
      <c r="BA516" s="176"/>
      <c r="BB516" s="176"/>
      <c r="BC516" s="176"/>
      <c r="BD516" s="176"/>
      <c r="BE516" s="176"/>
      <c r="BF516" s="176"/>
      <c r="BG516" s="176"/>
      <c r="BH516" s="176"/>
      <c r="BI516" s="176"/>
      <c r="BJ516" s="176"/>
    </row>
    <row r="517" spans="2:62" x14ac:dyDescent="0.3">
      <c r="B517" s="3"/>
      <c r="C517" s="2"/>
      <c r="D517" s="2"/>
      <c r="E517" s="3"/>
      <c r="O517" s="176"/>
      <c r="P517" s="176"/>
      <c r="Q517" s="176"/>
      <c r="R517" s="176"/>
      <c r="S517" s="176"/>
      <c r="T517" s="176"/>
      <c r="U517" s="176"/>
      <c r="V517" s="176"/>
      <c r="W517" s="176"/>
      <c r="X517" s="176"/>
      <c r="Y517" s="176"/>
      <c r="Z517" s="176"/>
      <c r="AA517" s="176"/>
      <c r="AB517" s="176"/>
      <c r="AC517" s="176"/>
      <c r="AD517" s="176"/>
      <c r="AE517" s="176"/>
      <c r="AF517" s="176"/>
      <c r="AG517" s="176"/>
      <c r="AH517" s="176"/>
      <c r="AI517" s="176"/>
      <c r="AJ517" s="176"/>
      <c r="AK517" s="176"/>
      <c r="AL517" s="176"/>
      <c r="AM517" s="176"/>
      <c r="AN517" s="176"/>
      <c r="AO517" s="176"/>
      <c r="AP517" s="176"/>
      <c r="AQ517" s="176"/>
      <c r="AR517" s="176"/>
      <c r="AS517" s="176"/>
      <c r="AT517" s="176"/>
      <c r="AU517" s="176"/>
      <c r="AV517" s="176"/>
      <c r="AW517" s="176"/>
      <c r="AX517" s="176"/>
      <c r="AY517" s="176"/>
      <c r="AZ517" s="176"/>
      <c r="BA517" s="176"/>
      <c r="BB517" s="176"/>
      <c r="BC517" s="176"/>
      <c r="BD517" s="176"/>
      <c r="BE517" s="176"/>
      <c r="BF517" s="176"/>
      <c r="BG517" s="176"/>
      <c r="BH517" s="176"/>
      <c r="BI517" s="176"/>
      <c r="BJ517" s="176"/>
    </row>
    <row r="518" spans="2:62" x14ac:dyDescent="0.3">
      <c r="B518" s="3"/>
      <c r="C518" s="2"/>
      <c r="D518" s="2"/>
      <c r="E518" s="3"/>
      <c r="O518" s="176"/>
      <c r="P518" s="176"/>
      <c r="Q518" s="176"/>
      <c r="R518" s="176"/>
      <c r="S518" s="176"/>
      <c r="T518" s="176"/>
      <c r="U518" s="176"/>
      <c r="V518" s="176"/>
      <c r="W518" s="176"/>
      <c r="X518" s="176"/>
      <c r="Y518" s="176"/>
      <c r="Z518" s="176"/>
      <c r="AA518" s="176"/>
      <c r="AB518" s="176"/>
      <c r="AC518" s="176"/>
      <c r="AD518" s="176"/>
      <c r="AE518" s="176"/>
      <c r="AF518" s="176"/>
      <c r="AG518" s="176"/>
      <c r="AH518" s="176"/>
      <c r="AI518" s="176"/>
      <c r="AJ518" s="176"/>
      <c r="AK518" s="176"/>
      <c r="AL518" s="176"/>
      <c r="AM518" s="176"/>
      <c r="AN518" s="176"/>
      <c r="AO518" s="176"/>
      <c r="AP518" s="176"/>
      <c r="AQ518" s="176"/>
      <c r="AR518" s="176"/>
      <c r="AS518" s="176"/>
      <c r="AT518" s="176"/>
      <c r="AU518" s="176"/>
      <c r="AV518" s="176"/>
      <c r="AW518" s="176"/>
      <c r="AX518" s="176"/>
      <c r="AY518" s="176"/>
      <c r="AZ518" s="176"/>
      <c r="BA518" s="176"/>
      <c r="BB518" s="176"/>
      <c r="BC518" s="176"/>
      <c r="BD518" s="176"/>
      <c r="BE518" s="176"/>
      <c r="BF518" s="176"/>
      <c r="BG518" s="176"/>
      <c r="BH518" s="176"/>
      <c r="BI518" s="176"/>
      <c r="BJ518" s="176"/>
    </row>
    <row r="519" spans="2:62" x14ac:dyDescent="0.3">
      <c r="B519" s="3"/>
      <c r="C519" s="2"/>
      <c r="D519" s="2"/>
      <c r="E519" s="3"/>
      <c r="O519" s="176"/>
      <c r="P519" s="176"/>
      <c r="Q519" s="176"/>
      <c r="R519" s="176"/>
      <c r="S519" s="176"/>
      <c r="T519" s="176"/>
      <c r="U519" s="176"/>
      <c r="V519" s="176"/>
      <c r="W519" s="176"/>
      <c r="X519" s="176"/>
      <c r="Y519" s="176"/>
      <c r="Z519" s="176"/>
      <c r="AA519" s="176"/>
      <c r="AB519" s="176"/>
      <c r="AC519" s="176"/>
      <c r="AD519" s="176"/>
      <c r="AE519" s="176"/>
      <c r="AF519" s="176"/>
      <c r="AG519" s="176"/>
      <c r="AH519" s="176"/>
      <c r="AI519" s="176"/>
      <c r="AJ519" s="176"/>
      <c r="AK519" s="176"/>
      <c r="AL519" s="176"/>
      <c r="AM519" s="176"/>
      <c r="AN519" s="176"/>
      <c r="AO519" s="176"/>
      <c r="AP519" s="176"/>
      <c r="AQ519" s="176"/>
      <c r="AR519" s="176"/>
      <c r="AS519" s="176"/>
      <c r="AT519" s="176"/>
      <c r="AU519" s="176"/>
      <c r="AV519" s="176"/>
      <c r="AW519" s="176"/>
      <c r="AX519" s="176"/>
      <c r="AY519" s="176"/>
      <c r="AZ519" s="176"/>
      <c r="BA519" s="176"/>
      <c r="BB519" s="176"/>
      <c r="BC519" s="176"/>
      <c r="BD519" s="176"/>
      <c r="BE519" s="176"/>
      <c r="BF519" s="176"/>
      <c r="BG519" s="176"/>
      <c r="BH519" s="176"/>
      <c r="BI519" s="176"/>
      <c r="BJ519" s="176"/>
    </row>
    <row r="520" spans="2:62" x14ac:dyDescent="0.3">
      <c r="B520" s="3"/>
      <c r="C520" s="2"/>
      <c r="D520" s="2"/>
      <c r="E520" s="3"/>
      <c r="O520" s="176"/>
      <c r="P520" s="176"/>
      <c r="Q520" s="176"/>
      <c r="R520" s="176"/>
      <c r="S520" s="176"/>
      <c r="T520" s="176"/>
      <c r="U520" s="176"/>
      <c r="V520" s="176"/>
      <c r="W520" s="176"/>
      <c r="X520" s="176"/>
      <c r="Y520" s="176"/>
      <c r="Z520" s="176"/>
      <c r="AA520" s="176"/>
      <c r="AB520" s="176"/>
      <c r="AC520" s="176"/>
      <c r="AD520" s="176"/>
      <c r="AE520" s="176"/>
      <c r="AF520" s="176"/>
      <c r="AG520" s="176"/>
      <c r="AH520" s="176"/>
      <c r="AI520" s="176"/>
      <c r="AJ520" s="176"/>
      <c r="AK520" s="176"/>
      <c r="AL520" s="176"/>
      <c r="AM520" s="176"/>
      <c r="AN520" s="176"/>
      <c r="AO520" s="176"/>
      <c r="AP520" s="176"/>
      <c r="AQ520" s="176"/>
      <c r="AR520" s="176"/>
      <c r="AS520" s="176"/>
      <c r="AT520" s="176"/>
      <c r="AU520" s="176"/>
      <c r="AV520" s="176"/>
      <c r="AW520" s="176"/>
      <c r="AX520" s="176"/>
      <c r="AY520" s="176"/>
      <c r="AZ520" s="176"/>
      <c r="BA520" s="176"/>
      <c r="BB520" s="176"/>
      <c r="BC520" s="176"/>
      <c r="BD520" s="176"/>
      <c r="BE520" s="176"/>
      <c r="BF520" s="176"/>
      <c r="BG520" s="176"/>
      <c r="BH520" s="176"/>
      <c r="BI520" s="176"/>
      <c r="BJ520" s="176"/>
    </row>
    <row r="521" spans="2:62" x14ac:dyDescent="0.3">
      <c r="B521" s="3"/>
      <c r="C521" s="2"/>
      <c r="D521" s="2"/>
      <c r="E521" s="3"/>
      <c r="O521" s="176"/>
      <c r="P521" s="176"/>
      <c r="Q521" s="176"/>
      <c r="R521" s="176"/>
      <c r="S521" s="176"/>
      <c r="T521" s="176"/>
      <c r="U521" s="176"/>
      <c r="V521" s="176"/>
      <c r="W521" s="176"/>
      <c r="X521" s="176"/>
      <c r="Y521" s="176"/>
      <c r="Z521" s="176"/>
      <c r="AA521" s="176"/>
      <c r="AB521" s="176"/>
      <c r="AC521" s="176"/>
      <c r="AD521" s="176"/>
      <c r="AE521" s="176"/>
      <c r="AF521" s="176"/>
      <c r="AG521" s="176"/>
      <c r="AH521" s="176"/>
      <c r="AI521" s="176"/>
      <c r="AJ521" s="176"/>
      <c r="AK521" s="176"/>
      <c r="AL521" s="176"/>
      <c r="AM521" s="176"/>
      <c r="AN521" s="176"/>
      <c r="AO521" s="176"/>
      <c r="AP521" s="176"/>
      <c r="AQ521" s="176"/>
      <c r="AR521" s="176"/>
      <c r="AS521" s="176"/>
      <c r="AT521" s="176"/>
      <c r="AU521" s="176"/>
      <c r="AV521" s="176"/>
      <c r="AW521" s="176"/>
      <c r="AX521" s="176"/>
      <c r="AY521" s="176"/>
      <c r="AZ521" s="176"/>
      <c r="BA521" s="176"/>
      <c r="BB521" s="176"/>
      <c r="BC521" s="176"/>
      <c r="BD521" s="176"/>
      <c r="BE521" s="176"/>
      <c r="BF521" s="176"/>
      <c r="BG521" s="176"/>
      <c r="BH521" s="176"/>
      <c r="BI521" s="176"/>
      <c r="BJ521" s="176"/>
    </row>
    <row r="522" spans="2:62" x14ac:dyDescent="0.3">
      <c r="B522" s="3"/>
      <c r="C522" s="2"/>
      <c r="D522" s="2"/>
      <c r="E522" s="3"/>
      <c r="O522" s="176"/>
      <c r="P522" s="176"/>
      <c r="Q522" s="176"/>
      <c r="R522" s="176"/>
      <c r="S522" s="176"/>
      <c r="T522" s="176"/>
      <c r="U522" s="176"/>
      <c r="V522" s="176"/>
      <c r="W522" s="176"/>
      <c r="X522" s="176"/>
      <c r="Y522" s="176"/>
      <c r="Z522" s="176"/>
      <c r="AA522" s="176"/>
      <c r="AB522" s="176"/>
      <c r="AC522" s="176"/>
      <c r="AD522" s="176"/>
      <c r="AE522" s="176"/>
      <c r="AF522" s="176"/>
      <c r="AG522" s="176"/>
      <c r="AH522" s="176"/>
      <c r="AI522" s="176"/>
      <c r="AJ522" s="176"/>
      <c r="AK522" s="176"/>
      <c r="AL522" s="176"/>
      <c r="AM522" s="176"/>
      <c r="AN522" s="176"/>
      <c r="AO522" s="176"/>
      <c r="AP522" s="176"/>
      <c r="AQ522" s="176"/>
      <c r="AR522" s="176"/>
      <c r="AS522" s="176"/>
      <c r="AT522" s="176"/>
      <c r="AU522" s="176"/>
      <c r="AV522" s="176"/>
      <c r="AW522" s="176"/>
      <c r="AX522" s="176"/>
      <c r="AY522" s="176"/>
      <c r="AZ522" s="176"/>
      <c r="BA522" s="176"/>
      <c r="BB522" s="176"/>
      <c r="BC522" s="176"/>
      <c r="BD522" s="176"/>
      <c r="BE522" s="176"/>
      <c r="BF522" s="176"/>
      <c r="BG522" s="176"/>
      <c r="BH522" s="176"/>
      <c r="BI522" s="176"/>
      <c r="BJ522" s="176"/>
    </row>
    <row r="523" spans="2:62" x14ac:dyDescent="0.3">
      <c r="B523" s="3"/>
      <c r="C523" s="2"/>
      <c r="D523" s="2"/>
      <c r="E523" s="3"/>
      <c r="O523" s="176"/>
      <c r="P523" s="176"/>
      <c r="Q523" s="176"/>
      <c r="R523" s="176"/>
      <c r="S523" s="176"/>
      <c r="T523" s="176"/>
      <c r="U523" s="176"/>
      <c r="V523" s="176"/>
      <c r="W523" s="176"/>
      <c r="X523" s="176"/>
      <c r="Y523" s="176"/>
      <c r="Z523" s="176"/>
      <c r="AA523" s="176"/>
      <c r="AB523" s="176"/>
      <c r="AC523" s="176"/>
      <c r="AD523" s="176"/>
      <c r="AE523" s="176"/>
      <c r="AF523" s="176"/>
      <c r="AG523" s="176"/>
      <c r="AH523" s="176"/>
      <c r="AI523" s="176"/>
      <c r="AJ523" s="176"/>
      <c r="AK523" s="176"/>
      <c r="AL523" s="176"/>
      <c r="AM523" s="176"/>
      <c r="AN523" s="176"/>
      <c r="AO523" s="176"/>
      <c r="AP523" s="176"/>
      <c r="AQ523" s="176"/>
      <c r="AR523" s="176"/>
      <c r="AS523" s="176"/>
      <c r="AT523" s="176"/>
      <c r="AU523" s="176"/>
      <c r="AV523" s="176"/>
      <c r="AW523" s="176"/>
      <c r="AX523" s="176"/>
      <c r="AY523" s="176"/>
      <c r="AZ523" s="176"/>
      <c r="BA523" s="176"/>
      <c r="BB523" s="176"/>
      <c r="BC523" s="176"/>
      <c r="BD523" s="176"/>
      <c r="BE523" s="176"/>
      <c r="BF523" s="176"/>
      <c r="BG523" s="176"/>
      <c r="BH523" s="176"/>
      <c r="BI523" s="176"/>
      <c r="BJ523" s="176"/>
    </row>
    <row r="524" spans="2:62" x14ac:dyDescent="0.3">
      <c r="B524" s="3"/>
      <c r="C524" s="2"/>
      <c r="D524" s="2"/>
      <c r="E524" s="3"/>
      <c r="O524" s="176"/>
      <c r="P524" s="176"/>
      <c r="Q524" s="176"/>
      <c r="R524" s="176"/>
      <c r="S524" s="176"/>
      <c r="T524" s="176"/>
      <c r="U524" s="176"/>
      <c r="V524" s="176"/>
      <c r="W524" s="176"/>
      <c r="X524" s="176"/>
      <c r="Y524" s="176"/>
      <c r="Z524" s="176"/>
      <c r="AA524" s="176"/>
      <c r="AB524" s="176"/>
      <c r="AC524" s="176"/>
      <c r="AD524" s="176"/>
      <c r="AE524" s="176"/>
      <c r="AF524" s="176"/>
      <c r="AG524" s="176"/>
      <c r="AH524" s="176"/>
      <c r="AI524" s="176"/>
      <c r="AJ524" s="176"/>
      <c r="AK524" s="176"/>
      <c r="AL524" s="176"/>
      <c r="AM524" s="176"/>
      <c r="AN524" s="176"/>
      <c r="AO524" s="176"/>
      <c r="AP524" s="176"/>
      <c r="AQ524" s="176"/>
      <c r="AR524" s="176"/>
      <c r="AS524" s="176"/>
      <c r="AT524" s="176"/>
      <c r="AU524" s="176"/>
      <c r="AV524" s="176"/>
      <c r="AW524" s="176"/>
      <c r="AX524" s="176"/>
      <c r="AY524" s="176"/>
      <c r="AZ524" s="176"/>
      <c r="BA524" s="176"/>
      <c r="BB524" s="176"/>
      <c r="BC524" s="176"/>
      <c r="BD524" s="176"/>
      <c r="BE524" s="176"/>
      <c r="BF524" s="176"/>
      <c r="BG524" s="176"/>
      <c r="BH524" s="176"/>
      <c r="BI524" s="176"/>
      <c r="BJ524" s="176"/>
    </row>
    <row r="525" spans="2:62" x14ac:dyDescent="0.3">
      <c r="B525" s="3"/>
      <c r="C525" s="2"/>
      <c r="D525" s="2"/>
      <c r="E525" s="3"/>
      <c r="O525" s="176"/>
      <c r="P525" s="176"/>
      <c r="Q525" s="176"/>
      <c r="R525" s="176"/>
      <c r="S525" s="176"/>
      <c r="T525" s="176"/>
      <c r="U525" s="176"/>
      <c r="V525" s="176"/>
      <c r="W525" s="176"/>
      <c r="X525" s="176"/>
      <c r="Y525" s="176"/>
      <c r="Z525" s="176"/>
      <c r="AA525" s="176"/>
      <c r="AB525" s="176"/>
      <c r="AC525" s="176"/>
      <c r="AD525" s="176"/>
      <c r="AE525" s="176"/>
      <c r="AF525" s="176"/>
      <c r="AG525" s="176"/>
      <c r="AH525" s="176"/>
      <c r="AI525" s="176"/>
      <c r="AJ525" s="176"/>
      <c r="AK525" s="176"/>
      <c r="AL525" s="176"/>
      <c r="AM525" s="176"/>
      <c r="AN525" s="176"/>
      <c r="AO525" s="176"/>
      <c r="AP525" s="176"/>
      <c r="AQ525" s="176"/>
      <c r="AR525" s="176"/>
      <c r="AS525" s="176"/>
      <c r="AT525" s="176"/>
      <c r="AU525" s="176"/>
      <c r="AV525" s="176"/>
      <c r="AW525" s="176"/>
      <c r="AX525" s="176"/>
      <c r="AY525" s="176"/>
      <c r="AZ525" s="176"/>
      <c r="BA525" s="176"/>
      <c r="BB525" s="176"/>
      <c r="BC525" s="176"/>
      <c r="BD525" s="176"/>
      <c r="BE525" s="176"/>
      <c r="BF525" s="176"/>
      <c r="BG525" s="176"/>
      <c r="BH525" s="176"/>
      <c r="BI525" s="176"/>
      <c r="BJ525" s="176"/>
    </row>
    <row r="526" spans="2:62" x14ac:dyDescent="0.3">
      <c r="B526" s="3"/>
      <c r="C526" s="2"/>
      <c r="D526" s="2"/>
      <c r="E526" s="3"/>
      <c r="O526" s="176"/>
      <c r="P526" s="176"/>
      <c r="Q526" s="176"/>
      <c r="R526" s="176"/>
      <c r="S526" s="176"/>
      <c r="T526" s="176"/>
      <c r="U526" s="176"/>
      <c r="V526" s="176"/>
      <c r="W526" s="176"/>
      <c r="X526" s="176"/>
      <c r="Y526" s="176"/>
      <c r="Z526" s="176"/>
      <c r="AA526" s="176"/>
      <c r="AB526" s="176"/>
      <c r="AC526" s="176"/>
      <c r="AD526" s="176"/>
      <c r="AE526" s="176"/>
      <c r="AF526" s="176"/>
      <c r="AG526" s="176"/>
      <c r="AH526" s="176"/>
      <c r="AI526" s="176"/>
      <c r="AJ526" s="176"/>
      <c r="AK526" s="176"/>
      <c r="AL526" s="176"/>
      <c r="AM526" s="176"/>
      <c r="AN526" s="176"/>
      <c r="AO526" s="176"/>
      <c r="AP526" s="176"/>
      <c r="AQ526" s="176"/>
      <c r="AR526" s="176"/>
      <c r="AS526" s="176"/>
      <c r="AT526" s="176"/>
      <c r="AU526" s="176"/>
      <c r="AV526" s="176"/>
      <c r="AW526" s="176"/>
      <c r="AX526" s="176"/>
      <c r="AY526" s="176"/>
      <c r="AZ526" s="176"/>
      <c r="BA526" s="176"/>
      <c r="BB526" s="176"/>
      <c r="BC526" s="176"/>
      <c r="BD526" s="176"/>
      <c r="BE526" s="176"/>
      <c r="BF526" s="176"/>
      <c r="BG526" s="176"/>
      <c r="BH526" s="176"/>
      <c r="BI526" s="176"/>
      <c r="BJ526" s="176"/>
    </row>
    <row r="527" spans="2:62" x14ac:dyDescent="0.3">
      <c r="B527" s="3"/>
      <c r="C527" s="2"/>
      <c r="D527" s="2"/>
      <c r="E527" s="3"/>
      <c r="O527" s="176"/>
      <c r="P527" s="176"/>
      <c r="Q527" s="176"/>
      <c r="R527" s="176"/>
      <c r="S527" s="176"/>
      <c r="T527" s="176"/>
      <c r="U527" s="176"/>
      <c r="V527" s="176"/>
      <c r="W527" s="176"/>
      <c r="X527" s="176"/>
      <c r="Y527" s="176"/>
      <c r="Z527" s="176"/>
      <c r="AA527" s="176"/>
      <c r="AB527" s="176"/>
      <c r="AC527" s="176"/>
      <c r="AD527" s="176"/>
      <c r="AE527" s="176"/>
      <c r="AF527" s="176"/>
      <c r="AG527" s="176"/>
      <c r="AH527" s="176"/>
      <c r="AI527" s="176"/>
      <c r="AJ527" s="176"/>
      <c r="AK527" s="176"/>
      <c r="AL527" s="176"/>
      <c r="AM527" s="176"/>
      <c r="AN527" s="176"/>
      <c r="AO527" s="176"/>
      <c r="AP527" s="176"/>
      <c r="AQ527" s="176"/>
      <c r="AR527" s="176"/>
      <c r="AS527" s="176"/>
      <c r="AT527" s="176"/>
      <c r="AU527" s="176"/>
      <c r="AV527" s="176"/>
      <c r="AW527" s="176"/>
      <c r="AX527" s="176"/>
      <c r="AY527" s="176"/>
      <c r="AZ527" s="176"/>
      <c r="BA527" s="176"/>
      <c r="BB527" s="176"/>
      <c r="BC527" s="176"/>
      <c r="BD527" s="176"/>
      <c r="BE527" s="176"/>
      <c r="BF527" s="176"/>
      <c r="BG527" s="176"/>
      <c r="BH527" s="176"/>
      <c r="BI527" s="176"/>
      <c r="BJ527" s="176"/>
    </row>
    <row r="528" spans="2:62" x14ac:dyDescent="0.3">
      <c r="B528" s="3"/>
      <c r="C528" s="2"/>
      <c r="D528" s="2"/>
      <c r="E528" s="3"/>
      <c r="O528" s="176"/>
      <c r="P528" s="176"/>
      <c r="Q528" s="176"/>
      <c r="R528" s="176"/>
      <c r="S528" s="176"/>
      <c r="T528" s="176"/>
      <c r="U528" s="176"/>
      <c r="V528" s="176"/>
      <c r="W528" s="176"/>
      <c r="X528" s="176"/>
      <c r="Y528" s="176"/>
      <c r="Z528" s="176"/>
      <c r="AA528" s="176"/>
      <c r="AB528" s="176"/>
      <c r="AC528" s="176"/>
      <c r="AD528" s="176"/>
      <c r="AE528" s="176"/>
      <c r="AF528" s="176"/>
      <c r="AG528" s="176"/>
      <c r="AH528" s="176"/>
      <c r="AI528" s="176"/>
      <c r="AJ528" s="176"/>
      <c r="AK528" s="176"/>
      <c r="AL528" s="176"/>
      <c r="AM528" s="176"/>
      <c r="AN528" s="176"/>
      <c r="AO528" s="176"/>
      <c r="AP528" s="176"/>
      <c r="AQ528" s="176"/>
      <c r="AR528" s="176"/>
      <c r="AS528" s="176"/>
      <c r="AT528" s="176"/>
      <c r="AU528" s="176"/>
      <c r="AV528" s="176"/>
      <c r="AW528" s="176"/>
      <c r="AX528" s="176"/>
      <c r="AY528" s="176"/>
      <c r="AZ528" s="176"/>
      <c r="BA528" s="176"/>
      <c r="BB528" s="176"/>
      <c r="BC528" s="176"/>
      <c r="BD528" s="176"/>
      <c r="BE528" s="176"/>
      <c r="BF528" s="176"/>
      <c r="BG528" s="176"/>
      <c r="BH528" s="176"/>
      <c r="BI528" s="176"/>
      <c r="BJ528" s="176"/>
    </row>
    <row r="529" spans="2:62" x14ac:dyDescent="0.3">
      <c r="B529" s="3"/>
      <c r="C529" s="2"/>
      <c r="D529" s="2"/>
      <c r="E529" s="3"/>
      <c r="O529" s="176"/>
      <c r="P529" s="176"/>
      <c r="Q529" s="176"/>
      <c r="R529" s="176"/>
      <c r="S529" s="176"/>
      <c r="T529" s="176"/>
      <c r="U529" s="176"/>
      <c r="V529" s="176"/>
      <c r="W529" s="176"/>
      <c r="X529" s="176"/>
      <c r="Y529" s="176"/>
      <c r="Z529" s="176"/>
      <c r="AA529" s="176"/>
      <c r="AB529" s="176"/>
      <c r="AC529" s="176"/>
      <c r="AD529" s="176"/>
      <c r="AE529" s="176"/>
      <c r="AF529" s="176"/>
      <c r="AG529" s="176"/>
      <c r="AH529" s="176"/>
      <c r="AI529" s="176"/>
      <c r="AJ529" s="176"/>
      <c r="AK529" s="176"/>
      <c r="AL529" s="176"/>
      <c r="AM529" s="176"/>
      <c r="AN529" s="176"/>
      <c r="AO529" s="176"/>
      <c r="AP529" s="176"/>
      <c r="AQ529" s="176"/>
      <c r="AR529" s="176"/>
      <c r="AS529" s="176"/>
      <c r="AT529" s="176"/>
      <c r="AU529" s="176"/>
      <c r="AV529" s="176"/>
      <c r="AW529" s="176"/>
      <c r="AX529" s="176"/>
      <c r="AY529" s="176"/>
      <c r="AZ529" s="176"/>
      <c r="BA529" s="176"/>
      <c r="BB529" s="176"/>
      <c r="BC529" s="176"/>
      <c r="BD529" s="176"/>
      <c r="BE529" s="176"/>
      <c r="BF529" s="176"/>
      <c r="BG529" s="176"/>
      <c r="BH529" s="176"/>
      <c r="BI529" s="176"/>
      <c r="BJ529" s="176"/>
    </row>
    <row r="530" spans="2:62" x14ac:dyDescent="0.3">
      <c r="B530" s="3"/>
      <c r="C530" s="2"/>
      <c r="D530" s="2"/>
      <c r="E530" s="3"/>
      <c r="O530" s="176"/>
      <c r="P530" s="176"/>
      <c r="Q530" s="176"/>
      <c r="R530" s="176"/>
      <c r="S530" s="176"/>
      <c r="T530" s="176"/>
      <c r="U530" s="176"/>
      <c r="V530" s="176"/>
      <c r="W530" s="176"/>
      <c r="X530" s="176"/>
      <c r="Y530" s="176"/>
      <c r="Z530" s="176"/>
      <c r="AA530" s="176"/>
      <c r="AB530" s="176"/>
      <c r="AC530" s="176"/>
      <c r="AD530" s="176"/>
      <c r="AE530" s="176"/>
      <c r="AF530" s="176"/>
      <c r="AG530" s="176"/>
      <c r="AH530" s="176"/>
      <c r="AI530" s="176"/>
      <c r="AJ530" s="176"/>
      <c r="AK530" s="176"/>
      <c r="AL530" s="176"/>
      <c r="AM530" s="176"/>
      <c r="AN530" s="176"/>
      <c r="AO530" s="176"/>
      <c r="AP530" s="176"/>
      <c r="AQ530" s="176"/>
      <c r="AR530" s="176"/>
      <c r="AS530" s="176"/>
      <c r="AT530" s="176"/>
      <c r="AU530" s="176"/>
      <c r="AV530" s="176"/>
      <c r="AW530" s="176"/>
      <c r="AX530" s="176"/>
      <c r="AY530" s="176"/>
      <c r="AZ530" s="176"/>
      <c r="BA530" s="176"/>
      <c r="BB530" s="176"/>
      <c r="BC530" s="176"/>
      <c r="BD530" s="176"/>
      <c r="BE530" s="176"/>
      <c r="BF530" s="176"/>
      <c r="BG530" s="176"/>
      <c r="BH530" s="176"/>
      <c r="BI530" s="176"/>
      <c r="BJ530" s="176"/>
    </row>
    <row r="531" spans="2:62" x14ac:dyDescent="0.3">
      <c r="B531" s="3"/>
      <c r="C531" s="2"/>
      <c r="D531" s="2"/>
      <c r="E531" s="3"/>
      <c r="O531" s="176"/>
      <c r="P531" s="176"/>
      <c r="Q531" s="176"/>
      <c r="R531" s="176"/>
      <c r="S531" s="176"/>
      <c r="T531" s="176"/>
      <c r="U531" s="176"/>
      <c r="V531" s="176"/>
      <c r="W531" s="176"/>
      <c r="X531" s="176"/>
      <c r="Y531" s="176"/>
      <c r="Z531" s="176"/>
      <c r="AA531" s="176"/>
      <c r="AB531" s="176"/>
      <c r="AC531" s="176"/>
      <c r="AD531" s="176"/>
      <c r="AE531" s="176"/>
      <c r="AF531" s="176"/>
      <c r="AG531" s="176"/>
      <c r="AH531" s="176"/>
      <c r="AI531" s="176"/>
      <c r="AJ531" s="176"/>
      <c r="AK531" s="176"/>
      <c r="AL531" s="176"/>
      <c r="AM531" s="176"/>
      <c r="AN531" s="176"/>
      <c r="AO531" s="176"/>
      <c r="AP531" s="176"/>
      <c r="AQ531" s="176"/>
      <c r="AR531" s="176"/>
      <c r="AS531" s="176"/>
      <c r="AT531" s="176"/>
      <c r="AU531" s="176"/>
      <c r="AV531" s="176"/>
      <c r="AW531" s="176"/>
      <c r="AX531" s="176"/>
      <c r="AY531" s="176"/>
      <c r="AZ531" s="176"/>
      <c r="BA531" s="176"/>
      <c r="BB531" s="176"/>
      <c r="BC531" s="176"/>
      <c r="BD531" s="176"/>
      <c r="BE531" s="176"/>
      <c r="BF531" s="176"/>
      <c r="BG531" s="176"/>
      <c r="BH531" s="176"/>
      <c r="BI531" s="176"/>
      <c r="BJ531" s="176"/>
    </row>
    <row r="532" spans="2:62" x14ac:dyDescent="0.3">
      <c r="B532" s="3"/>
      <c r="C532" s="2"/>
      <c r="D532" s="2"/>
      <c r="E532" s="3"/>
      <c r="O532" s="176"/>
      <c r="P532" s="176"/>
      <c r="Q532" s="176"/>
      <c r="R532" s="176"/>
      <c r="S532" s="176"/>
      <c r="T532" s="176"/>
      <c r="U532" s="176"/>
      <c r="V532" s="176"/>
      <c r="W532" s="176"/>
      <c r="X532" s="176"/>
      <c r="Y532" s="176"/>
      <c r="Z532" s="176"/>
      <c r="AA532" s="176"/>
      <c r="AB532" s="176"/>
      <c r="AC532" s="176"/>
      <c r="AD532" s="176"/>
      <c r="AE532" s="176"/>
      <c r="AF532" s="176"/>
      <c r="AG532" s="176"/>
      <c r="AH532" s="176"/>
      <c r="AI532" s="176"/>
      <c r="AJ532" s="176"/>
      <c r="AK532" s="176"/>
      <c r="AL532" s="176"/>
      <c r="AM532" s="176"/>
      <c r="AN532" s="176"/>
      <c r="AO532" s="176"/>
      <c r="AP532" s="176"/>
      <c r="AQ532" s="176"/>
      <c r="AR532" s="176"/>
      <c r="AS532" s="176"/>
      <c r="AT532" s="176"/>
      <c r="AU532" s="176"/>
      <c r="AV532" s="176"/>
      <c r="AW532" s="176"/>
      <c r="AX532" s="176"/>
      <c r="AY532" s="176"/>
      <c r="AZ532" s="176"/>
      <c r="BA532" s="176"/>
      <c r="BB532" s="176"/>
      <c r="BC532" s="176"/>
      <c r="BD532" s="176"/>
      <c r="BE532" s="176"/>
      <c r="BF532" s="176"/>
      <c r="BG532" s="176"/>
      <c r="BH532" s="176"/>
      <c r="BI532" s="176"/>
      <c r="BJ532" s="176"/>
    </row>
    <row r="533" spans="2:62" x14ac:dyDescent="0.3">
      <c r="B533" s="3"/>
      <c r="C533" s="2"/>
      <c r="D533" s="2"/>
      <c r="E533" s="3"/>
      <c r="O533" s="176"/>
      <c r="P533" s="176"/>
      <c r="Q533" s="176"/>
      <c r="R533" s="176"/>
      <c r="S533" s="176"/>
      <c r="T533" s="176"/>
      <c r="U533" s="176"/>
      <c r="V533" s="176"/>
      <c r="W533" s="176"/>
      <c r="X533" s="176"/>
      <c r="Y533" s="176"/>
      <c r="Z533" s="176"/>
      <c r="AA533" s="176"/>
      <c r="AB533" s="176"/>
      <c r="AC533" s="176"/>
      <c r="AD533" s="176"/>
      <c r="AE533" s="176"/>
      <c r="AF533" s="176"/>
      <c r="AG533" s="176"/>
      <c r="AH533" s="176"/>
      <c r="AI533" s="176"/>
      <c r="AJ533" s="176"/>
      <c r="AK533" s="176"/>
      <c r="AL533" s="176"/>
      <c r="AM533" s="176"/>
      <c r="AN533" s="176"/>
      <c r="AO533" s="176"/>
      <c r="AP533" s="176"/>
      <c r="AQ533" s="176"/>
      <c r="AR533" s="176"/>
      <c r="AS533" s="176"/>
      <c r="AT533" s="176"/>
      <c r="AU533" s="176"/>
      <c r="AV533" s="176"/>
      <c r="AW533" s="176"/>
      <c r="AX533" s="176"/>
      <c r="AY533" s="176"/>
      <c r="AZ533" s="176"/>
      <c r="BA533" s="176"/>
      <c r="BB533" s="176"/>
      <c r="BC533" s="176"/>
      <c r="BD533" s="176"/>
      <c r="BE533" s="176"/>
      <c r="BF533" s="176"/>
      <c r="BG533" s="176"/>
      <c r="BH533" s="176"/>
      <c r="BI533" s="176"/>
      <c r="BJ533" s="176"/>
    </row>
    <row r="534" spans="2:62" x14ac:dyDescent="0.3">
      <c r="B534" s="3"/>
      <c r="C534" s="2"/>
      <c r="D534" s="2"/>
      <c r="E534" s="3"/>
      <c r="O534" s="176"/>
      <c r="P534" s="176"/>
      <c r="Q534" s="176"/>
      <c r="R534" s="176"/>
      <c r="S534" s="176"/>
      <c r="T534" s="176"/>
      <c r="U534" s="176"/>
      <c r="V534" s="176"/>
      <c r="W534" s="176"/>
      <c r="X534" s="176"/>
      <c r="Y534" s="176"/>
      <c r="Z534" s="176"/>
      <c r="AA534" s="176"/>
      <c r="AB534" s="176"/>
      <c r="AC534" s="176"/>
      <c r="AD534" s="176"/>
      <c r="AE534" s="176"/>
      <c r="AF534" s="176"/>
      <c r="AG534" s="176"/>
      <c r="AH534" s="176"/>
      <c r="AI534" s="176"/>
      <c r="AJ534" s="176"/>
      <c r="AK534" s="176"/>
      <c r="AL534" s="176"/>
      <c r="AM534" s="176"/>
      <c r="AN534" s="176"/>
      <c r="AO534" s="176"/>
      <c r="AP534" s="176"/>
      <c r="AQ534" s="176"/>
      <c r="AR534" s="176"/>
      <c r="AS534" s="176"/>
      <c r="AT534" s="176"/>
      <c r="AU534" s="176"/>
      <c r="AV534" s="176"/>
      <c r="AW534" s="176"/>
      <c r="AX534" s="176"/>
      <c r="AY534" s="176"/>
      <c r="AZ534" s="176"/>
      <c r="BA534" s="176"/>
      <c r="BB534" s="176"/>
      <c r="BC534" s="176"/>
      <c r="BD534" s="176"/>
      <c r="BE534" s="176"/>
      <c r="BF534" s="176"/>
      <c r="BG534" s="176"/>
      <c r="BH534" s="176"/>
      <c r="BI534" s="176"/>
      <c r="BJ534" s="176"/>
    </row>
    <row r="535" spans="2:62" x14ac:dyDescent="0.3">
      <c r="B535" s="3"/>
      <c r="C535" s="2"/>
      <c r="D535" s="2"/>
      <c r="E535" s="3"/>
      <c r="O535" s="176"/>
      <c r="P535" s="176"/>
      <c r="Q535" s="176"/>
      <c r="R535" s="176"/>
      <c r="S535" s="176"/>
      <c r="T535" s="176"/>
      <c r="U535" s="176"/>
      <c r="V535" s="176"/>
      <c r="W535" s="176"/>
      <c r="X535" s="176"/>
      <c r="Y535" s="176"/>
      <c r="Z535" s="176"/>
      <c r="AA535" s="176"/>
      <c r="AB535" s="176"/>
      <c r="AC535" s="176"/>
      <c r="AD535" s="176"/>
      <c r="AE535" s="176"/>
      <c r="AF535" s="176"/>
      <c r="AG535" s="176"/>
      <c r="AH535" s="176"/>
      <c r="AI535" s="176"/>
      <c r="AJ535" s="176"/>
      <c r="AK535" s="176"/>
      <c r="AL535" s="176"/>
      <c r="AM535" s="176"/>
      <c r="AN535" s="176"/>
      <c r="AO535" s="176"/>
      <c r="AP535" s="176"/>
      <c r="AQ535" s="176"/>
      <c r="AR535" s="176"/>
      <c r="AS535" s="176"/>
      <c r="AT535" s="176"/>
      <c r="AU535" s="176"/>
      <c r="AV535" s="176"/>
      <c r="AW535" s="176"/>
      <c r="AX535" s="176"/>
      <c r="AY535" s="176"/>
      <c r="AZ535" s="176"/>
      <c r="BA535" s="176"/>
      <c r="BB535" s="176"/>
      <c r="BC535" s="176"/>
      <c r="BD535" s="176"/>
      <c r="BE535" s="176"/>
      <c r="BF535" s="176"/>
      <c r="BG535" s="176"/>
      <c r="BH535" s="176"/>
      <c r="BI535" s="176"/>
      <c r="BJ535" s="176"/>
    </row>
    <row r="536" spans="2:62" x14ac:dyDescent="0.3">
      <c r="B536" s="3"/>
      <c r="C536" s="2"/>
      <c r="D536" s="2"/>
      <c r="E536" s="3"/>
      <c r="O536" s="176"/>
      <c r="P536" s="176"/>
      <c r="Q536" s="176"/>
      <c r="R536" s="176"/>
      <c r="S536" s="176"/>
      <c r="T536" s="176"/>
      <c r="U536" s="176"/>
      <c r="V536" s="176"/>
      <c r="W536" s="176"/>
      <c r="X536" s="176"/>
      <c r="Y536" s="176"/>
      <c r="Z536" s="176"/>
      <c r="AA536" s="176"/>
      <c r="AB536" s="176"/>
      <c r="AC536" s="176"/>
      <c r="AD536" s="176"/>
      <c r="AE536" s="176"/>
      <c r="AF536" s="176"/>
      <c r="AG536" s="176"/>
      <c r="AH536" s="176"/>
      <c r="AI536" s="176"/>
      <c r="AJ536" s="176"/>
      <c r="AK536" s="176"/>
      <c r="AL536" s="176"/>
      <c r="AM536" s="176"/>
      <c r="AN536" s="176"/>
      <c r="AO536" s="176"/>
      <c r="AP536" s="176"/>
      <c r="AQ536" s="176"/>
      <c r="AR536" s="176"/>
      <c r="AS536" s="176"/>
      <c r="AT536" s="176"/>
      <c r="AU536" s="176"/>
      <c r="AV536" s="176"/>
      <c r="AW536" s="176"/>
      <c r="AX536" s="176"/>
      <c r="AY536" s="176"/>
      <c r="AZ536" s="176"/>
      <c r="BA536" s="176"/>
      <c r="BB536" s="176"/>
      <c r="BC536" s="176"/>
      <c r="BD536" s="176"/>
      <c r="BE536" s="176"/>
      <c r="BF536" s="176"/>
      <c r="BG536" s="176"/>
      <c r="BH536" s="176"/>
      <c r="BI536" s="176"/>
      <c r="BJ536" s="176"/>
    </row>
    <row r="537" spans="2:62" x14ac:dyDescent="0.3">
      <c r="B537" s="3"/>
      <c r="C537" s="2"/>
      <c r="D537" s="2"/>
      <c r="E537" s="3"/>
      <c r="O537" s="176"/>
      <c r="P537" s="176"/>
      <c r="Q537" s="176"/>
      <c r="R537" s="176"/>
      <c r="S537" s="176"/>
      <c r="T537" s="176"/>
      <c r="U537" s="176"/>
      <c r="V537" s="176"/>
      <c r="W537" s="176"/>
      <c r="X537" s="176"/>
      <c r="Y537" s="176"/>
      <c r="Z537" s="176"/>
      <c r="AA537" s="176"/>
      <c r="AB537" s="176"/>
      <c r="AC537" s="176"/>
      <c r="AD537" s="176"/>
      <c r="AE537" s="176"/>
      <c r="AF537" s="176"/>
      <c r="AG537" s="176"/>
      <c r="AH537" s="176"/>
      <c r="AI537" s="176"/>
      <c r="AJ537" s="176"/>
      <c r="AK537" s="176"/>
      <c r="AL537" s="176"/>
      <c r="AM537" s="176"/>
      <c r="AN537" s="176"/>
      <c r="AO537" s="176"/>
      <c r="AP537" s="176"/>
      <c r="AQ537" s="176"/>
      <c r="AR537" s="176"/>
      <c r="AS537" s="176"/>
      <c r="AT537" s="176"/>
      <c r="AU537" s="176"/>
      <c r="AV537" s="176"/>
      <c r="AW537" s="176"/>
      <c r="AX537" s="176"/>
      <c r="AY537" s="176"/>
      <c r="AZ537" s="176"/>
      <c r="BA537" s="176"/>
      <c r="BB537" s="176"/>
      <c r="BC537" s="176"/>
      <c r="BD537" s="176"/>
      <c r="BE537" s="176"/>
      <c r="BF537" s="176"/>
      <c r="BG537" s="176"/>
      <c r="BH537" s="176"/>
      <c r="BI537" s="176"/>
      <c r="BJ537" s="176"/>
    </row>
    <row r="538" spans="2:62" x14ac:dyDescent="0.3">
      <c r="B538" s="3"/>
      <c r="C538" s="2"/>
      <c r="D538" s="2"/>
      <c r="E538" s="3"/>
      <c r="O538" s="176"/>
      <c r="P538" s="176"/>
      <c r="Q538" s="176"/>
      <c r="R538" s="176"/>
      <c r="S538" s="176"/>
      <c r="T538" s="176"/>
      <c r="U538" s="176"/>
      <c r="V538" s="176"/>
      <c r="W538" s="176"/>
      <c r="X538" s="176"/>
      <c r="Y538" s="176"/>
      <c r="Z538" s="176"/>
      <c r="AA538" s="176"/>
      <c r="AB538" s="176"/>
      <c r="AC538" s="176"/>
      <c r="AD538" s="176"/>
      <c r="AE538" s="176"/>
      <c r="AF538" s="176"/>
      <c r="AG538" s="176"/>
      <c r="AH538" s="176"/>
      <c r="AI538" s="176"/>
      <c r="AJ538" s="176"/>
      <c r="AK538" s="176"/>
      <c r="AL538" s="176"/>
      <c r="AM538" s="176"/>
      <c r="AN538" s="176"/>
      <c r="AO538" s="176"/>
      <c r="AP538" s="176"/>
      <c r="AQ538" s="176"/>
      <c r="AR538" s="176"/>
      <c r="AS538" s="176"/>
      <c r="AT538" s="176"/>
      <c r="AU538" s="176"/>
      <c r="AV538" s="176"/>
      <c r="AW538" s="176"/>
      <c r="AX538" s="176"/>
      <c r="AY538" s="176"/>
      <c r="AZ538" s="176"/>
      <c r="BA538" s="176"/>
      <c r="BB538" s="176"/>
      <c r="BC538" s="176"/>
      <c r="BD538" s="176"/>
      <c r="BE538" s="176"/>
      <c r="BF538" s="176"/>
      <c r="BG538" s="176"/>
      <c r="BH538" s="176"/>
      <c r="BI538" s="176"/>
      <c r="BJ538" s="176"/>
    </row>
    <row r="539" spans="2:62" x14ac:dyDescent="0.3">
      <c r="B539" s="3"/>
      <c r="C539" s="2"/>
      <c r="D539" s="2"/>
      <c r="E539" s="3"/>
      <c r="O539" s="176"/>
      <c r="P539" s="176"/>
      <c r="Q539" s="176"/>
      <c r="R539" s="176"/>
      <c r="S539" s="176"/>
      <c r="T539" s="176"/>
      <c r="U539" s="176"/>
      <c r="V539" s="176"/>
      <c r="W539" s="176"/>
      <c r="X539" s="176"/>
      <c r="Y539" s="176"/>
      <c r="Z539" s="176"/>
      <c r="AA539" s="176"/>
      <c r="AB539" s="176"/>
      <c r="AC539" s="176"/>
      <c r="AD539" s="176"/>
      <c r="AE539" s="176"/>
      <c r="AF539" s="176"/>
      <c r="AG539" s="176"/>
      <c r="AH539" s="176"/>
      <c r="AI539" s="176"/>
      <c r="AJ539" s="176"/>
      <c r="AK539" s="176"/>
      <c r="AL539" s="176"/>
      <c r="AM539" s="176"/>
      <c r="AN539" s="176"/>
      <c r="AO539" s="176"/>
      <c r="AP539" s="176"/>
      <c r="AQ539" s="176"/>
      <c r="AR539" s="176"/>
      <c r="AS539" s="176"/>
      <c r="AT539" s="176"/>
      <c r="AU539" s="176"/>
      <c r="AV539" s="176"/>
      <c r="AW539" s="176"/>
      <c r="AX539" s="176"/>
      <c r="AY539" s="176"/>
      <c r="AZ539" s="176"/>
      <c r="BA539" s="176"/>
      <c r="BB539" s="176"/>
      <c r="BC539" s="176"/>
      <c r="BD539" s="176"/>
      <c r="BE539" s="176"/>
      <c r="BF539" s="176"/>
      <c r="BG539" s="176"/>
      <c r="BH539" s="176"/>
      <c r="BI539" s="176"/>
      <c r="BJ539" s="176"/>
    </row>
    <row r="540" spans="2:62" x14ac:dyDescent="0.3">
      <c r="B540" s="3"/>
      <c r="C540" s="2"/>
      <c r="D540" s="2"/>
      <c r="E540" s="3"/>
      <c r="O540" s="176"/>
      <c r="P540" s="176"/>
      <c r="Q540" s="176"/>
      <c r="R540" s="176"/>
      <c r="S540" s="176"/>
      <c r="T540" s="176"/>
      <c r="U540" s="176"/>
      <c r="V540" s="176"/>
      <c r="W540" s="176"/>
      <c r="X540" s="176"/>
      <c r="Y540" s="176"/>
      <c r="Z540" s="176"/>
      <c r="AA540" s="176"/>
      <c r="AB540" s="176"/>
      <c r="AC540" s="176"/>
      <c r="AD540" s="176"/>
      <c r="AE540" s="176"/>
      <c r="AF540" s="176"/>
      <c r="AG540" s="176"/>
      <c r="AH540" s="176"/>
      <c r="AI540" s="176"/>
      <c r="AJ540" s="176"/>
      <c r="AK540" s="176"/>
      <c r="AL540" s="176"/>
      <c r="AM540" s="176"/>
      <c r="AN540" s="176"/>
      <c r="AO540" s="176"/>
      <c r="AP540" s="176"/>
      <c r="AQ540" s="176"/>
      <c r="AR540" s="176"/>
      <c r="AS540" s="176"/>
      <c r="AT540" s="176"/>
      <c r="AU540" s="176"/>
      <c r="AV540" s="176"/>
      <c r="AW540" s="176"/>
      <c r="AX540" s="176"/>
      <c r="AY540" s="176"/>
      <c r="AZ540" s="176"/>
      <c r="BA540" s="176"/>
      <c r="BB540" s="176"/>
      <c r="BC540" s="176"/>
      <c r="BD540" s="176"/>
      <c r="BE540" s="176"/>
      <c r="BF540" s="176"/>
      <c r="BG540" s="176"/>
      <c r="BH540" s="176"/>
      <c r="BI540" s="176"/>
      <c r="BJ540" s="176"/>
    </row>
    <row r="541" spans="2:62" x14ac:dyDescent="0.3">
      <c r="B541" s="3"/>
      <c r="C541" s="2"/>
      <c r="D541" s="2"/>
      <c r="E541" s="3"/>
      <c r="O541" s="176"/>
      <c r="P541" s="176"/>
      <c r="Q541" s="176"/>
      <c r="R541" s="176"/>
      <c r="S541" s="176"/>
      <c r="T541" s="176"/>
      <c r="U541" s="176"/>
      <c r="V541" s="176"/>
      <c r="W541" s="176"/>
      <c r="X541" s="176"/>
      <c r="Y541" s="176"/>
      <c r="Z541" s="176"/>
      <c r="AA541" s="176"/>
      <c r="AB541" s="176"/>
      <c r="AC541" s="176"/>
      <c r="AD541" s="176"/>
      <c r="AE541" s="176"/>
      <c r="AF541" s="176"/>
      <c r="AG541" s="176"/>
      <c r="AH541" s="176"/>
      <c r="AI541" s="176"/>
      <c r="AJ541" s="176"/>
      <c r="AK541" s="176"/>
      <c r="AL541" s="176"/>
      <c r="AM541" s="176"/>
      <c r="AN541" s="176"/>
      <c r="AO541" s="176"/>
      <c r="AP541" s="176"/>
      <c r="AQ541" s="176"/>
      <c r="AR541" s="176"/>
      <c r="AS541" s="176"/>
      <c r="AT541" s="176"/>
      <c r="AU541" s="176"/>
      <c r="AV541" s="176"/>
      <c r="AW541" s="176"/>
      <c r="AX541" s="176"/>
      <c r="AY541" s="176"/>
      <c r="AZ541" s="176"/>
      <c r="BA541" s="176"/>
      <c r="BB541" s="176"/>
      <c r="BC541" s="176"/>
      <c r="BD541" s="176"/>
      <c r="BE541" s="176"/>
      <c r="BF541" s="176"/>
      <c r="BG541" s="176"/>
      <c r="BH541" s="176"/>
      <c r="BI541" s="176"/>
      <c r="BJ541" s="176"/>
    </row>
    <row r="542" spans="2:62" x14ac:dyDescent="0.3">
      <c r="B542" s="3"/>
      <c r="C542" s="2"/>
      <c r="D542" s="2"/>
      <c r="E542" s="3"/>
      <c r="O542" s="176"/>
      <c r="P542" s="176"/>
      <c r="Q542" s="176"/>
      <c r="R542" s="176"/>
      <c r="S542" s="176"/>
      <c r="T542" s="176"/>
      <c r="U542" s="176"/>
      <c r="V542" s="176"/>
      <c r="W542" s="176"/>
      <c r="X542" s="176"/>
      <c r="Y542" s="176"/>
      <c r="Z542" s="176"/>
      <c r="AA542" s="176"/>
      <c r="AB542" s="176"/>
      <c r="AC542" s="176"/>
      <c r="AD542" s="176"/>
      <c r="AE542" s="176"/>
      <c r="AF542" s="176"/>
      <c r="AG542" s="176"/>
      <c r="AH542" s="176"/>
      <c r="AI542" s="176"/>
      <c r="AJ542" s="176"/>
      <c r="AK542" s="176"/>
      <c r="AL542" s="176"/>
      <c r="AM542" s="176"/>
      <c r="AN542" s="176"/>
      <c r="AO542" s="176"/>
      <c r="AP542" s="176"/>
      <c r="AQ542" s="176"/>
      <c r="AR542" s="176"/>
      <c r="AS542" s="176"/>
      <c r="AT542" s="176"/>
      <c r="AU542" s="176"/>
      <c r="AV542" s="176"/>
      <c r="AW542" s="176"/>
      <c r="AX542" s="176"/>
      <c r="AY542" s="176"/>
      <c r="AZ542" s="176"/>
      <c r="BA542" s="176"/>
      <c r="BB542" s="176"/>
      <c r="BC542" s="176"/>
      <c r="BD542" s="176"/>
      <c r="BE542" s="176"/>
      <c r="BF542" s="176"/>
      <c r="BG542" s="176"/>
      <c r="BH542" s="176"/>
      <c r="BI542" s="176"/>
      <c r="BJ542" s="176"/>
    </row>
    <row r="543" spans="2:62" x14ac:dyDescent="0.3">
      <c r="B543" s="3"/>
      <c r="C543" s="2"/>
      <c r="D543" s="2"/>
      <c r="E543" s="3"/>
      <c r="O543" s="176"/>
      <c r="P543" s="176"/>
      <c r="Q543" s="176"/>
      <c r="R543" s="176"/>
      <c r="S543" s="176"/>
      <c r="T543" s="176"/>
      <c r="U543" s="176"/>
      <c r="V543" s="176"/>
      <c r="W543" s="176"/>
      <c r="X543" s="176"/>
      <c r="Y543" s="176"/>
      <c r="Z543" s="176"/>
      <c r="AA543" s="176"/>
      <c r="AB543" s="176"/>
      <c r="AC543" s="176"/>
      <c r="AD543" s="176"/>
      <c r="AE543" s="176"/>
      <c r="AF543" s="176"/>
      <c r="AG543" s="176"/>
      <c r="AH543" s="176"/>
      <c r="AI543" s="176"/>
      <c r="AJ543" s="176"/>
      <c r="AK543" s="176"/>
      <c r="AL543" s="176"/>
      <c r="AM543" s="176"/>
      <c r="AN543" s="176"/>
      <c r="AO543" s="176"/>
      <c r="AP543" s="176"/>
      <c r="AQ543" s="176"/>
      <c r="AR543" s="176"/>
      <c r="AS543" s="176"/>
      <c r="AT543" s="176"/>
      <c r="AU543" s="176"/>
      <c r="AV543" s="176"/>
      <c r="AW543" s="176"/>
      <c r="AX543" s="176"/>
      <c r="AY543" s="176"/>
      <c r="AZ543" s="176"/>
      <c r="BA543" s="176"/>
      <c r="BB543" s="176"/>
      <c r="BC543" s="176"/>
      <c r="BD543" s="176"/>
      <c r="BE543" s="176"/>
      <c r="BF543" s="176"/>
      <c r="BG543" s="176"/>
      <c r="BH543" s="176"/>
      <c r="BI543" s="176"/>
      <c r="BJ543" s="176"/>
    </row>
    <row r="544" spans="2:62" x14ac:dyDescent="0.3">
      <c r="B544" s="3"/>
      <c r="C544" s="2"/>
      <c r="D544" s="2"/>
      <c r="E544" s="3"/>
      <c r="O544" s="176"/>
      <c r="P544" s="176"/>
      <c r="Q544" s="176"/>
      <c r="R544" s="176"/>
      <c r="S544" s="176"/>
      <c r="T544" s="176"/>
      <c r="U544" s="176"/>
      <c r="V544" s="176"/>
      <c r="W544" s="176"/>
      <c r="X544" s="176"/>
      <c r="Y544" s="176"/>
      <c r="Z544" s="176"/>
      <c r="AA544" s="176"/>
      <c r="AB544" s="176"/>
      <c r="AC544" s="176"/>
      <c r="AD544" s="176"/>
      <c r="AE544" s="176"/>
      <c r="AF544" s="176"/>
      <c r="AG544" s="176"/>
      <c r="AH544" s="176"/>
      <c r="AI544" s="176"/>
      <c r="AJ544" s="176"/>
      <c r="AK544" s="176"/>
      <c r="AL544" s="176"/>
      <c r="AM544" s="176"/>
      <c r="AN544" s="176"/>
      <c r="AO544" s="176"/>
      <c r="AP544" s="176"/>
      <c r="AQ544" s="176"/>
      <c r="AR544" s="176"/>
      <c r="AS544" s="176"/>
      <c r="AT544" s="176"/>
      <c r="AU544" s="176"/>
      <c r="AV544" s="176"/>
      <c r="AW544" s="176"/>
      <c r="AX544" s="176"/>
      <c r="AY544" s="176"/>
      <c r="AZ544" s="176"/>
      <c r="BA544" s="176"/>
      <c r="BB544" s="176"/>
      <c r="BC544" s="176"/>
      <c r="BD544" s="176"/>
      <c r="BE544" s="176"/>
      <c r="BF544" s="176"/>
      <c r="BG544" s="176"/>
      <c r="BH544" s="176"/>
      <c r="BI544" s="176"/>
      <c r="BJ544" s="176"/>
    </row>
    <row r="545" spans="2:62" x14ac:dyDescent="0.3">
      <c r="B545" s="3"/>
      <c r="C545" s="2"/>
      <c r="D545" s="2"/>
      <c r="E545" s="3"/>
      <c r="O545" s="176"/>
      <c r="P545" s="176"/>
      <c r="Q545" s="176"/>
      <c r="R545" s="176"/>
      <c r="S545" s="176"/>
      <c r="T545" s="176"/>
      <c r="U545" s="176"/>
      <c r="V545" s="176"/>
      <c r="W545" s="176"/>
      <c r="X545" s="176"/>
      <c r="Y545" s="176"/>
      <c r="Z545" s="176"/>
      <c r="AA545" s="176"/>
      <c r="AB545" s="176"/>
      <c r="AC545" s="176"/>
      <c r="AD545" s="176"/>
      <c r="AE545" s="176"/>
      <c r="AF545" s="176"/>
      <c r="AG545" s="176"/>
      <c r="AH545" s="176"/>
      <c r="AI545" s="176"/>
      <c r="AJ545" s="176"/>
      <c r="AK545" s="176"/>
      <c r="AL545" s="176"/>
      <c r="AM545" s="176"/>
      <c r="AN545" s="176"/>
      <c r="AO545" s="176"/>
      <c r="AP545" s="176"/>
      <c r="AQ545" s="176"/>
      <c r="AR545" s="176"/>
      <c r="AS545" s="176"/>
      <c r="AT545" s="176"/>
      <c r="AU545" s="176"/>
      <c r="AV545" s="176"/>
      <c r="AW545" s="176"/>
      <c r="AX545" s="176"/>
      <c r="AY545" s="176"/>
      <c r="AZ545" s="176"/>
      <c r="BA545" s="176"/>
      <c r="BB545" s="176"/>
      <c r="BC545" s="176"/>
      <c r="BD545" s="176"/>
      <c r="BE545" s="176"/>
      <c r="BF545" s="176"/>
      <c r="BG545" s="176"/>
      <c r="BH545" s="176"/>
      <c r="BI545" s="176"/>
      <c r="BJ545" s="176"/>
    </row>
    <row r="546" spans="2:62" x14ac:dyDescent="0.3">
      <c r="B546" s="3"/>
      <c r="C546" s="2"/>
      <c r="D546" s="2"/>
      <c r="E546" s="3"/>
      <c r="O546" s="176"/>
      <c r="P546" s="176"/>
      <c r="Q546" s="176"/>
      <c r="R546" s="176"/>
      <c r="S546" s="176"/>
      <c r="T546" s="176"/>
      <c r="U546" s="176"/>
      <c r="V546" s="176"/>
      <c r="W546" s="176"/>
      <c r="X546" s="176"/>
      <c r="Y546" s="176"/>
      <c r="Z546" s="176"/>
      <c r="AA546" s="176"/>
      <c r="AB546" s="176"/>
      <c r="AC546" s="176"/>
      <c r="AD546" s="176"/>
      <c r="AE546" s="176"/>
      <c r="AF546" s="176"/>
      <c r="AG546" s="176"/>
      <c r="AH546" s="176"/>
      <c r="AI546" s="176"/>
      <c r="AJ546" s="176"/>
      <c r="AK546" s="176"/>
      <c r="AL546" s="176"/>
      <c r="AM546" s="176"/>
      <c r="AN546" s="176"/>
      <c r="AO546" s="176"/>
      <c r="AP546" s="176"/>
      <c r="AQ546" s="176"/>
      <c r="AR546" s="176"/>
      <c r="AS546" s="176"/>
      <c r="AT546" s="176"/>
      <c r="AU546" s="176"/>
      <c r="AV546" s="176"/>
      <c r="AW546" s="176"/>
      <c r="AX546" s="176"/>
      <c r="AY546" s="176"/>
      <c r="AZ546" s="176"/>
      <c r="BA546" s="176"/>
      <c r="BB546" s="176"/>
      <c r="BC546" s="176"/>
      <c r="BD546" s="176"/>
      <c r="BE546" s="176"/>
      <c r="BF546" s="176"/>
      <c r="BG546" s="176"/>
      <c r="BH546" s="176"/>
      <c r="BI546" s="176"/>
      <c r="BJ546" s="176"/>
    </row>
    <row r="547" spans="2:62" x14ac:dyDescent="0.3">
      <c r="B547" s="3"/>
      <c r="C547" s="2"/>
      <c r="D547" s="2"/>
      <c r="E547" s="3"/>
      <c r="O547" s="176"/>
      <c r="P547" s="176"/>
      <c r="Q547" s="176"/>
      <c r="R547" s="176"/>
      <c r="S547" s="176"/>
      <c r="T547" s="176"/>
      <c r="U547" s="176"/>
      <c r="V547" s="176"/>
      <c r="W547" s="176"/>
      <c r="X547" s="176"/>
      <c r="Y547" s="176"/>
      <c r="Z547" s="176"/>
      <c r="AA547" s="176"/>
      <c r="AB547" s="176"/>
      <c r="AC547" s="176"/>
      <c r="AD547" s="176"/>
      <c r="AE547" s="176"/>
      <c r="AF547" s="176"/>
      <c r="AG547" s="176"/>
      <c r="AH547" s="176"/>
      <c r="AI547" s="176"/>
      <c r="AJ547" s="176"/>
      <c r="AK547" s="176"/>
      <c r="AL547" s="176"/>
      <c r="AM547" s="176"/>
      <c r="AN547" s="176"/>
      <c r="AO547" s="176"/>
      <c r="AP547" s="176"/>
      <c r="AQ547" s="176"/>
      <c r="AR547" s="176"/>
      <c r="AS547" s="176"/>
      <c r="AT547" s="176"/>
      <c r="AU547" s="176"/>
      <c r="AV547" s="176"/>
      <c r="AW547" s="176"/>
      <c r="AX547" s="176"/>
      <c r="AY547" s="176"/>
      <c r="AZ547" s="176"/>
      <c r="BA547" s="176"/>
      <c r="BB547" s="176"/>
      <c r="BC547" s="176"/>
      <c r="BD547" s="176"/>
      <c r="BE547" s="176"/>
      <c r="BF547" s="176"/>
      <c r="BG547" s="176"/>
      <c r="BH547" s="176"/>
      <c r="BI547" s="176"/>
      <c r="BJ547" s="176"/>
    </row>
    <row r="548" spans="2:62" x14ac:dyDescent="0.3">
      <c r="B548" s="3"/>
      <c r="C548" s="2"/>
      <c r="D548" s="2"/>
      <c r="E548" s="3"/>
      <c r="O548" s="176"/>
      <c r="P548" s="176"/>
      <c r="Q548" s="176"/>
      <c r="R548" s="176"/>
      <c r="S548" s="176"/>
      <c r="T548" s="176"/>
      <c r="U548" s="176"/>
      <c r="V548" s="176"/>
      <c r="W548" s="176"/>
      <c r="X548" s="176"/>
      <c r="Y548" s="176"/>
      <c r="Z548" s="176"/>
      <c r="AA548" s="176"/>
      <c r="AB548" s="176"/>
      <c r="AC548" s="176"/>
      <c r="AD548" s="176"/>
      <c r="AE548" s="176"/>
      <c r="AF548" s="176"/>
      <c r="AG548" s="176"/>
      <c r="AH548" s="176"/>
      <c r="AI548" s="176"/>
      <c r="AJ548" s="176"/>
      <c r="AK548" s="176"/>
      <c r="AL548" s="176"/>
      <c r="AM548" s="176"/>
      <c r="AN548" s="176"/>
      <c r="AO548" s="176"/>
      <c r="AP548" s="176"/>
      <c r="AQ548" s="176"/>
      <c r="AR548" s="176"/>
      <c r="AS548" s="176"/>
      <c r="AT548" s="176"/>
      <c r="AU548" s="176"/>
      <c r="AV548" s="176"/>
      <c r="AW548" s="176"/>
      <c r="AX548" s="176"/>
      <c r="AY548" s="176"/>
      <c r="AZ548" s="176"/>
      <c r="BA548" s="176"/>
      <c r="BB548" s="176"/>
      <c r="BC548" s="176"/>
      <c r="BD548" s="176"/>
      <c r="BE548" s="176"/>
      <c r="BF548" s="176"/>
      <c r="BG548" s="176"/>
      <c r="BH548" s="176"/>
      <c r="BI548" s="176"/>
      <c r="BJ548" s="176"/>
    </row>
    <row r="549" spans="2:62" x14ac:dyDescent="0.3">
      <c r="B549" s="3"/>
      <c r="C549" s="2"/>
      <c r="D549" s="2"/>
      <c r="E549" s="3"/>
      <c r="O549" s="176"/>
      <c r="P549" s="176"/>
      <c r="Q549" s="176"/>
      <c r="R549" s="176"/>
      <c r="S549" s="176"/>
      <c r="T549" s="176"/>
      <c r="U549" s="176"/>
      <c r="V549" s="176"/>
      <c r="W549" s="176"/>
      <c r="X549" s="176"/>
      <c r="Y549" s="176"/>
      <c r="Z549" s="176"/>
      <c r="AA549" s="176"/>
      <c r="AB549" s="176"/>
      <c r="AC549" s="176"/>
      <c r="AD549" s="176"/>
      <c r="AE549" s="176"/>
      <c r="AF549" s="176"/>
      <c r="AG549" s="176"/>
      <c r="AH549" s="176"/>
      <c r="AI549" s="176"/>
      <c r="AJ549" s="176"/>
      <c r="AK549" s="176"/>
      <c r="AL549" s="176"/>
      <c r="AM549" s="176"/>
      <c r="AN549" s="176"/>
      <c r="AO549" s="176"/>
      <c r="AP549" s="176"/>
      <c r="AQ549" s="176"/>
      <c r="AR549" s="176"/>
      <c r="AS549" s="176"/>
      <c r="AT549" s="176"/>
      <c r="AU549" s="176"/>
      <c r="AV549" s="176"/>
      <c r="AW549" s="176"/>
      <c r="AX549" s="176"/>
      <c r="AY549" s="176"/>
      <c r="AZ549" s="176"/>
      <c r="BA549" s="176"/>
      <c r="BB549" s="176"/>
      <c r="BC549" s="176"/>
      <c r="BD549" s="176"/>
      <c r="BE549" s="176"/>
      <c r="BF549" s="176"/>
      <c r="BG549" s="176"/>
      <c r="BH549" s="176"/>
      <c r="BI549" s="176"/>
      <c r="BJ549" s="176"/>
    </row>
    <row r="550" spans="2:62" x14ac:dyDescent="0.3">
      <c r="B550" s="3"/>
      <c r="C550" s="2"/>
      <c r="D550" s="2"/>
      <c r="E550" s="3"/>
      <c r="O550" s="176"/>
      <c r="P550" s="176"/>
      <c r="Q550" s="176"/>
      <c r="R550" s="176"/>
      <c r="S550" s="176"/>
      <c r="T550" s="176"/>
      <c r="U550" s="176"/>
      <c r="V550" s="176"/>
      <c r="W550" s="176"/>
      <c r="X550" s="176"/>
      <c r="Y550" s="176"/>
      <c r="Z550" s="176"/>
      <c r="AA550" s="176"/>
      <c r="AB550" s="176"/>
      <c r="AC550" s="176"/>
      <c r="AD550" s="176"/>
      <c r="AE550" s="176"/>
      <c r="AF550" s="176"/>
      <c r="AG550" s="176"/>
      <c r="AH550" s="176"/>
      <c r="AI550" s="176"/>
      <c r="AJ550" s="176"/>
      <c r="AK550" s="176"/>
      <c r="AL550" s="176"/>
      <c r="AM550" s="176"/>
      <c r="AN550" s="176"/>
      <c r="AO550" s="176"/>
      <c r="AP550" s="176"/>
      <c r="AQ550" s="176"/>
      <c r="AR550" s="176"/>
      <c r="AS550" s="176"/>
      <c r="AT550" s="176"/>
      <c r="AU550" s="176"/>
      <c r="AV550" s="176"/>
      <c r="AW550" s="176"/>
      <c r="AX550" s="176"/>
      <c r="AY550" s="176"/>
      <c r="AZ550" s="176"/>
      <c r="BA550" s="176"/>
      <c r="BB550" s="176"/>
      <c r="BC550" s="176"/>
      <c r="BD550" s="176"/>
      <c r="BE550" s="176"/>
      <c r="BF550" s="176"/>
      <c r="BG550" s="176"/>
      <c r="BH550" s="176"/>
      <c r="BI550" s="176"/>
      <c r="BJ550" s="176"/>
    </row>
    <row r="551" spans="2:62" x14ac:dyDescent="0.3">
      <c r="B551" s="3"/>
      <c r="C551" s="2"/>
      <c r="D551" s="2"/>
      <c r="E551" s="3"/>
      <c r="O551" s="176"/>
      <c r="P551" s="176"/>
      <c r="Q551" s="176"/>
      <c r="R551" s="176"/>
      <c r="S551" s="176"/>
      <c r="T551" s="176"/>
      <c r="U551" s="176"/>
      <c r="V551" s="176"/>
      <c r="W551" s="176"/>
      <c r="X551" s="176"/>
      <c r="Y551" s="176"/>
      <c r="Z551" s="176"/>
      <c r="AA551" s="176"/>
      <c r="AB551" s="176"/>
      <c r="AC551" s="176"/>
      <c r="AD551" s="176"/>
      <c r="AE551" s="176"/>
      <c r="AF551" s="176"/>
      <c r="AG551" s="176"/>
      <c r="AH551" s="176"/>
      <c r="AI551" s="176"/>
      <c r="AJ551" s="176"/>
      <c r="AK551" s="176"/>
      <c r="AL551" s="176"/>
      <c r="AM551" s="176"/>
      <c r="AN551" s="176"/>
      <c r="AO551" s="176"/>
      <c r="AP551" s="176"/>
      <c r="AQ551" s="176"/>
      <c r="AR551" s="176"/>
      <c r="AS551" s="176"/>
      <c r="AT551" s="176"/>
      <c r="AU551" s="176"/>
      <c r="AV551" s="176"/>
      <c r="AW551" s="176"/>
      <c r="AX551" s="176"/>
      <c r="AY551" s="176"/>
      <c r="AZ551" s="176"/>
      <c r="BA551" s="176"/>
      <c r="BB551" s="176"/>
      <c r="BC551" s="176"/>
      <c r="BD551" s="176"/>
      <c r="BE551" s="176"/>
      <c r="BF551" s="176"/>
      <c r="BG551" s="176"/>
      <c r="BH551" s="176"/>
      <c r="BI551" s="176"/>
      <c r="BJ551" s="176"/>
    </row>
    <row r="552" spans="2:62" x14ac:dyDescent="0.3">
      <c r="B552" s="3"/>
      <c r="C552" s="2"/>
      <c r="D552" s="2"/>
      <c r="E552" s="3"/>
      <c r="O552" s="176"/>
      <c r="P552" s="176"/>
      <c r="Q552" s="176"/>
      <c r="R552" s="176"/>
      <c r="S552" s="176"/>
      <c r="T552" s="176"/>
      <c r="U552" s="176"/>
      <c r="V552" s="176"/>
      <c r="W552" s="176"/>
      <c r="X552" s="176"/>
      <c r="Y552" s="176"/>
      <c r="Z552" s="176"/>
      <c r="AA552" s="176"/>
      <c r="AB552" s="176"/>
      <c r="AC552" s="176"/>
      <c r="AD552" s="176"/>
      <c r="AE552" s="176"/>
      <c r="AF552" s="176"/>
      <c r="AG552" s="176"/>
      <c r="AH552" s="176"/>
      <c r="AI552" s="176"/>
      <c r="AJ552" s="176"/>
      <c r="AK552" s="176"/>
      <c r="AL552" s="176"/>
      <c r="AM552" s="176"/>
      <c r="AN552" s="176"/>
      <c r="AO552" s="176"/>
      <c r="AP552" s="176"/>
      <c r="AQ552" s="176"/>
      <c r="AR552" s="176"/>
      <c r="AS552" s="176"/>
      <c r="AT552" s="176"/>
      <c r="AU552" s="176"/>
      <c r="AV552" s="176"/>
      <c r="AW552" s="176"/>
      <c r="AX552" s="176"/>
      <c r="AY552" s="176"/>
      <c r="AZ552" s="176"/>
      <c r="BA552" s="176"/>
      <c r="BB552" s="176"/>
      <c r="BC552" s="176"/>
      <c r="BD552" s="176"/>
      <c r="BE552" s="176"/>
      <c r="BF552" s="176"/>
      <c r="BG552" s="176"/>
      <c r="BH552" s="176"/>
      <c r="BI552" s="176"/>
      <c r="BJ552" s="176"/>
    </row>
    <row r="553" spans="2:62" x14ac:dyDescent="0.3">
      <c r="B553" s="3"/>
      <c r="C553" s="2"/>
      <c r="D553" s="2"/>
      <c r="E553" s="3"/>
      <c r="O553" s="176"/>
      <c r="P553" s="176"/>
      <c r="Q553" s="176"/>
      <c r="R553" s="176"/>
      <c r="S553" s="176"/>
      <c r="T553" s="176"/>
      <c r="U553" s="176"/>
      <c r="V553" s="176"/>
      <c r="W553" s="176"/>
      <c r="X553" s="176"/>
      <c r="Y553" s="176"/>
      <c r="Z553" s="176"/>
      <c r="AA553" s="176"/>
      <c r="AB553" s="176"/>
      <c r="AC553" s="176"/>
      <c r="AD553" s="176"/>
      <c r="AE553" s="176"/>
      <c r="AF553" s="176"/>
      <c r="AG553" s="176"/>
      <c r="AH553" s="176"/>
      <c r="AI553" s="176"/>
      <c r="AJ553" s="176"/>
      <c r="AK553" s="176"/>
      <c r="AL553" s="176"/>
      <c r="AM553" s="176"/>
      <c r="AN553" s="176"/>
      <c r="AO553" s="176"/>
      <c r="AP553" s="176"/>
      <c r="AQ553" s="176"/>
      <c r="AR553" s="176"/>
      <c r="AS553" s="176"/>
      <c r="AT553" s="176"/>
      <c r="AU553" s="176"/>
      <c r="AV553" s="176"/>
      <c r="AW553" s="176"/>
      <c r="AX553" s="176"/>
      <c r="AY553" s="176"/>
      <c r="AZ553" s="176"/>
      <c r="BA553" s="176"/>
      <c r="BB553" s="176"/>
      <c r="BC553" s="176"/>
      <c r="BD553" s="176"/>
      <c r="BE553" s="176"/>
      <c r="BF553" s="176"/>
      <c r="BG553" s="176"/>
      <c r="BH553" s="176"/>
      <c r="BI553" s="176"/>
      <c r="BJ553" s="176"/>
    </row>
    <row r="554" spans="2:62" x14ac:dyDescent="0.3">
      <c r="B554" s="3"/>
      <c r="C554" s="2"/>
      <c r="D554" s="2"/>
      <c r="E554" s="3"/>
      <c r="O554" s="176"/>
      <c r="P554" s="176"/>
      <c r="Q554" s="176"/>
      <c r="R554" s="176"/>
      <c r="S554" s="176"/>
      <c r="T554" s="176"/>
      <c r="U554" s="176"/>
      <c r="V554" s="176"/>
      <c r="W554" s="176"/>
      <c r="X554" s="176"/>
      <c r="Y554" s="176"/>
      <c r="Z554" s="176"/>
      <c r="AA554" s="176"/>
      <c r="AB554" s="176"/>
      <c r="AC554" s="176"/>
      <c r="AD554" s="176"/>
      <c r="AE554" s="176"/>
      <c r="AF554" s="176"/>
      <c r="AG554" s="176"/>
      <c r="AH554" s="176"/>
      <c r="AI554" s="176"/>
      <c r="AJ554" s="176"/>
      <c r="AK554" s="176"/>
      <c r="AL554" s="176"/>
      <c r="AM554" s="176"/>
      <c r="AN554" s="176"/>
      <c r="AO554" s="176"/>
      <c r="AP554" s="176"/>
      <c r="AQ554" s="176"/>
      <c r="AR554" s="176"/>
      <c r="AS554" s="176"/>
      <c r="AT554" s="176"/>
      <c r="AU554" s="176"/>
      <c r="AV554" s="176"/>
      <c r="AW554" s="176"/>
      <c r="AX554" s="176"/>
      <c r="AY554" s="176"/>
      <c r="AZ554" s="176"/>
      <c r="BA554" s="176"/>
      <c r="BB554" s="176"/>
      <c r="BC554" s="176"/>
      <c r="BD554" s="176"/>
      <c r="BE554" s="176"/>
      <c r="BF554" s="176"/>
      <c r="BG554" s="176"/>
      <c r="BH554" s="176"/>
      <c r="BI554" s="176"/>
      <c r="BJ554" s="176"/>
    </row>
    <row r="555" spans="2:62" x14ac:dyDescent="0.3">
      <c r="B555" s="3"/>
      <c r="C555" s="2"/>
      <c r="D555" s="2"/>
      <c r="E555" s="3"/>
      <c r="O555" s="176"/>
      <c r="P555" s="176"/>
      <c r="Q555" s="176"/>
      <c r="R555" s="176"/>
      <c r="S555" s="176"/>
      <c r="T555" s="176"/>
      <c r="U555" s="176"/>
      <c r="V555" s="176"/>
      <c r="W555" s="176"/>
      <c r="X555" s="176"/>
      <c r="Y555" s="176"/>
      <c r="Z555" s="176"/>
      <c r="AA555" s="176"/>
      <c r="AB555" s="176"/>
      <c r="AC555" s="176"/>
      <c r="AD555" s="176"/>
      <c r="AE555" s="176"/>
      <c r="AF555" s="176"/>
      <c r="AG555" s="176"/>
      <c r="AH555" s="176"/>
      <c r="AI555" s="176"/>
      <c r="AJ555" s="176"/>
      <c r="AK555" s="176"/>
      <c r="AL555" s="176"/>
      <c r="AM555" s="176"/>
      <c r="AN555" s="176"/>
      <c r="AO555" s="176"/>
      <c r="AP555" s="176"/>
      <c r="AQ555" s="176"/>
      <c r="AR555" s="176"/>
      <c r="AS555" s="176"/>
      <c r="AT555" s="176"/>
      <c r="AU555" s="176"/>
      <c r="AV555" s="176"/>
      <c r="AW555" s="176"/>
      <c r="AX555" s="176"/>
      <c r="AY555" s="176"/>
      <c r="AZ555" s="176"/>
      <c r="BA555" s="176"/>
      <c r="BB555" s="176"/>
      <c r="BC555" s="176"/>
      <c r="BD555" s="176"/>
      <c r="BE555" s="176"/>
      <c r="BF555" s="176"/>
      <c r="BG555" s="176"/>
      <c r="BH555" s="176"/>
      <c r="BI555" s="176"/>
      <c r="BJ555" s="176"/>
    </row>
    <row r="556" spans="2:62" x14ac:dyDescent="0.3">
      <c r="B556" s="3"/>
      <c r="C556" s="2"/>
      <c r="D556" s="2"/>
      <c r="E556" s="3"/>
      <c r="O556" s="176"/>
      <c r="P556" s="176"/>
      <c r="Q556" s="176"/>
      <c r="R556" s="176"/>
      <c r="S556" s="176"/>
      <c r="T556" s="176"/>
      <c r="U556" s="176"/>
      <c r="V556" s="176"/>
      <c r="W556" s="176"/>
      <c r="X556" s="176"/>
      <c r="Y556" s="176"/>
      <c r="Z556" s="176"/>
      <c r="AA556" s="176"/>
      <c r="AB556" s="176"/>
      <c r="AC556" s="176"/>
      <c r="AD556" s="176"/>
      <c r="AE556" s="176"/>
      <c r="AF556" s="176"/>
      <c r="AG556" s="176"/>
      <c r="AH556" s="176"/>
      <c r="AI556" s="176"/>
      <c r="AJ556" s="176"/>
      <c r="AK556" s="176"/>
      <c r="AL556" s="176"/>
      <c r="AM556" s="176"/>
      <c r="AN556" s="176"/>
      <c r="AO556" s="176"/>
      <c r="AP556" s="176"/>
      <c r="AQ556" s="176"/>
      <c r="AR556" s="176"/>
      <c r="AS556" s="176"/>
      <c r="AT556" s="176"/>
      <c r="AU556" s="176"/>
      <c r="AV556" s="176"/>
      <c r="AW556" s="176"/>
      <c r="AX556" s="176"/>
      <c r="AY556" s="176"/>
      <c r="AZ556" s="176"/>
      <c r="BA556" s="176"/>
      <c r="BB556" s="176"/>
      <c r="BC556" s="176"/>
      <c r="BD556" s="176"/>
      <c r="BE556" s="176"/>
      <c r="BF556" s="176"/>
      <c r="BG556" s="176"/>
      <c r="BH556" s="176"/>
      <c r="BI556" s="176"/>
      <c r="BJ556" s="176"/>
    </row>
    <row r="557" spans="2:62" x14ac:dyDescent="0.3">
      <c r="B557" s="3"/>
      <c r="C557" s="2"/>
      <c r="D557" s="2"/>
      <c r="E557" s="3"/>
      <c r="O557" s="176"/>
      <c r="P557" s="176"/>
      <c r="Q557" s="176"/>
      <c r="R557" s="176"/>
      <c r="S557" s="176"/>
      <c r="T557" s="176"/>
      <c r="U557" s="176"/>
      <c r="V557" s="176"/>
      <c r="W557" s="176"/>
      <c r="X557" s="176"/>
      <c r="Y557" s="176"/>
      <c r="Z557" s="176"/>
      <c r="AA557" s="176"/>
      <c r="AB557" s="176"/>
      <c r="AC557" s="176"/>
      <c r="AD557" s="176"/>
      <c r="AE557" s="176"/>
      <c r="AF557" s="176"/>
      <c r="AG557" s="176"/>
      <c r="AH557" s="176"/>
      <c r="AI557" s="176"/>
      <c r="AJ557" s="176"/>
      <c r="AK557" s="176"/>
      <c r="AL557" s="176"/>
      <c r="AM557" s="176"/>
      <c r="AN557" s="176"/>
      <c r="AO557" s="176"/>
      <c r="AP557" s="176"/>
      <c r="AQ557" s="176"/>
      <c r="AR557" s="176"/>
      <c r="AS557" s="176"/>
      <c r="AT557" s="176"/>
      <c r="AU557" s="176"/>
      <c r="AV557" s="176"/>
      <c r="AW557" s="176"/>
      <c r="AX557" s="176"/>
      <c r="AY557" s="176"/>
      <c r="AZ557" s="176"/>
      <c r="BA557" s="176"/>
      <c r="BB557" s="176"/>
      <c r="BC557" s="176"/>
      <c r="BD557" s="176"/>
      <c r="BE557" s="176"/>
      <c r="BF557" s="176"/>
      <c r="BG557" s="176"/>
      <c r="BH557" s="176"/>
      <c r="BI557" s="176"/>
      <c r="BJ557" s="176"/>
    </row>
    <row r="558" spans="2:62" x14ac:dyDescent="0.3">
      <c r="B558" s="3"/>
      <c r="C558" s="2"/>
      <c r="D558" s="2"/>
      <c r="E558" s="3"/>
      <c r="O558" s="176"/>
      <c r="P558" s="176"/>
      <c r="Q558" s="176"/>
      <c r="R558" s="176"/>
      <c r="S558" s="176"/>
      <c r="T558" s="176"/>
      <c r="U558" s="176"/>
      <c r="V558" s="176"/>
      <c r="W558" s="176"/>
      <c r="X558" s="176"/>
      <c r="Y558" s="176"/>
      <c r="Z558" s="176"/>
      <c r="AA558" s="176"/>
      <c r="AB558" s="176"/>
      <c r="AC558" s="176"/>
      <c r="AD558" s="176"/>
      <c r="AE558" s="176"/>
      <c r="AF558" s="176"/>
      <c r="AG558" s="176"/>
      <c r="AH558" s="176"/>
      <c r="AI558" s="176"/>
      <c r="AJ558" s="176"/>
      <c r="AK558" s="176"/>
      <c r="AL558" s="176"/>
      <c r="AM558" s="176"/>
      <c r="AN558" s="176"/>
      <c r="AO558" s="176"/>
      <c r="AP558" s="176"/>
      <c r="AQ558" s="176"/>
      <c r="AR558" s="176"/>
      <c r="AS558" s="176"/>
      <c r="AT558" s="176"/>
      <c r="AU558" s="176"/>
      <c r="AV558" s="176"/>
      <c r="AW558" s="176"/>
      <c r="AX558" s="176"/>
      <c r="AY558" s="176"/>
      <c r="AZ558" s="176"/>
      <c r="BA558" s="176"/>
      <c r="BB558" s="176"/>
      <c r="BC558" s="176"/>
      <c r="BD558" s="176"/>
      <c r="BE558" s="176"/>
      <c r="BF558" s="176"/>
      <c r="BG558" s="176"/>
      <c r="BH558" s="176"/>
      <c r="BI558" s="176"/>
      <c r="BJ558" s="176"/>
    </row>
    <row r="559" spans="2:62" x14ac:dyDescent="0.3">
      <c r="B559" s="3"/>
      <c r="C559" s="2"/>
      <c r="D559" s="2"/>
      <c r="E559" s="3"/>
      <c r="O559" s="176"/>
      <c r="P559" s="176"/>
      <c r="Q559" s="176"/>
      <c r="R559" s="176"/>
      <c r="S559" s="176"/>
      <c r="T559" s="176"/>
      <c r="U559" s="176"/>
      <c r="V559" s="176"/>
      <c r="W559" s="176"/>
      <c r="X559" s="176"/>
      <c r="Y559" s="176"/>
      <c r="Z559" s="176"/>
      <c r="AA559" s="176"/>
      <c r="AB559" s="176"/>
      <c r="AC559" s="176"/>
      <c r="AD559" s="176"/>
      <c r="AE559" s="176"/>
      <c r="AF559" s="176"/>
      <c r="AG559" s="176"/>
      <c r="AH559" s="176"/>
      <c r="AI559" s="176"/>
      <c r="AJ559" s="176"/>
      <c r="AK559" s="176"/>
      <c r="AL559" s="176"/>
      <c r="AM559" s="176"/>
      <c r="AN559" s="176"/>
      <c r="AO559" s="176"/>
      <c r="AP559" s="176"/>
      <c r="AQ559" s="176"/>
      <c r="AR559" s="176"/>
      <c r="AS559" s="176"/>
      <c r="AT559" s="176"/>
      <c r="AU559" s="176"/>
      <c r="AV559" s="176"/>
      <c r="AW559" s="176"/>
      <c r="AX559" s="176"/>
      <c r="AY559" s="176"/>
      <c r="AZ559" s="176"/>
      <c r="BA559" s="176"/>
      <c r="BB559" s="176"/>
      <c r="BC559" s="176"/>
      <c r="BD559" s="176"/>
      <c r="BE559" s="176"/>
      <c r="BF559" s="176"/>
      <c r="BG559" s="176"/>
      <c r="BH559" s="176"/>
      <c r="BI559" s="176"/>
      <c r="BJ559" s="176"/>
    </row>
    <row r="560" spans="2:62" x14ac:dyDescent="0.3">
      <c r="B560" s="3"/>
      <c r="C560" s="2"/>
      <c r="D560" s="2"/>
      <c r="E560" s="3"/>
      <c r="O560" s="176"/>
      <c r="P560" s="176"/>
      <c r="Q560" s="176"/>
      <c r="R560" s="176"/>
      <c r="S560" s="176"/>
      <c r="T560" s="176"/>
      <c r="U560" s="176"/>
      <c r="V560" s="176"/>
      <c r="W560" s="176"/>
      <c r="X560" s="176"/>
      <c r="Y560" s="176"/>
      <c r="Z560" s="176"/>
      <c r="AA560" s="176"/>
      <c r="AB560" s="176"/>
      <c r="AC560" s="176"/>
      <c r="AD560" s="176"/>
      <c r="AE560" s="176"/>
      <c r="AF560" s="176"/>
      <c r="AG560" s="176"/>
      <c r="AH560" s="176"/>
      <c r="AI560" s="176"/>
      <c r="AJ560" s="176"/>
      <c r="AK560" s="176"/>
      <c r="AL560" s="176"/>
      <c r="AM560" s="176"/>
      <c r="AN560" s="176"/>
      <c r="AO560" s="176"/>
      <c r="AP560" s="176"/>
      <c r="AQ560" s="176"/>
      <c r="AR560" s="176"/>
      <c r="AS560" s="176"/>
      <c r="AT560" s="176"/>
      <c r="AU560" s="176"/>
      <c r="AV560" s="176"/>
      <c r="AW560" s="176"/>
      <c r="AX560" s="176"/>
      <c r="AY560" s="176"/>
      <c r="AZ560" s="176"/>
      <c r="BA560" s="176"/>
      <c r="BB560" s="176"/>
      <c r="BC560" s="176"/>
      <c r="BD560" s="176"/>
      <c r="BE560" s="176"/>
      <c r="BF560" s="176"/>
      <c r="BG560" s="176"/>
      <c r="BH560" s="176"/>
      <c r="BI560" s="176"/>
      <c r="BJ560" s="176"/>
    </row>
    <row r="561" spans="2:62" x14ac:dyDescent="0.3">
      <c r="B561" s="3"/>
      <c r="C561" s="2"/>
      <c r="D561" s="2"/>
      <c r="E561" s="3"/>
      <c r="O561" s="176"/>
      <c r="P561" s="176"/>
      <c r="Q561" s="176"/>
      <c r="R561" s="176"/>
      <c r="S561" s="176"/>
      <c r="T561" s="176"/>
      <c r="U561" s="176"/>
      <c r="V561" s="176"/>
      <c r="W561" s="176"/>
      <c r="X561" s="176"/>
      <c r="Y561" s="176"/>
      <c r="Z561" s="176"/>
      <c r="AA561" s="176"/>
      <c r="AB561" s="176"/>
      <c r="AC561" s="176"/>
      <c r="AD561" s="176"/>
      <c r="AE561" s="176"/>
      <c r="AF561" s="176"/>
      <c r="AG561" s="176"/>
      <c r="AH561" s="176"/>
      <c r="AI561" s="176"/>
      <c r="AJ561" s="176"/>
      <c r="AK561" s="176"/>
      <c r="AL561" s="176"/>
      <c r="AM561" s="176"/>
      <c r="AN561" s="176"/>
      <c r="AO561" s="176"/>
      <c r="AP561" s="176"/>
      <c r="AQ561" s="176"/>
      <c r="AR561" s="176"/>
      <c r="AS561" s="176"/>
      <c r="AT561" s="176"/>
      <c r="AU561" s="176"/>
      <c r="AV561" s="176"/>
      <c r="AW561" s="176"/>
      <c r="AX561" s="176"/>
      <c r="AY561" s="176"/>
      <c r="AZ561" s="176"/>
      <c r="BA561" s="176"/>
      <c r="BB561" s="176"/>
      <c r="BC561" s="176"/>
      <c r="BD561" s="176"/>
      <c r="BE561" s="176"/>
      <c r="BF561" s="176"/>
      <c r="BG561" s="176"/>
      <c r="BH561" s="176"/>
      <c r="BI561" s="176"/>
      <c r="BJ561" s="176"/>
    </row>
    <row r="562" spans="2:62" x14ac:dyDescent="0.3">
      <c r="B562" s="3"/>
      <c r="C562" s="2"/>
      <c r="D562" s="2"/>
      <c r="E562" s="3"/>
      <c r="O562" s="176"/>
      <c r="P562" s="176"/>
      <c r="Q562" s="176"/>
      <c r="R562" s="176"/>
      <c r="S562" s="176"/>
      <c r="T562" s="176"/>
      <c r="U562" s="176"/>
      <c r="V562" s="176"/>
      <c r="W562" s="176"/>
      <c r="X562" s="176"/>
      <c r="Y562" s="176"/>
      <c r="Z562" s="176"/>
      <c r="AA562" s="176"/>
      <c r="AB562" s="176"/>
      <c r="AC562" s="176"/>
      <c r="AD562" s="176"/>
      <c r="AE562" s="176"/>
      <c r="AF562" s="176"/>
      <c r="AG562" s="176"/>
      <c r="AH562" s="176"/>
      <c r="AI562" s="176"/>
      <c r="AJ562" s="176"/>
      <c r="AK562" s="176"/>
      <c r="AL562" s="176"/>
      <c r="AM562" s="176"/>
      <c r="AN562" s="176"/>
      <c r="AO562" s="176"/>
      <c r="AP562" s="176"/>
      <c r="AQ562" s="176"/>
      <c r="AR562" s="176"/>
      <c r="AS562" s="176"/>
      <c r="AT562" s="176"/>
      <c r="AU562" s="176"/>
      <c r="AV562" s="176"/>
      <c r="AW562" s="176"/>
      <c r="AX562" s="176"/>
      <c r="AY562" s="176"/>
      <c r="AZ562" s="176"/>
      <c r="BA562" s="176"/>
      <c r="BB562" s="176"/>
      <c r="BC562" s="176"/>
      <c r="BD562" s="176"/>
      <c r="BE562" s="176"/>
      <c r="BF562" s="176"/>
      <c r="BG562" s="176"/>
      <c r="BH562" s="176"/>
      <c r="BI562" s="176"/>
      <c r="BJ562" s="176"/>
    </row>
    <row r="563" spans="2:62" x14ac:dyDescent="0.3">
      <c r="B563" s="3"/>
      <c r="C563" s="2"/>
      <c r="D563" s="2"/>
      <c r="E563" s="3"/>
      <c r="O563" s="176"/>
      <c r="P563" s="176"/>
      <c r="Q563" s="176"/>
      <c r="R563" s="176"/>
      <c r="S563" s="176"/>
      <c r="T563" s="176"/>
      <c r="U563" s="176"/>
      <c r="V563" s="176"/>
      <c r="W563" s="176"/>
      <c r="X563" s="176"/>
      <c r="Y563" s="176"/>
      <c r="Z563" s="176"/>
      <c r="AA563" s="176"/>
      <c r="AB563" s="176"/>
      <c r="AC563" s="176"/>
      <c r="AD563" s="176"/>
      <c r="AE563" s="176"/>
      <c r="AF563" s="176"/>
      <c r="AG563" s="176"/>
      <c r="AH563" s="176"/>
      <c r="AI563" s="176"/>
      <c r="AJ563" s="176"/>
      <c r="AK563" s="176"/>
      <c r="AL563" s="176"/>
      <c r="AM563" s="176"/>
      <c r="AN563" s="176"/>
      <c r="AO563" s="176"/>
      <c r="AP563" s="176"/>
      <c r="AQ563" s="176"/>
      <c r="AR563" s="176"/>
      <c r="AS563" s="176"/>
      <c r="AT563" s="176"/>
      <c r="AU563" s="176"/>
      <c r="AV563" s="176"/>
      <c r="AW563" s="176"/>
      <c r="AX563" s="176"/>
      <c r="AY563" s="176"/>
      <c r="AZ563" s="176"/>
      <c r="BA563" s="176"/>
      <c r="BB563" s="176"/>
      <c r="BC563" s="176"/>
      <c r="BD563" s="176"/>
      <c r="BE563" s="176"/>
      <c r="BF563" s="176"/>
      <c r="BG563" s="176"/>
      <c r="BH563" s="176"/>
      <c r="BI563" s="176"/>
      <c r="BJ563" s="176"/>
    </row>
    <row r="564" spans="2:62" x14ac:dyDescent="0.3">
      <c r="B564" s="3"/>
      <c r="C564" s="2"/>
      <c r="D564" s="2"/>
      <c r="E564" s="3"/>
      <c r="O564" s="176"/>
      <c r="P564" s="176"/>
      <c r="Q564" s="176"/>
      <c r="R564" s="176"/>
      <c r="S564" s="176"/>
      <c r="T564" s="176"/>
      <c r="U564" s="176"/>
      <c r="V564" s="176"/>
      <c r="W564" s="176"/>
      <c r="X564" s="176"/>
      <c r="Y564" s="176"/>
      <c r="Z564" s="176"/>
      <c r="AA564" s="176"/>
      <c r="AB564" s="176"/>
      <c r="AC564" s="176"/>
      <c r="AD564" s="176"/>
      <c r="AE564" s="176"/>
      <c r="AF564" s="176"/>
      <c r="AG564" s="176"/>
      <c r="AH564" s="176"/>
      <c r="AI564" s="176"/>
      <c r="AJ564" s="176"/>
      <c r="AK564" s="176"/>
      <c r="AL564" s="176"/>
      <c r="AM564" s="176"/>
      <c r="AN564" s="176"/>
      <c r="AO564" s="176"/>
      <c r="AP564" s="176"/>
      <c r="AQ564" s="176"/>
      <c r="AR564" s="176"/>
      <c r="AS564" s="176"/>
      <c r="AT564" s="176"/>
      <c r="AU564" s="176"/>
      <c r="AV564" s="176"/>
      <c r="AW564" s="176"/>
      <c r="AX564" s="176"/>
      <c r="AY564" s="176"/>
      <c r="AZ564" s="176"/>
      <c r="BA564" s="176"/>
      <c r="BB564" s="176"/>
      <c r="BC564" s="176"/>
      <c r="BD564" s="176"/>
      <c r="BE564" s="176"/>
      <c r="BF564" s="176"/>
      <c r="BG564" s="176"/>
      <c r="BH564" s="176"/>
      <c r="BI564" s="176"/>
      <c r="BJ564" s="176"/>
    </row>
    <row r="565" spans="2:62" x14ac:dyDescent="0.3">
      <c r="B565" s="3"/>
      <c r="C565" s="2"/>
      <c r="D565" s="2"/>
      <c r="E565" s="3"/>
      <c r="O565" s="176"/>
      <c r="P565" s="176"/>
      <c r="Q565" s="176"/>
      <c r="R565" s="176"/>
      <c r="S565" s="176"/>
      <c r="T565" s="176"/>
      <c r="U565" s="176"/>
      <c r="V565" s="176"/>
      <c r="W565" s="176"/>
      <c r="X565" s="176"/>
      <c r="Y565" s="176"/>
      <c r="Z565" s="176"/>
      <c r="AA565" s="176"/>
      <c r="AB565" s="176"/>
      <c r="AC565" s="176"/>
      <c r="AD565" s="176"/>
      <c r="AE565" s="176"/>
      <c r="AF565" s="176"/>
      <c r="AG565" s="176"/>
      <c r="AH565" s="176"/>
      <c r="AI565" s="176"/>
      <c r="AJ565" s="176"/>
      <c r="AK565" s="176"/>
      <c r="AL565" s="176"/>
      <c r="AM565" s="176"/>
      <c r="AN565" s="176"/>
      <c r="AO565" s="176"/>
      <c r="AP565" s="176"/>
      <c r="AQ565" s="176"/>
      <c r="AR565" s="176"/>
      <c r="AS565" s="176"/>
      <c r="AT565" s="176"/>
      <c r="AU565" s="176"/>
      <c r="AV565" s="176"/>
      <c r="AW565" s="176"/>
      <c r="AX565" s="176"/>
      <c r="AY565" s="176"/>
      <c r="AZ565" s="176"/>
      <c r="BA565" s="176"/>
      <c r="BB565" s="176"/>
      <c r="BC565" s="176"/>
      <c r="BD565" s="176"/>
      <c r="BE565" s="176"/>
      <c r="BF565" s="176"/>
      <c r="BG565" s="176"/>
      <c r="BH565" s="176"/>
      <c r="BI565" s="176"/>
      <c r="BJ565" s="176"/>
    </row>
    <row r="566" spans="2:62" x14ac:dyDescent="0.3">
      <c r="B566" s="3"/>
      <c r="C566" s="2"/>
      <c r="D566" s="2"/>
      <c r="E566" s="3"/>
      <c r="O566" s="176"/>
      <c r="P566" s="176"/>
      <c r="Q566" s="176"/>
      <c r="R566" s="176"/>
      <c r="S566" s="176"/>
      <c r="T566" s="176"/>
      <c r="U566" s="176"/>
      <c r="V566" s="176"/>
      <c r="W566" s="176"/>
      <c r="X566" s="176"/>
      <c r="Y566" s="176"/>
      <c r="Z566" s="176"/>
      <c r="AA566" s="176"/>
      <c r="AB566" s="176"/>
      <c r="AC566" s="176"/>
      <c r="AD566" s="176"/>
      <c r="AE566" s="176"/>
      <c r="AF566" s="176"/>
      <c r="AG566" s="176"/>
      <c r="AH566" s="176"/>
      <c r="AI566" s="176"/>
      <c r="AJ566" s="176"/>
      <c r="AK566" s="176"/>
      <c r="AL566" s="176"/>
      <c r="AM566" s="176"/>
      <c r="AN566" s="176"/>
      <c r="AO566" s="176"/>
      <c r="AP566" s="176"/>
      <c r="AQ566" s="176"/>
      <c r="AR566" s="176"/>
      <c r="AS566" s="176"/>
      <c r="AT566" s="176"/>
      <c r="AU566" s="176"/>
      <c r="AV566" s="176"/>
      <c r="AW566" s="176"/>
      <c r="AX566" s="176"/>
      <c r="AY566" s="176"/>
      <c r="AZ566" s="176"/>
      <c r="BA566" s="176"/>
      <c r="BB566" s="176"/>
      <c r="BC566" s="176"/>
      <c r="BD566" s="176"/>
      <c r="BE566" s="176"/>
      <c r="BF566" s="176"/>
      <c r="BG566" s="176"/>
      <c r="BH566" s="176"/>
      <c r="BI566" s="176"/>
      <c r="BJ566" s="176"/>
    </row>
    <row r="567" spans="2:62" x14ac:dyDescent="0.3">
      <c r="B567" s="3"/>
      <c r="C567" s="2"/>
      <c r="D567" s="2"/>
      <c r="E567" s="3"/>
      <c r="O567" s="176"/>
      <c r="P567" s="176"/>
      <c r="Q567" s="176"/>
      <c r="R567" s="176"/>
      <c r="S567" s="176"/>
      <c r="T567" s="176"/>
      <c r="U567" s="176"/>
      <c r="V567" s="176"/>
      <c r="W567" s="176"/>
      <c r="X567" s="176"/>
      <c r="Y567" s="176"/>
      <c r="Z567" s="176"/>
      <c r="AA567" s="176"/>
      <c r="AB567" s="176"/>
      <c r="AC567" s="176"/>
      <c r="AD567" s="176"/>
      <c r="AE567" s="176"/>
      <c r="AF567" s="176"/>
      <c r="AG567" s="176"/>
      <c r="AH567" s="176"/>
      <c r="AI567" s="176"/>
      <c r="AJ567" s="176"/>
      <c r="AK567" s="176"/>
      <c r="AL567" s="176"/>
      <c r="AM567" s="176"/>
      <c r="AN567" s="176"/>
      <c r="AO567" s="176"/>
      <c r="AP567" s="176"/>
      <c r="AQ567" s="176"/>
      <c r="AR567" s="176"/>
      <c r="AS567" s="176"/>
      <c r="AT567" s="176"/>
      <c r="AU567" s="176"/>
      <c r="AV567" s="176"/>
      <c r="AW567" s="176"/>
      <c r="AX567" s="176"/>
      <c r="AY567" s="176"/>
      <c r="AZ567" s="176"/>
      <c r="BA567" s="176"/>
      <c r="BB567" s="176"/>
      <c r="BC567" s="176"/>
      <c r="BD567" s="176"/>
      <c r="BE567" s="176"/>
      <c r="BF567" s="176"/>
      <c r="BG567" s="176"/>
      <c r="BH567" s="176"/>
      <c r="BI567" s="176"/>
      <c r="BJ567" s="176"/>
    </row>
    <row r="568" spans="2:62" x14ac:dyDescent="0.3">
      <c r="B568" s="3"/>
      <c r="C568" s="2"/>
      <c r="D568" s="2"/>
      <c r="E568" s="3"/>
      <c r="O568" s="176"/>
      <c r="P568" s="176"/>
      <c r="Q568" s="176"/>
      <c r="R568" s="176"/>
      <c r="S568" s="176"/>
      <c r="T568" s="176"/>
      <c r="U568" s="176"/>
      <c r="V568" s="176"/>
      <c r="W568" s="176"/>
      <c r="X568" s="176"/>
      <c r="Y568" s="176"/>
      <c r="Z568" s="176"/>
      <c r="AA568" s="176"/>
      <c r="AB568" s="176"/>
      <c r="AC568" s="176"/>
      <c r="AD568" s="176"/>
      <c r="AE568" s="176"/>
      <c r="AF568" s="176"/>
      <c r="AG568" s="176"/>
      <c r="AH568" s="176"/>
      <c r="AI568" s="176"/>
      <c r="AJ568" s="176"/>
      <c r="AK568" s="176"/>
      <c r="AL568" s="176"/>
      <c r="AM568" s="176"/>
      <c r="AN568" s="176"/>
      <c r="AO568" s="176"/>
      <c r="AP568" s="176"/>
      <c r="AQ568" s="176"/>
      <c r="AR568" s="176"/>
      <c r="AS568" s="176"/>
      <c r="AT568" s="176"/>
      <c r="AU568" s="176"/>
      <c r="AV568" s="176"/>
      <c r="AW568" s="176"/>
      <c r="AX568" s="176"/>
      <c r="AY568" s="176"/>
      <c r="AZ568" s="176"/>
      <c r="BA568" s="176"/>
      <c r="BB568" s="176"/>
      <c r="BC568" s="176"/>
      <c r="BD568" s="176"/>
      <c r="BE568" s="176"/>
      <c r="BF568" s="176"/>
      <c r="BG568" s="176"/>
      <c r="BH568" s="176"/>
      <c r="BI568" s="176"/>
      <c r="BJ568" s="176"/>
    </row>
    <row r="569" spans="2:62" x14ac:dyDescent="0.3">
      <c r="B569" s="3"/>
      <c r="C569" s="2"/>
      <c r="D569" s="2"/>
      <c r="E569" s="3"/>
      <c r="O569" s="176"/>
      <c r="P569" s="176"/>
      <c r="Q569" s="176"/>
      <c r="R569" s="176"/>
      <c r="S569" s="176"/>
      <c r="T569" s="176"/>
      <c r="U569" s="176"/>
      <c r="V569" s="176"/>
      <c r="W569" s="176"/>
      <c r="X569" s="176"/>
      <c r="Y569" s="176"/>
      <c r="Z569" s="176"/>
      <c r="AA569" s="176"/>
      <c r="AB569" s="176"/>
      <c r="AC569" s="176"/>
      <c r="AD569" s="176"/>
      <c r="AE569" s="176"/>
      <c r="AF569" s="176"/>
      <c r="AG569" s="176"/>
      <c r="AH569" s="176"/>
      <c r="AI569" s="176"/>
      <c r="AJ569" s="176"/>
      <c r="AK569" s="176"/>
      <c r="AL569" s="176"/>
      <c r="AM569" s="176"/>
      <c r="AN569" s="176"/>
      <c r="AO569" s="176"/>
      <c r="AP569" s="176"/>
      <c r="AQ569" s="176"/>
      <c r="AR569" s="176"/>
      <c r="AS569" s="176"/>
      <c r="AT569" s="176"/>
      <c r="AU569" s="176"/>
      <c r="AV569" s="176"/>
      <c r="AW569" s="176"/>
      <c r="AX569" s="176"/>
      <c r="AY569" s="176"/>
      <c r="AZ569" s="176"/>
      <c r="BA569" s="176"/>
      <c r="BB569" s="176"/>
      <c r="BC569" s="176"/>
      <c r="BD569" s="176"/>
      <c r="BE569" s="176"/>
      <c r="BF569" s="176"/>
      <c r="BG569" s="176"/>
      <c r="BH569" s="176"/>
      <c r="BI569" s="176"/>
      <c r="BJ569" s="176"/>
    </row>
    <row r="570" spans="2:62" x14ac:dyDescent="0.3">
      <c r="B570" s="3"/>
      <c r="C570" s="2"/>
      <c r="D570" s="2"/>
      <c r="E570" s="3"/>
      <c r="O570" s="176"/>
      <c r="P570" s="176"/>
      <c r="Q570" s="176"/>
      <c r="R570" s="176"/>
      <c r="S570" s="176"/>
      <c r="T570" s="176"/>
      <c r="U570" s="176"/>
      <c r="V570" s="176"/>
      <c r="W570" s="176"/>
      <c r="X570" s="176"/>
      <c r="Y570" s="176"/>
      <c r="Z570" s="176"/>
      <c r="AA570" s="176"/>
      <c r="AB570" s="176"/>
      <c r="AC570" s="176"/>
      <c r="AD570" s="176"/>
      <c r="AE570" s="176"/>
      <c r="AF570" s="176"/>
      <c r="AG570" s="176"/>
      <c r="AH570" s="176"/>
      <c r="AI570" s="176"/>
      <c r="AJ570" s="176"/>
      <c r="AK570" s="176"/>
      <c r="AL570" s="176"/>
      <c r="AM570" s="176"/>
      <c r="AN570" s="176"/>
      <c r="AO570" s="176"/>
      <c r="AP570" s="176"/>
      <c r="AQ570" s="176"/>
      <c r="AR570" s="176"/>
      <c r="AS570" s="176"/>
      <c r="AT570" s="176"/>
      <c r="AU570" s="176"/>
      <c r="AV570" s="176"/>
      <c r="AW570" s="176"/>
      <c r="AX570" s="176"/>
      <c r="AY570" s="176"/>
      <c r="AZ570" s="176"/>
      <c r="BA570" s="176"/>
      <c r="BB570" s="176"/>
      <c r="BC570" s="176"/>
      <c r="BD570" s="176"/>
      <c r="BE570" s="176"/>
      <c r="BF570" s="176"/>
      <c r="BG570" s="176"/>
      <c r="BH570" s="176"/>
      <c r="BI570" s="176"/>
      <c r="BJ570" s="176"/>
    </row>
    <row r="571" spans="2:62" x14ac:dyDescent="0.3">
      <c r="B571" s="3"/>
      <c r="C571" s="2"/>
      <c r="D571" s="2"/>
      <c r="E571" s="3"/>
      <c r="O571" s="176"/>
      <c r="P571" s="176"/>
      <c r="Q571" s="176"/>
      <c r="R571" s="176"/>
      <c r="S571" s="176"/>
      <c r="T571" s="176"/>
      <c r="U571" s="176"/>
      <c r="V571" s="176"/>
      <c r="W571" s="176"/>
      <c r="X571" s="176"/>
      <c r="Y571" s="176"/>
      <c r="Z571" s="176"/>
      <c r="AA571" s="176"/>
      <c r="AB571" s="176"/>
      <c r="AC571" s="176"/>
      <c r="AD571" s="176"/>
      <c r="AE571" s="176"/>
      <c r="AF571" s="176"/>
      <c r="AG571" s="176"/>
      <c r="AH571" s="176"/>
      <c r="AI571" s="176"/>
      <c r="AJ571" s="176"/>
      <c r="AK571" s="176"/>
      <c r="AL571" s="176"/>
      <c r="AM571" s="176"/>
      <c r="AN571" s="176"/>
      <c r="AO571" s="176"/>
      <c r="AP571" s="176"/>
      <c r="AQ571" s="176"/>
      <c r="AR571" s="176"/>
      <c r="AS571" s="176"/>
      <c r="AT571" s="176"/>
      <c r="AU571" s="176"/>
      <c r="AV571" s="176"/>
      <c r="AW571" s="176"/>
      <c r="AX571" s="176"/>
      <c r="AY571" s="176"/>
      <c r="AZ571" s="176"/>
      <c r="BA571" s="176"/>
      <c r="BB571" s="176"/>
      <c r="BC571" s="176"/>
      <c r="BD571" s="176"/>
      <c r="BE571" s="176"/>
      <c r="BF571" s="176"/>
      <c r="BG571" s="176"/>
      <c r="BH571" s="176"/>
      <c r="BI571" s="176"/>
      <c r="BJ571" s="176"/>
    </row>
    <row r="572" spans="2:62" x14ac:dyDescent="0.3">
      <c r="B572" s="3"/>
      <c r="C572" s="2"/>
      <c r="D572" s="2"/>
      <c r="E572" s="3"/>
      <c r="O572" s="176"/>
      <c r="P572" s="176"/>
      <c r="Q572" s="176"/>
      <c r="R572" s="176"/>
      <c r="S572" s="176"/>
      <c r="T572" s="176"/>
      <c r="U572" s="176"/>
      <c r="V572" s="176"/>
      <c r="W572" s="176"/>
      <c r="X572" s="176"/>
      <c r="Y572" s="176"/>
      <c r="Z572" s="176"/>
      <c r="AA572" s="176"/>
      <c r="AB572" s="176"/>
      <c r="AC572" s="176"/>
      <c r="AD572" s="176"/>
      <c r="AE572" s="176"/>
      <c r="AF572" s="176"/>
      <c r="AG572" s="176"/>
      <c r="AH572" s="176"/>
      <c r="AI572" s="176"/>
      <c r="AJ572" s="176"/>
      <c r="AK572" s="176"/>
      <c r="AL572" s="176"/>
      <c r="AM572" s="176"/>
      <c r="AN572" s="176"/>
      <c r="AO572" s="176"/>
      <c r="AP572" s="176"/>
      <c r="AQ572" s="176"/>
      <c r="AR572" s="176"/>
      <c r="AS572" s="176"/>
      <c r="AT572" s="176"/>
      <c r="AU572" s="176"/>
      <c r="AV572" s="176"/>
      <c r="AW572" s="176"/>
      <c r="AX572" s="176"/>
      <c r="AY572" s="176"/>
      <c r="AZ572" s="176"/>
      <c r="BA572" s="176"/>
      <c r="BB572" s="176"/>
      <c r="BC572" s="176"/>
      <c r="BD572" s="176"/>
      <c r="BE572" s="176"/>
      <c r="BF572" s="176"/>
      <c r="BG572" s="176"/>
      <c r="BH572" s="176"/>
      <c r="BI572" s="176"/>
      <c r="BJ572" s="176"/>
    </row>
    <row r="573" spans="2:62" x14ac:dyDescent="0.3">
      <c r="B573" s="3"/>
      <c r="C573" s="2"/>
      <c r="D573" s="2"/>
      <c r="E573" s="3"/>
      <c r="O573" s="176"/>
      <c r="P573" s="176"/>
      <c r="Q573" s="176"/>
      <c r="R573" s="176"/>
      <c r="S573" s="176"/>
      <c r="T573" s="176"/>
      <c r="U573" s="176"/>
      <c r="V573" s="176"/>
      <c r="W573" s="176"/>
      <c r="X573" s="176"/>
      <c r="Y573" s="176"/>
      <c r="Z573" s="176"/>
      <c r="AA573" s="176"/>
      <c r="AB573" s="176"/>
      <c r="AC573" s="176"/>
      <c r="AD573" s="176"/>
      <c r="AE573" s="176"/>
      <c r="AF573" s="176"/>
      <c r="AG573" s="176"/>
      <c r="AH573" s="176"/>
      <c r="AI573" s="176"/>
      <c r="AJ573" s="176"/>
      <c r="AK573" s="176"/>
      <c r="AL573" s="176"/>
      <c r="AM573" s="176"/>
      <c r="AN573" s="176"/>
      <c r="AO573" s="176"/>
      <c r="AP573" s="176"/>
      <c r="AQ573" s="176"/>
      <c r="AR573" s="176"/>
      <c r="AS573" s="176"/>
      <c r="AT573" s="176"/>
      <c r="AU573" s="176"/>
      <c r="AV573" s="176"/>
      <c r="AW573" s="176"/>
      <c r="AX573" s="176"/>
      <c r="AY573" s="176"/>
      <c r="AZ573" s="176"/>
      <c r="BA573" s="176"/>
      <c r="BB573" s="176"/>
      <c r="BC573" s="176"/>
      <c r="BD573" s="176"/>
      <c r="BE573" s="176"/>
      <c r="BF573" s="176"/>
      <c r="BG573" s="176"/>
      <c r="BH573" s="176"/>
      <c r="BI573" s="176"/>
      <c r="BJ573" s="176"/>
    </row>
    <row r="574" spans="2:62" x14ac:dyDescent="0.3">
      <c r="B574" s="3"/>
      <c r="C574" s="2"/>
      <c r="D574" s="2"/>
      <c r="E574" s="3"/>
      <c r="O574" s="176"/>
      <c r="P574" s="176"/>
      <c r="Q574" s="176"/>
      <c r="R574" s="176"/>
      <c r="S574" s="176"/>
      <c r="T574" s="176"/>
      <c r="U574" s="176"/>
      <c r="V574" s="176"/>
      <c r="W574" s="176"/>
      <c r="X574" s="176"/>
      <c r="Y574" s="176"/>
      <c r="Z574" s="176"/>
      <c r="AA574" s="176"/>
      <c r="AB574" s="176"/>
      <c r="AC574" s="176"/>
      <c r="AD574" s="176"/>
      <c r="AE574" s="176"/>
      <c r="AF574" s="176"/>
      <c r="AG574" s="176"/>
      <c r="AH574" s="176"/>
      <c r="AI574" s="176"/>
      <c r="AJ574" s="176"/>
      <c r="AK574" s="176"/>
      <c r="AL574" s="176"/>
      <c r="AM574" s="176"/>
      <c r="AN574" s="176"/>
      <c r="AO574" s="176"/>
      <c r="AP574" s="176"/>
      <c r="AQ574" s="176"/>
      <c r="AR574" s="176"/>
      <c r="AS574" s="176"/>
      <c r="AT574" s="176"/>
      <c r="AU574" s="176"/>
      <c r="AV574" s="176"/>
      <c r="AW574" s="176"/>
      <c r="AX574" s="176"/>
      <c r="AY574" s="176"/>
      <c r="AZ574" s="176"/>
      <c r="BA574" s="176"/>
      <c r="BB574" s="176"/>
      <c r="BC574" s="176"/>
      <c r="BD574" s="176"/>
      <c r="BE574" s="176"/>
      <c r="BF574" s="176"/>
      <c r="BG574" s="176"/>
      <c r="BH574" s="176"/>
      <c r="BI574" s="176"/>
      <c r="BJ574" s="176"/>
    </row>
    <row r="575" spans="2:62" x14ac:dyDescent="0.3">
      <c r="B575" s="3"/>
      <c r="C575" s="2"/>
      <c r="D575" s="2"/>
      <c r="E575" s="3"/>
      <c r="O575" s="176"/>
      <c r="P575" s="176"/>
      <c r="Q575" s="176"/>
      <c r="R575" s="176"/>
      <c r="S575" s="176"/>
      <c r="T575" s="176"/>
      <c r="U575" s="176"/>
      <c r="V575" s="176"/>
      <c r="W575" s="176"/>
      <c r="X575" s="176"/>
      <c r="Y575" s="176"/>
      <c r="Z575" s="176"/>
      <c r="AA575" s="176"/>
      <c r="AB575" s="176"/>
      <c r="AC575" s="176"/>
      <c r="AD575" s="176"/>
      <c r="AE575" s="176"/>
      <c r="AF575" s="176"/>
      <c r="AG575" s="176"/>
      <c r="AH575" s="176"/>
      <c r="AI575" s="176"/>
      <c r="AJ575" s="176"/>
      <c r="AK575" s="176"/>
      <c r="AL575" s="176"/>
      <c r="AM575" s="176"/>
      <c r="AN575" s="176"/>
      <c r="AO575" s="176"/>
      <c r="AP575" s="176"/>
      <c r="AQ575" s="176"/>
      <c r="AR575" s="176"/>
      <c r="AS575" s="176"/>
      <c r="AT575" s="176"/>
      <c r="AU575" s="176"/>
      <c r="AV575" s="176"/>
      <c r="AW575" s="176"/>
      <c r="AX575" s="176"/>
      <c r="AY575" s="176"/>
      <c r="AZ575" s="176"/>
      <c r="BA575" s="176"/>
      <c r="BB575" s="176"/>
      <c r="BC575" s="176"/>
      <c r="BD575" s="176"/>
      <c r="BE575" s="176"/>
      <c r="BF575" s="176"/>
      <c r="BG575" s="176"/>
      <c r="BH575" s="176"/>
      <c r="BI575" s="176"/>
      <c r="BJ575" s="176"/>
    </row>
    <row r="576" spans="2:62" x14ac:dyDescent="0.3">
      <c r="B576" s="3"/>
      <c r="C576" s="2"/>
      <c r="D576" s="2"/>
      <c r="E576" s="3"/>
      <c r="O576" s="176"/>
      <c r="P576" s="176"/>
      <c r="Q576" s="176"/>
      <c r="R576" s="176"/>
      <c r="S576" s="176"/>
      <c r="T576" s="176"/>
      <c r="U576" s="176"/>
      <c r="V576" s="176"/>
      <c r="W576" s="176"/>
      <c r="X576" s="176"/>
      <c r="Y576" s="176"/>
      <c r="Z576" s="176"/>
      <c r="AA576" s="176"/>
      <c r="AB576" s="176"/>
      <c r="AC576" s="176"/>
      <c r="AD576" s="176"/>
      <c r="AE576" s="176"/>
      <c r="AF576" s="176"/>
      <c r="AG576" s="176"/>
      <c r="AH576" s="176"/>
      <c r="AI576" s="176"/>
      <c r="AJ576" s="176"/>
      <c r="AK576" s="176"/>
      <c r="AL576" s="176"/>
      <c r="AM576" s="176"/>
      <c r="AN576" s="176"/>
      <c r="AO576" s="176"/>
      <c r="AP576" s="176"/>
      <c r="AQ576" s="176"/>
      <c r="AR576" s="176"/>
      <c r="AS576" s="176"/>
      <c r="AT576" s="176"/>
      <c r="AU576" s="176"/>
      <c r="AV576" s="176"/>
      <c r="AW576" s="176"/>
      <c r="AX576" s="176"/>
      <c r="AY576" s="176"/>
      <c r="AZ576" s="176"/>
      <c r="BA576" s="176"/>
      <c r="BB576" s="176"/>
      <c r="BC576" s="176"/>
      <c r="BD576" s="176"/>
      <c r="BE576" s="176"/>
      <c r="BF576" s="176"/>
      <c r="BG576" s="176"/>
      <c r="BH576" s="176"/>
      <c r="BI576" s="176"/>
      <c r="BJ576" s="176"/>
    </row>
    <row r="577" spans="2:62" x14ac:dyDescent="0.3">
      <c r="B577" s="3"/>
      <c r="C577" s="2"/>
      <c r="D577" s="2"/>
      <c r="E577" s="3"/>
      <c r="O577" s="176"/>
      <c r="P577" s="176"/>
      <c r="Q577" s="176"/>
      <c r="R577" s="176"/>
      <c r="S577" s="176"/>
      <c r="T577" s="176"/>
      <c r="U577" s="176"/>
      <c r="V577" s="176"/>
      <c r="W577" s="176"/>
      <c r="X577" s="176"/>
      <c r="Y577" s="176"/>
      <c r="Z577" s="176"/>
      <c r="AA577" s="176"/>
      <c r="AB577" s="176"/>
      <c r="AC577" s="176"/>
      <c r="AD577" s="176"/>
      <c r="AE577" s="176"/>
      <c r="AF577" s="176"/>
      <c r="AG577" s="176"/>
      <c r="AH577" s="176"/>
      <c r="AI577" s="176"/>
      <c r="AJ577" s="176"/>
      <c r="AK577" s="176"/>
      <c r="AL577" s="176"/>
      <c r="AM577" s="176"/>
      <c r="AN577" s="176"/>
      <c r="AO577" s="176"/>
      <c r="AP577" s="176"/>
      <c r="AQ577" s="176"/>
      <c r="AR577" s="176"/>
      <c r="AS577" s="176"/>
      <c r="AT577" s="176"/>
      <c r="AU577" s="176"/>
      <c r="AV577" s="176"/>
      <c r="AW577" s="176"/>
      <c r="AX577" s="176"/>
      <c r="AY577" s="176"/>
      <c r="AZ577" s="176"/>
      <c r="BA577" s="176"/>
      <c r="BB577" s="176"/>
      <c r="BC577" s="176"/>
      <c r="BD577" s="176"/>
      <c r="BE577" s="176"/>
      <c r="BF577" s="176"/>
      <c r="BG577" s="176"/>
      <c r="BH577" s="176"/>
      <c r="BI577" s="176"/>
      <c r="BJ577" s="176"/>
    </row>
    <row r="578" spans="2:62" x14ac:dyDescent="0.3">
      <c r="B578" s="3"/>
      <c r="C578" s="2"/>
      <c r="D578" s="2"/>
      <c r="E578" s="3"/>
      <c r="O578" s="176"/>
      <c r="P578" s="176"/>
      <c r="Q578" s="176"/>
      <c r="R578" s="176"/>
      <c r="S578" s="176"/>
      <c r="T578" s="176"/>
      <c r="U578" s="176"/>
      <c r="V578" s="176"/>
      <c r="W578" s="176"/>
      <c r="X578" s="176"/>
      <c r="Y578" s="176"/>
      <c r="Z578" s="176"/>
      <c r="AA578" s="176"/>
      <c r="AB578" s="176"/>
      <c r="AC578" s="176"/>
      <c r="AD578" s="176"/>
      <c r="AE578" s="176"/>
      <c r="AF578" s="176"/>
      <c r="AG578" s="176"/>
      <c r="AH578" s="176"/>
      <c r="AI578" s="176"/>
      <c r="AJ578" s="176"/>
      <c r="AK578" s="176"/>
      <c r="AL578" s="176"/>
      <c r="AM578" s="176"/>
      <c r="AN578" s="176"/>
      <c r="AO578" s="176"/>
      <c r="AP578" s="176"/>
      <c r="AQ578" s="176"/>
      <c r="AR578" s="176"/>
      <c r="AS578" s="176"/>
      <c r="AT578" s="176"/>
      <c r="AU578" s="176"/>
      <c r="AV578" s="176"/>
      <c r="AW578" s="176"/>
      <c r="AX578" s="176"/>
      <c r="AY578" s="176"/>
      <c r="AZ578" s="176"/>
      <c r="BA578" s="176"/>
      <c r="BB578" s="176"/>
      <c r="BC578" s="176"/>
      <c r="BD578" s="176"/>
      <c r="BE578" s="176"/>
      <c r="BF578" s="176"/>
      <c r="BG578" s="176"/>
      <c r="BH578" s="176"/>
      <c r="BI578" s="176"/>
      <c r="BJ578" s="176"/>
    </row>
    <row r="579" spans="2:62" x14ac:dyDescent="0.3">
      <c r="B579" s="3"/>
      <c r="C579" s="2"/>
      <c r="D579" s="2"/>
      <c r="E579" s="3"/>
      <c r="O579" s="176"/>
      <c r="P579" s="176"/>
      <c r="Q579" s="176"/>
      <c r="R579" s="176"/>
      <c r="S579" s="176"/>
      <c r="T579" s="176"/>
      <c r="U579" s="176"/>
      <c r="V579" s="176"/>
      <c r="W579" s="176"/>
      <c r="X579" s="176"/>
      <c r="Y579" s="176"/>
      <c r="Z579" s="176"/>
      <c r="AA579" s="176"/>
      <c r="AB579" s="176"/>
      <c r="AC579" s="176"/>
      <c r="AD579" s="176"/>
      <c r="AE579" s="176"/>
      <c r="AF579" s="176"/>
      <c r="AG579" s="176"/>
      <c r="AH579" s="176"/>
      <c r="AI579" s="176"/>
      <c r="AJ579" s="176"/>
      <c r="AK579" s="176"/>
      <c r="AL579" s="176"/>
      <c r="AM579" s="176"/>
      <c r="AN579" s="176"/>
      <c r="AO579" s="176"/>
      <c r="AP579" s="176"/>
      <c r="AQ579" s="176"/>
      <c r="AR579" s="176"/>
      <c r="AS579" s="176"/>
      <c r="AT579" s="176"/>
      <c r="AU579" s="176"/>
      <c r="AV579" s="176"/>
      <c r="AW579" s="176"/>
      <c r="AX579" s="176"/>
      <c r="AY579" s="176"/>
      <c r="AZ579" s="176"/>
      <c r="BA579" s="176"/>
      <c r="BB579" s="176"/>
      <c r="BC579" s="176"/>
      <c r="BD579" s="176"/>
      <c r="BE579" s="176"/>
      <c r="BF579" s="176"/>
      <c r="BG579" s="176"/>
      <c r="BH579" s="176"/>
      <c r="BI579" s="176"/>
      <c r="BJ579" s="176"/>
    </row>
    <row r="580" spans="2:62" x14ac:dyDescent="0.3">
      <c r="B580" s="3"/>
      <c r="C580" s="2"/>
      <c r="D580" s="2"/>
      <c r="E580" s="3"/>
      <c r="O580" s="176"/>
      <c r="P580" s="176"/>
      <c r="Q580" s="176"/>
      <c r="R580" s="176"/>
      <c r="S580" s="176"/>
      <c r="T580" s="176"/>
      <c r="U580" s="176"/>
      <c r="V580" s="176"/>
      <c r="W580" s="176"/>
      <c r="X580" s="176"/>
      <c r="Y580" s="176"/>
      <c r="Z580" s="176"/>
      <c r="AA580" s="176"/>
      <c r="AB580" s="176"/>
      <c r="AC580" s="176"/>
      <c r="AD580" s="176"/>
      <c r="AE580" s="176"/>
      <c r="AF580" s="176"/>
      <c r="AG580" s="176"/>
      <c r="AH580" s="176"/>
      <c r="AI580" s="176"/>
      <c r="AJ580" s="176"/>
      <c r="AK580" s="176"/>
      <c r="AL580" s="176"/>
      <c r="AM580" s="176"/>
      <c r="AN580" s="176"/>
      <c r="AO580" s="176"/>
      <c r="AP580" s="176"/>
      <c r="AQ580" s="176"/>
      <c r="AR580" s="176"/>
      <c r="AS580" s="176"/>
      <c r="AT580" s="176"/>
      <c r="AU580" s="176"/>
      <c r="AV580" s="176"/>
      <c r="AW580" s="176"/>
      <c r="AX580" s="176"/>
      <c r="AY580" s="176"/>
      <c r="AZ580" s="176"/>
      <c r="BA580" s="176"/>
      <c r="BB580" s="176"/>
      <c r="BC580" s="176"/>
      <c r="BD580" s="176"/>
      <c r="BE580" s="176"/>
      <c r="BF580" s="176"/>
      <c r="BG580" s="176"/>
      <c r="BH580" s="176"/>
      <c r="BI580" s="176"/>
      <c r="BJ580" s="176"/>
    </row>
    <row r="581" spans="2:62" x14ac:dyDescent="0.3">
      <c r="B581" s="3"/>
      <c r="C581" s="2"/>
      <c r="D581" s="2"/>
      <c r="E581" s="3"/>
      <c r="O581" s="176"/>
      <c r="P581" s="176"/>
      <c r="Q581" s="176"/>
      <c r="R581" s="176"/>
      <c r="S581" s="176"/>
      <c r="T581" s="176"/>
      <c r="U581" s="176"/>
      <c r="V581" s="176"/>
      <c r="W581" s="176"/>
      <c r="X581" s="176"/>
      <c r="Y581" s="176"/>
      <c r="Z581" s="176"/>
      <c r="AA581" s="176"/>
      <c r="AB581" s="176"/>
      <c r="AC581" s="176"/>
      <c r="AD581" s="176"/>
      <c r="AE581" s="176"/>
      <c r="AF581" s="176"/>
      <c r="AG581" s="176"/>
      <c r="AH581" s="176"/>
      <c r="AI581" s="176"/>
      <c r="AJ581" s="176"/>
      <c r="AK581" s="176"/>
      <c r="AL581" s="176"/>
      <c r="AM581" s="176"/>
      <c r="AN581" s="176"/>
      <c r="AO581" s="176"/>
      <c r="AP581" s="176"/>
      <c r="AQ581" s="176"/>
      <c r="AR581" s="176"/>
      <c r="AS581" s="176"/>
      <c r="AT581" s="176"/>
      <c r="AU581" s="176"/>
      <c r="AV581" s="176"/>
      <c r="AW581" s="176"/>
      <c r="AX581" s="176"/>
      <c r="AY581" s="176"/>
      <c r="AZ581" s="176"/>
      <c r="BA581" s="176"/>
      <c r="BB581" s="176"/>
      <c r="BC581" s="176"/>
      <c r="BD581" s="176"/>
      <c r="BE581" s="176"/>
      <c r="BF581" s="176"/>
      <c r="BG581" s="176"/>
      <c r="BH581" s="176"/>
      <c r="BI581" s="176"/>
      <c r="BJ581" s="176"/>
    </row>
    <row r="582" spans="2:62" x14ac:dyDescent="0.3">
      <c r="B582" s="3"/>
      <c r="C582" s="2"/>
      <c r="D582" s="2"/>
      <c r="E582" s="3"/>
      <c r="O582" s="176"/>
      <c r="P582" s="176"/>
      <c r="Q582" s="176"/>
      <c r="R582" s="176"/>
      <c r="S582" s="176"/>
      <c r="T582" s="176"/>
      <c r="U582" s="176"/>
      <c r="V582" s="176"/>
      <c r="W582" s="176"/>
      <c r="X582" s="176"/>
      <c r="Y582" s="176"/>
      <c r="Z582" s="176"/>
      <c r="AA582" s="176"/>
      <c r="AB582" s="176"/>
      <c r="AC582" s="176"/>
      <c r="AD582" s="176"/>
      <c r="AE582" s="176"/>
      <c r="AF582" s="176"/>
      <c r="AG582" s="176"/>
      <c r="AH582" s="176"/>
      <c r="AI582" s="176"/>
      <c r="AJ582" s="176"/>
      <c r="AK582" s="176"/>
      <c r="AL582" s="176"/>
      <c r="AM582" s="176"/>
      <c r="AN582" s="176"/>
      <c r="AO582" s="176"/>
      <c r="AP582" s="176"/>
      <c r="AQ582" s="176"/>
      <c r="AR582" s="176"/>
      <c r="AS582" s="176"/>
      <c r="AT582" s="176"/>
      <c r="AU582" s="176"/>
      <c r="AV582" s="176"/>
      <c r="AW582" s="176"/>
      <c r="AX582" s="176"/>
      <c r="AY582" s="176"/>
      <c r="AZ582" s="176"/>
      <c r="BA582" s="176"/>
      <c r="BB582" s="176"/>
      <c r="BC582" s="176"/>
      <c r="BD582" s="176"/>
      <c r="BE582" s="176"/>
      <c r="BF582" s="176"/>
      <c r="BG582" s="176"/>
      <c r="BH582" s="176"/>
      <c r="BI582" s="176"/>
      <c r="BJ582" s="176"/>
    </row>
    <row r="583" spans="2:62" x14ac:dyDescent="0.3">
      <c r="B583" s="3"/>
      <c r="C583" s="2"/>
      <c r="D583" s="2"/>
      <c r="E583" s="3"/>
      <c r="O583" s="176"/>
      <c r="P583" s="176"/>
      <c r="Q583" s="176"/>
      <c r="R583" s="176"/>
      <c r="S583" s="176"/>
      <c r="T583" s="176"/>
      <c r="U583" s="176"/>
      <c r="V583" s="176"/>
      <c r="W583" s="176"/>
      <c r="X583" s="176"/>
      <c r="Y583" s="176"/>
      <c r="Z583" s="176"/>
      <c r="AA583" s="176"/>
      <c r="AB583" s="176"/>
      <c r="AC583" s="176"/>
      <c r="AD583" s="176"/>
      <c r="AE583" s="176"/>
      <c r="AF583" s="176"/>
      <c r="AG583" s="176"/>
      <c r="AH583" s="176"/>
      <c r="AI583" s="176"/>
      <c r="AJ583" s="176"/>
      <c r="AK583" s="176"/>
      <c r="AL583" s="176"/>
      <c r="AM583" s="176"/>
      <c r="AN583" s="176"/>
      <c r="AO583" s="176"/>
      <c r="AP583" s="176"/>
      <c r="AQ583" s="176"/>
      <c r="AR583" s="176"/>
      <c r="AS583" s="176"/>
      <c r="AT583" s="176"/>
      <c r="AU583" s="176"/>
      <c r="AV583" s="176"/>
      <c r="AW583" s="176"/>
      <c r="AX583" s="176"/>
      <c r="AY583" s="176"/>
      <c r="AZ583" s="176"/>
      <c r="BA583" s="176"/>
      <c r="BB583" s="176"/>
      <c r="BC583" s="176"/>
      <c r="BD583" s="176"/>
      <c r="BE583" s="176"/>
      <c r="BF583" s="176"/>
      <c r="BG583" s="176"/>
      <c r="BH583" s="176"/>
      <c r="BI583" s="176"/>
      <c r="BJ583" s="176"/>
    </row>
    <row r="584" spans="2:62" x14ac:dyDescent="0.3">
      <c r="B584" s="3"/>
      <c r="C584" s="2"/>
      <c r="D584" s="2"/>
      <c r="E584" s="3"/>
      <c r="O584" s="176"/>
      <c r="P584" s="176"/>
      <c r="Q584" s="176"/>
      <c r="R584" s="176"/>
      <c r="S584" s="176"/>
      <c r="T584" s="176"/>
      <c r="U584" s="176"/>
      <c r="V584" s="176"/>
      <c r="W584" s="176"/>
      <c r="X584" s="176"/>
      <c r="Y584" s="176"/>
      <c r="Z584" s="176"/>
      <c r="AA584" s="176"/>
      <c r="AB584" s="176"/>
      <c r="AC584" s="176"/>
      <c r="AD584" s="176"/>
      <c r="AE584" s="176"/>
      <c r="AF584" s="176"/>
      <c r="AG584" s="176"/>
      <c r="AH584" s="176"/>
      <c r="AI584" s="176"/>
      <c r="AJ584" s="176"/>
      <c r="AK584" s="176"/>
      <c r="AL584" s="176"/>
      <c r="AM584" s="176"/>
      <c r="AN584" s="176"/>
      <c r="AO584" s="176"/>
      <c r="AP584" s="176"/>
      <c r="AQ584" s="176"/>
      <c r="AR584" s="176"/>
      <c r="AS584" s="176"/>
      <c r="AT584" s="176"/>
      <c r="AU584" s="176"/>
      <c r="AV584" s="176"/>
      <c r="AW584" s="176"/>
      <c r="AX584" s="176"/>
      <c r="AY584" s="176"/>
      <c r="AZ584" s="176"/>
      <c r="BA584" s="176"/>
      <c r="BB584" s="176"/>
      <c r="BC584" s="176"/>
      <c r="BD584" s="176"/>
      <c r="BE584" s="176"/>
      <c r="BF584" s="176"/>
      <c r="BG584" s="176"/>
      <c r="BH584" s="176"/>
      <c r="BI584" s="176"/>
      <c r="BJ584" s="176"/>
    </row>
    <row r="585" spans="2:62" x14ac:dyDescent="0.3">
      <c r="B585" s="3"/>
      <c r="C585" s="2"/>
      <c r="D585" s="2"/>
      <c r="E585" s="3"/>
      <c r="O585" s="176"/>
      <c r="P585" s="176"/>
      <c r="Q585" s="176"/>
      <c r="R585" s="176"/>
      <c r="S585" s="176"/>
      <c r="T585" s="176"/>
      <c r="U585" s="176"/>
      <c r="V585" s="176"/>
      <c r="W585" s="176"/>
      <c r="X585" s="176"/>
      <c r="Y585" s="176"/>
      <c r="Z585" s="176"/>
      <c r="AA585" s="176"/>
      <c r="AB585" s="176"/>
      <c r="AC585" s="176"/>
      <c r="AD585" s="176"/>
      <c r="AE585" s="176"/>
      <c r="AF585" s="176"/>
      <c r="AG585" s="176"/>
      <c r="AH585" s="176"/>
      <c r="AI585" s="176"/>
      <c r="AJ585" s="176"/>
      <c r="AK585" s="176"/>
      <c r="AL585" s="176"/>
      <c r="AM585" s="176"/>
      <c r="AN585" s="176"/>
      <c r="AO585" s="176"/>
      <c r="AP585" s="176"/>
      <c r="AQ585" s="176"/>
      <c r="AR585" s="176"/>
      <c r="AS585" s="176"/>
      <c r="AT585" s="176"/>
      <c r="AU585" s="176"/>
      <c r="AV585" s="176"/>
      <c r="AW585" s="176"/>
      <c r="AX585" s="176"/>
      <c r="AY585" s="176"/>
      <c r="AZ585" s="176"/>
      <c r="BA585" s="176"/>
      <c r="BB585" s="176"/>
      <c r="BC585" s="176"/>
      <c r="BD585" s="176"/>
      <c r="BE585" s="176"/>
      <c r="BF585" s="176"/>
      <c r="BG585" s="176"/>
      <c r="BH585" s="176"/>
      <c r="BI585" s="176"/>
      <c r="BJ585" s="176"/>
    </row>
    <row r="586" spans="2:62" x14ac:dyDescent="0.3">
      <c r="B586" s="3"/>
      <c r="C586" s="2"/>
      <c r="D586" s="2"/>
      <c r="E586" s="3"/>
      <c r="O586" s="176"/>
      <c r="P586" s="176"/>
      <c r="Q586" s="176"/>
      <c r="R586" s="176"/>
      <c r="S586" s="176"/>
      <c r="T586" s="176"/>
      <c r="U586" s="176"/>
      <c r="V586" s="176"/>
      <c r="W586" s="176"/>
      <c r="X586" s="176"/>
      <c r="Y586" s="176"/>
      <c r="Z586" s="176"/>
      <c r="AA586" s="176"/>
      <c r="AB586" s="176"/>
      <c r="AC586" s="176"/>
      <c r="AD586" s="176"/>
      <c r="AE586" s="176"/>
      <c r="AF586" s="176"/>
      <c r="AG586" s="176"/>
      <c r="AH586" s="176"/>
      <c r="AI586" s="176"/>
      <c r="AJ586" s="176"/>
      <c r="AK586" s="176"/>
      <c r="AL586" s="176"/>
      <c r="AM586" s="176"/>
      <c r="AN586" s="176"/>
      <c r="AO586" s="176"/>
      <c r="AP586" s="176"/>
      <c r="AQ586" s="176"/>
      <c r="AR586" s="176"/>
      <c r="AS586" s="176"/>
      <c r="AT586" s="176"/>
      <c r="AU586" s="176"/>
      <c r="AV586" s="176"/>
      <c r="AW586" s="176"/>
      <c r="AX586" s="176"/>
      <c r="AY586" s="176"/>
      <c r="AZ586" s="176"/>
      <c r="BA586" s="176"/>
      <c r="BB586" s="176"/>
      <c r="BC586" s="176"/>
      <c r="BD586" s="176"/>
      <c r="BE586" s="176"/>
      <c r="BF586" s="176"/>
      <c r="BG586" s="176"/>
      <c r="BH586" s="176"/>
      <c r="BI586" s="176"/>
      <c r="BJ586" s="176"/>
    </row>
    <row r="587" spans="2:62" x14ac:dyDescent="0.3">
      <c r="B587" s="3"/>
      <c r="C587" s="2"/>
      <c r="D587" s="2"/>
      <c r="E587" s="3"/>
      <c r="O587" s="176"/>
      <c r="P587" s="176"/>
      <c r="Q587" s="176"/>
      <c r="R587" s="176"/>
      <c r="S587" s="176"/>
      <c r="T587" s="176"/>
      <c r="U587" s="176"/>
      <c r="V587" s="176"/>
      <c r="W587" s="176"/>
      <c r="X587" s="176"/>
      <c r="Y587" s="176"/>
      <c r="Z587" s="176"/>
      <c r="AA587" s="176"/>
      <c r="AB587" s="176"/>
      <c r="AC587" s="176"/>
      <c r="AD587" s="176"/>
      <c r="AE587" s="176"/>
      <c r="AF587" s="176"/>
      <c r="AG587" s="176"/>
      <c r="AH587" s="176"/>
      <c r="AI587" s="176"/>
      <c r="AJ587" s="176"/>
      <c r="AK587" s="176"/>
      <c r="AL587" s="176"/>
      <c r="AM587" s="176"/>
      <c r="AN587" s="176"/>
      <c r="AO587" s="176"/>
      <c r="AP587" s="176"/>
      <c r="AQ587" s="176"/>
      <c r="AR587" s="176"/>
      <c r="AS587" s="176"/>
      <c r="AT587" s="176"/>
      <c r="AU587" s="176"/>
      <c r="AV587" s="176"/>
      <c r="AW587" s="176"/>
      <c r="AX587" s="176"/>
      <c r="AY587" s="176"/>
      <c r="AZ587" s="176"/>
      <c r="BA587" s="176"/>
      <c r="BB587" s="176"/>
      <c r="BC587" s="176"/>
      <c r="BD587" s="176"/>
      <c r="BE587" s="176"/>
      <c r="BF587" s="176"/>
      <c r="BG587" s="176"/>
      <c r="BH587" s="176"/>
      <c r="BI587" s="176"/>
      <c r="BJ587" s="176"/>
    </row>
    <row r="588" spans="2:62" x14ac:dyDescent="0.3">
      <c r="B588" s="3"/>
      <c r="C588" s="2"/>
      <c r="D588" s="2"/>
      <c r="E588" s="3"/>
      <c r="O588" s="176"/>
      <c r="P588" s="176"/>
      <c r="Q588" s="176"/>
      <c r="R588" s="176"/>
      <c r="S588" s="176"/>
      <c r="T588" s="176"/>
      <c r="U588" s="176"/>
      <c r="V588" s="176"/>
      <c r="W588" s="176"/>
      <c r="X588" s="176"/>
      <c r="Y588" s="176"/>
      <c r="Z588" s="176"/>
      <c r="AA588" s="176"/>
      <c r="AB588" s="176"/>
      <c r="AC588" s="176"/>
      <c r="AD588" s="176"/>
      <c r="AE588" s="176"/>
      <c r="AF588" s="176"/>
      <c r="AG588" s="176"/>
      <c r="AH588" s="176"/>
      <c r="AI588" s="176"/>
      <c r="AJ588" s="176"/>
      <c r="AK588" s="176"/>
      <c r="AL588" s="176"/>
      <c r="AM588" s="176"/>
      <c r="AN588" s="176"/>
      <c r="AO588" s="176"/>
      <c r="AP588" s="176"/>
      <c r="AQ588" s="176"/>
      <c r="AR588" s="176"/>
      <c r="AS588" s="176"/>
      <c r="AT588" s="176"/>
      <c r="AU588" s="176"/>
      <c r="AV588" s="176"/>
      <c r="AW588" s="176"/>
      <c r="AX588" s="176"/>
      <c r="AY588" s="176"/>
      <c r="AZ588" s="176"/>
      <c r="BA588" s="176"/>
      <c r="BB588" s="176"/>
      <c r="BC588" s="176"/>
      <c r="BD588" s="176"/>
      <c r="BE588" s="176"/>
      <c r="BF588" s="176"/>
      <c r="BG588" s="176"/>
      <c r="BH588" s="176"/>
      <c r="BI588" s="176"/>
      <c r="BJ588" s="176"/>
    </row>
    <row r="589" spans="2:62" x14ac:dyDescent="0.3">
      <c r="B589" s="3"/>
      <c r="C589" s="2"/>
      <c r="D589" s="2"/>
      <c r="E589" s="3"/>
      <c r="O589" s="176"/>
      <c r="P589" s="176"/>
      <c r="Q589" s="176"/>
      <c r="R589" s="176"/>
      <c r="S589" s="176"/>
      <c r="T589" s="176"/>
      <c r="U589" s="176"/>
      <c r="V589" s="176"/>
      <c r="W589" s="176"/>
      <c r="X589" s="176"/>
      <c r="Y589" s="176"/>
      <c r="Z589" s="176"/>
      <c r="AA589" s="176"/>
      <c r="AB589" s="176"/>
      <c r="AC589" s="176"/>
      <c r="AD589" s="176"/>
      <c r="AE589" s="176"/>
      <c r="AF589" s="176"/>
      <c r="AG589" s="176"/>
      <c r="AH589" s="176"/>
      <c r="AI589" s="176"/>
      <c r="AJ589" s="176"/>
      <c r="AK589" s="176"/>
      <c r="AL589" s="176"/>
      <c r="AM589" s="176"/>
      <c r="AN589" s="176"/>
      <c r="AO589" s="176"/>
      <c r="AP589" s="176"/>
      <c r="AQ589" s="176"/>
      <c r="AR589" s="176"/>
      <c r="AS589" s="176"/>
      <c r="AT589" s="176"/>
      <c r="AU589" s="176"/>
      <c r="AV589" s="176"/>
      <c r="AW589" s="176"/>
      <c r="AX589" s="176"/>
      <c r="AY589" s="176"/>
      <c r="AZ589" s="176"/>
      <c r="BA589" s="176"/>
      <c r="BB589" s="176"/>
      <c r="BC589" s="176"/>
      <c r="BD589" s="176"/>
      <c r="BE589" s="176"/>
      <c r="BF589" s="176"/>
      <c r="BG589" s="176"/>
      <c r="BH589" s="176"/>
      <c r="BI589" s="176"/>
      <c r="BJ589" s="176"/>
    </row>
    <row r="590" spans="2:62" x14ac:dyDescent="0.3">
      <c r="B590" s="3"/>
      <c r="C590" s="2"/>
      <c r="D590" s="2"/>
      <c r="E590" s="3"/>
      <c r="O590" s="176"/>
      <c r="P590" s="176"/>
      <c r="Q590" s="176"/>
      <c r="R590" s="176"/>
      <c r="S590" s="176"/>
      <c r="T590" s="176"/>
      <c r="U590" s="176"/>
      <c r="V590" s="176"/>
      <c r="W590" s="176"/>
      <c r="X590" s="176"/>
      <c r="Y590" s="176"/>
      <c r="Z590" s="176"/>
      <c r="AA590" s="176"/>
      <c r="AB590" s="176"/>
      <c r="AC590" s="176"/>
      <c r="AD590" s="176"/>
      <c r="AE590" s="176"/>
      <c r="AF590" s="176"/>
      <c r="AG590" s="176"/>
      <c r="AH590" s="176"/>
      <c r="AI590" s="176"/>
      <c r="AJ590" s="176"/>
      <c r="AK590" s="176"/>
      <c r="AL590" s="176"/>
      <c r="AM590" s="176"/>
      <c r="AN590" s="176"/>
      <c r="AO590" s="176"/>
      <c r="AP590" s="176"/>
      <c r="AQ590" s="176"/>
      <c r="AR590" s="176"/>
      <c r="AS590" s="176"/>
      <c r="AT590" s="176"/>
      <c r="AU590" s="176"/>
      <c r="AV590" s="176"/>
      <c r="AW590" s="176"/>
      <c r="AX590" s="176"/>
      <c r="AY590" s="176"/>
      <c r="AZ590" s="176"/>
      <c r="BA590" s="176"/>
      <c r="BB590" s="176"/>
      <c r="BC590" s="176"/>
      <c r="BD590" s="176"/>
      <c r="BE590" s="176"/>
      <c r="BF590" s="176"/>
      <c r="BG590" s="176"/>
      <c r="BH590" s="176"/>
      <c r="BI590" s="176"/>
      <c r="BJ590" s="176"/>
    </row>
    <row r="591" spans="2:62" x14ac:dyDescent="0.3">
      <c r="B591" s="3"/>
      <c r="C591" s="2"/>
      <c r="D591" s="2"/>
      <c r="E591" s="3"/>
      <c r="O591" s="176"/>
      <c r="P591" s="176"/>
      <c r="Q591" s="176"/>
      <c r="R591" s="176"/>
      <c r="S591" s="176"/>
      <c r="T591" s="176"/>
      <c r="U591" s="176"/>
      <c r="V591" s="176"/>
      <c r="W591" s="176"/>
      <c r="X591" s="176"/>
      <c r="Y591" s="176"/>
      <c r="Z591" s="176"/>
      <c r="AA591" s="176"/>
      <c r="AB591" s="176"/>
      <c r="AC591" s="176"/>
      <c r="AD591" s="176"/>
      <c r="AE591" s="176"/>
      <c r="AF591" s="176"/>
      <c r="AG591" s="176"/>
      <c r="AH591" s="176"/>
      <c r="AI591" s="176"/>
      <c r="AJ591" s="176"/>
      <c r="AK591" s="176"/>
      <c r="AL591" s="176"/>
      <c r="AM591" s="176"/>
      <c r="AN591" s="176"/>
      <c r="AO591" s="176"/>
      <c r="AP591" s="176"/>
      <c r="AQ591" s="176"/>
      <c r="AR591" s="176"/>
      <c r="AS591" s="176"/>
      <c r="AT591" s="176"/>
      <c r="AU591" s="176"/>
      <c r="AV591" s="176"/>
      <c r="AW591" s="176"/>
      <c r="AX591" s="176"/>
      <c r="AY591" s="176"/>
      <c r="AZ591" s="176"/>
      <c r="BA591" s="176"/>
      <c r="BB591" s="176"/>
      <c r="BC591" s="176"/>
      <c r="BD591" s="176"/>
      <c r="BE591" s="176"/>
      <c r="BF591" s="176"/>
      <c r="BG591" s="176"/>
      <c r="BH591" s="176"/>
      <c r="BI591" s="176"/>
      <c r="BJ591" s="176"/>
    </row>
    <row r="592" spans="2:62" x14ac:dyDescent="0.3">
      <c r="B592" s="3"/>
      <c r="C592" s="2"/>
      <c r="D592" s="2"/>
      <c r="E592" s="3"/>
      <c r="O592" s="176"/>
      <c r="P592" s="176"/>
      <c r="Q592" s="176"/>
      <c r="R592" s="176"/>
      <c r="S592" s="176"/>
      <c r="T592" s="176"/>
      <c r="U592" s="176"/>
      <c r="V592" s="176"/>
      <c r="W592" s="176"/>
      <c r="X592" s="176"/>
      <c r="Y592" s="176"/>
      <c r="Z592" s="176"/>
      <c r="AA592" s="176"/>
      <c r="AB592" s="176"/>
      <c r="AC592" s="176"/>
      <c r="AD592" s="176"/>
      <c r="AE592" s="176"/>
      <c r="AF592" s="176"/>
      <c r="AG592" s="176"/>
      <c r="AH592" s="176"/>
      <c r="AI592" s="176"/>
      <c r="AJ592" s="176"/>
      <c r="AK592" s="176"/>
      <c r="AL592" s="176"/>
      <c r="AM592" s="176"/>
      <c r="AN592" s="176"/>
      <c r="AO592" s="176"/>
      <c r="AP592" s="176"/>
      <c r="AQ592" s="176"/>
      <c r="AR592" s="176"/>
      <c r="AS592" s="176"/>
      <c r="AT592" s="176"/>
      <c r="AU592" s="176"/>
      <c r="AV592" s="176"/>
      <c r="AW592" s="176"/>
      <c r="AX592" s="176"/>
      <c r="AY592" s="176"/>
      <c r="AZ592" s="176"/>
      <c r="BA592" s="176"/>
      <c r="BB592" s="176"/>
      <c r="BC592" s="176"/>
      <c r="BD592" s="176"/>
      <c r="BE592" s="176"/>
      <c r="BF592" s="176"/>
      <c r="BG592" s="176"/>
      <c r="BH592" s="176"/>
      <c r="BI592" s="176"/>
      <c r="BJ592" s="176"/>
    </row>
    <row r="593" spans="2:62" x14ac:dyDescent="0.3">
      <c r="B593" s="3"/>
      <c r="C593" s="2"/>
      <c r="D593" s="2"/>
      <c r="E593" s="3"/>
      <c r="O593" s="176"/>
      <c r="P593" s="176"/>
      <c r="Q593" s="176"/>
      <c r="R593" s="176"/>
      <c r="S593" s="176"/>
      <c r="T593" s="176"/>
      <c r="U593" s="176"/>
      <c r="V593" s="176"/>
      <c r="W593" s="176"/>
      <c r="X593" s="176"/>
      <c r="Y593" s="176"/>
      <c r="Z593" s="176"/>
      <c r="AA593" s="176"/>
      <c r="AB593" s="176"/>
      <c r="AC593" s="176"/>
      <c r="AD593" s="176"/>
      <c r="AE593" s="176"/>
      <c r="AF593" s="176"/>
      <c r="AG593" s="176"/>
      <c r="AH593" s="176"/>
      <c r="AI593" s="176"/>
      <c r="AJ593" s="176"/>
      <c r="AK593" s="176"/>
      <c r="AL593" s="176"/>
      <c r="AM593" s="176"/>
      <c r="AN593" s="176"/>
      <c r="AO593" s="176"/>
      <c r="AP593" s="176"/>
      <c r="AQ593" s="176"/>
      <c r="AR593" s="176"/>
      <c r="AS593" s="176"/>
      <c r="AT593" s="176"/>
      <c r="AU593" s="176"/>
      <c r="AV593" s="176"/>
      <c r="AW593" s="176"/>
      <c r="AX593" s="176"/>
      <c r="AY593" s="176"/>
      <c r="AZ593" s="176"/>
      <c r="BA593" s="176"/>
      <c r="BB593" s="176"/>
      <c r="BC593" s="176"/>
      <c r="BD593" s="176"/>
      <c r="BE593" s="176"/>
      <c r="BF593" s="176"/>
      <c r="BG593" s="176"/>
      <c r="BH593" s="176"/>
      <c r="BI593" s="176"/>
      <c r="BJ593" s="176"/>
    </row>
    <row r="594" spans="2:62" x14ac:dyDescent="0.3">
      <c r="B594" s="3"/>
      <c r="C594" s="2"/>
      <c r="D594" s="2"/>
      <c r="E594" s="3"/>
      <c r="O594" s="176"/>
      <c r="P594" s="176"/>
      <c r="Q594" s="176"/>
      <c r="R594" s="176"/>
      <c r="S594" s="176"/>
      <c r="T594" s="176"/>
      <c r="U594" s="176"/>
      <c r="V594" s="176"/>
      <c r="W594" s="176"/>
      <c r="X594" s="176"/>
      <c r="Y594" s="176"/>
      <c r="Z594" s="176"/>
      <c r="AA594" s="176"/>
      <c r="AB594" s="176"/>
      <c r="AC594" s="176"/>
      <c r="AD594" s="176"/>
      <c r="AE594" s="176"/>
      <c r="AF594" s="176"/>
      <c r="AG594" s="176"/>
      <c r="AH594" s="176"/>
      <c r="AI594" s="176"/>
      <c r="AJ594" s="176"/>
      <c r="AK594" s="176"/>
      <c r="AL594" s="176"/>
      <c r="AM594" s="176"/>
      <c r="AN594" s="176"/>
      <c r="AO594" s="176"/>
      <c r="AP594" s="176"/>
      <c r="AQ594" s="176"/>
      <c r="AR594" s="176"/>
      <c r="AS594" s="176"/>
      <c r="AT594" s="176"/>
      <c r="AU594" s="176"/>
      <c r="AV594" s="176"/>
      <c r="AW594" s="176"/>
      <c r="AX594" s="176"/>
      <c r="AY594" s="176"/>
      <c r="AZ594" s="176"/>
      <c r="BA594" s="176"/>
      <c r="BB594" s="176"/>
      <c r="BC594" s="176"/>
      <c r="BD594" s="176"/>
      <c r="BE594" s="176"/>
      <c r="BF594" s="176"/>
      <c r="BG594" s="176"/>
      <c r="BH594" s="176"/>
      <c r="BI594" s="176"/>
      <c r="BJ594" s="176"/>
    </row>
    <row r="595" spans="2:62" x14ac:dyDescent="0.3">
      <c r="B595" s="3"/>
      <c r="C595" s="2"/>
      <c r="D595" s="2"/>
      <c r="E595" s="3"/>
      <c r="O595" s="176"/>
      <c r="P595" s="176"/>
      <c r="Q595" s="176"/>
      <c r="R595" s="176"/>
      <c r="S595" s="176"/>
      <c r="T595" s="176"/>
      <c r="U595" s="176"/>
      <c r="V595" s="176"/>
      <c r="W595" s="176"/>
      <c r="X595" s="176"/>
      <c r="Y595" s="176"/>
      <c r="Z595" s="176"/>
      <c r="AA595" s="176"/>
      <c r="AB595" s="176"/>
      <c r="AC595" s="176"/>
      <c r="AD595" s="176"/>
      <c r="AE595" s="176"/>
      <c r="AF595" s="176"/>
      <c r="AG595" s="176"/>
      <c r="AH595" s="176"/>
      <c r="AI595" s="176"/>
      <c r="AJ595" s="176"/>
      <c r="AK595" s="176"/>
      <c r="AL595" s="176"/>
      <c r="AM595" s="176"/>
      <c r="AN595" s="176"/>
      <c r="AO595" s="176"/>
      <c r="AP595" s="176"/>
      <c r="AQ595" s="176"/>
      <c r="AR595" s="176"/>
      <c r="AS595" s="176"/>
      <c r="AT595" s="176"/>
      <c r="AU595" s="176"/>
      <c r="AV595" s="176"/>
      <c r="AW595" s="176"/>
      <c r="AX595" s="176"/>
      <c r="AY595" s="176"/>
      <c r="AZ595" s="176"/>
      <c r="BA595" s="176"/>
      <c r="BB595" s="176"/>
      <c r="BC595" s="176"/>
      <c r="BD595" s="176"/>
      <c r="BE595" s="176"/>
      <c r="BF595" s="176"/>
      <c r="BG595" s="176"/>
      <c r="BH595" s="176"/>
      <c r="BI595" s="176"/>
      <c r="BJ595" s="176"/>
    </row>
    <row r="596" spans="2:62" x14ac:dyDescent="0.3">
      <c r="B596" s="3"/>
      <c r="C596" s="2"/>
      <c r="D596" s="2"/>
      <c r="E596" s="3"/>
      <c r="O596" s="176"/>
      <c r="P596" s="176"/>
      <c r="Q596" s="176"/>
      <c r="R596" s="176"/>
      <c r="S596" s="176"/>
      <c r="T596" s="176"/>
      <c r="U596" s="176"/>
      <c r="V596" s="176"/>
      <c r="W596" s="176"/>
      <c r="X596" s="176"/>
      <c r="Y596" s="176"/>
      <c r="Z596" s="176"/>
      <c r="AA596" s="176"/>
      <c r="AB596" s="176"/>
      <c r="AC596" s="176"/>
      <c r="AD596" s="176"/>
      <c r="AE596" s="176"/>
      <c r="AF596" s="176"/>
      <c r="AG596" s="176"/>
      <c r="AH596" s="176"/>
      <c r="AI596" s="176"/>
      <c r="AJ596" s="176"/>
      <c r="AK596" s="176"/>
      <c r="AL596" s="176"/>
      <c r="AM596" s="176"/>
      <c r="AN596" s="176"/>
      <c r="AO596" s="176"/>
      <c r="AP596" s="176"/>
      <c r="AQ596" s="176"/>
      <c r="AR596" s="176"/>
      <c r="AS596" s="176"/>
      <c r="AT596" s="176"/>
      <c r="AU596" s="176"/>
      <c r="AV596" s="176"/>
      <c r="AW596" s="176"/>
      <c r="AX596" s="176"/>
      <c r="AY596" s="176"/>
      <c r="AZ596" s="176"/>
      <c r="BA596" s="176"/>
      <c r="BB596" s="176"/>
      <c r="BC596" s="176"/>
      <c r="BD596" s="176"/>
      <c r="BE596" s="176"/>
      <c r="BF596" s="176"/>
      <c r="BG596" s="176"/>
      <c r="BH596" s="176"/>
      <c r="BI596" s="176"/>
      <c r="BJ596" s="176"/>
    </row>
    <row r="597" spans="2:62" x14ac:dyDescent="0.3">
      <c r="B597" s="3"/>
      <c r="C597" s="2"/>
      <c r="D597" s="2"/>
      <c r="E597" s="3"/>
      <c r="O597" s="176"/>
      <c r="P597" s="176"/>
      <c r="Q597" s="176"/>
      <c r="R597" s="176"/>
      <c r="S597" s="176"/>
      <c r="T597" s="176"/>
      <c r="U597" s="176"/>
      <c r="V597" s="176"/>
      <c r="W597" s="176"/>
      <c r="X597" s="176"/>
      <c r="Y597" s="176"/>
      <c r="Z597" s="176"/>
      <c r="AA597" s="176"/>
      <c r="AB597" s="176"/>
      <c r="AC597" s="176"/>
      <c r="AD597" s="176"/>
      <c r="AE597" s="176"/>
      <c r="AF597" s="176"/>
      <c r="AG597" s="176"/>
      <c r="AH597" s="176"/>
      <c r="AI597" s="176"/>
      <c r="AJ597" s="176"/>
      <c r="AK597" s="176"/>
      <c r="AL597" s="176"/>
      <c r="AM597" s="176"/>
      <c r="AN597" s="176"/>
      <c r="AO597" s="176"/>
      <c r="AP597" s="176"/>
      <c r="AQ597" s="176"/>
      <c r="AR597" s="176"/>
      <c r="AS597" s="176"/>
      <c r="AT597" s="176"/>
      <c r="AU597" s="176"/>
      <c r="AV597" s="176"/>
      <c r="AW597" s="176"/>
      <c r="AX597" s="176"/>
      <c r="AY597" s="176"/>
      <c r="AZ597" s="176"/>
      <c r="BA597" s="176"/>
      <c r="BB597" s="176"/>
      <c r="BC597" s="176"/>
      <c r="BD597" s="176"/>
      <c r="BE597" s="176"/>
      <c r="BF597" s="176"/>
      <c r="BG597" s="176"/>
      <c r="BH597" s="176"/>
      <c r="BI597" s="176"/>
      <c r="BJ597" s="176"/>
    </row>
    <row r="598" spans="2:62" x14ac:dyDescent="0.3">
      <c r="B598" s="3"/>
      <c r="C598" s="2"/>
      <c r="D598" s="2"/>
      <c r="E598" s="3"/>
      <c r="O598" s="176"/>
      <c r="P598" s="176"/>
      <c r="Q598" s="176"/>
      <c r="R598" s="176"/>
      <c r="S598" s="176"/>
      <c r="T598" s="176"/>
      <c r="U598" s="176"/>
      <c r="V598" s="176"/>
      <c r="W598" s="176"/>
      <c r="X598" s="176"/>
      <c r="Y598" s="176"/>
      <c r="Z598" s="176"/>
      <c r="AA598" s="176"/>
      <c r="AB598" s="176"/>
      <c r="AC598" s="176"/>
      <c r="AD598" s="176"/>
      <c r="AE598" s="176"/>
      <c r="AF598" s="176"/>
      <c r="AG598" s="176"/>
      <c r="AH598" s="176"/>
      <c r="AI598" s="176"/>
      <c r="AJ598" s="176"/>
      <c r="AK598" s="176"/>
      <c r="AL598" s="176"/>
      <c r="AM598" s="176"/>
      <c r="AN598" s="176"/>
      <c r="AO598" s="176"/>
      <c r="AP598" s="176"/>
      <c r="AQ598" s="176"/>
      <c r="AR598" s="176"/>
      <c r="AS598" s="176"/>
      <c r="AT598" s="176"/>
      <c r="AU598" s="176"/>
      <c r="AV598" s="176"/>
      <c r="AW598" s="176"/>
      <c r="AX598" s="176"/>
      <c r="AY598" s="176"/>
      <c r="AZ598" s="176"/>
      <c r="BA598" s="176"/>
      <c r="BB598" s="176"/>
      <c r="BC598" s="176"/>
      <c r="BD598" s="176"/>
      <c r="BE598" s="176"/>
      <c r="BF598" s="176"/>
      <c r="BG598" s="176"/>
      <c r="BH598" s="176"/>
      <c r="BI598" s="176"/>
      <c r="BJ598" s="176"/>
    </row>
    <row r="599" spans="2:62" x14ac:dyDescent="0.3">
      <c r="B599" s="3"/>
      <c r="C599" s="2"/>
      <c r="D599" s="2"/>
      <c r="E599" s="3"/>
      <c r="O599" s="176"/>
      <c r="P599" s="176"/>
      <c r="Q599" s="176"/>
      <c r="R599" s="176"/>
      <c r="S599" s="176"/>
      <c r="T599" s="176"/>
      <c r="U599" s="176"/>
      <c r="V599" s="176"/>
      <c r="W599" s="176"/>
      <c r="X599" s="176"/>
      <c r="Y599" s="176"/>
      <c r="Z599" s="176"/>
      <c r="AA599" s="176"/>
      <c r="AB599" s="176"/>
      <c r="AC599" s="176"/>
      <c r="AD599" s="176"/>
      <c r="AE599" s="176"/>
      <c r="AF599" s="176"/>
      <c r="AG599" s="176"/>
      <c r="AH599" s="176"/>
      <c r="AI599" s="176"/>
      <c r="AJ599" s="176"/>
      <c r="AK599" s="176"/>
      <c r="AL599" s="176"/>
      <c r="AM599" s="176"/>
      <c r="AN599" s="176"/>
      <c r="AO599" s="176"/>
      <c r="AP599" s="176"/>
      <c r="AQ599" s="176"/>
      <c r="AR599" s="176"/>
      <c r="AS599" s="176"/>
      <c r="AT599" s="176"/>
      <c r="AU599" s="176"/>
      <c r="AV599" s="176"/>
      <c r="AW599" s="176"/>
      <c r="AX599" s="176"/>
      <c r="AY599" s="176"/>
      <c r="AZ599" s="176"/>
      <c r="BA599" s="176"/>
      <c r="BB599" s="176"/>
      <c r="BC599" s="176"/>
      <c r="BD599" s="176"/>
      <c r="BE599" s="176"/>
      <c r="BF599" s="176"/>
      <c r="BG599" s="176"/>
      <c r="BH599" s="176"/>
      <c r="BI599" s="176"/>
      <c r="BJ599" s="176"/>
    </row>
    <row r="600" spans="2:62" x14ac:dyDescent="0.3">
      <c r="B600" s="3"/>
      <c r="C600" s="2"/>
      <c r="D600" s="2"/>
      <c r="E600" s="3"/>
      <c r="O600" s="176"/>
      <c r="P600" s="176"/>
      <c r="Q600" s="176"/>
      <c r="R600" s="176"/>
      <c r="S600" s="176"/>
      <c r="T600" s="176"/>
      <c r="U600" s="176"/>
      <c r="V600" s="176"/>
      <c r="W600" s="176"/>
      <c r="X600" s="176"/>
      <c r="Y600" s="176"/>
      <c r="Z600" s="176"/>
      <c r="AA600" s="176"/>
      <c r="AB600" s="176"/>
      <c r="AC600" s="176"/>
      <c r="AD600" s="176"/>
      <c r="AE600" s="176"/>
      <c r="AF600" s="176"/>
      <c r="AG600" s="176"/>
      <c r="AH600" s="176"/>
      <c r="AI600" s="176"/>
      <c r="AJ600" s="176"/>
      <c r="AK600" s="176"/>
      <c r="AL600" s="176"/>
      <c r="AM600" s="176"/>
      <c r="AN600" s="176"/>
      <c r="AO600" s="176"/>
      <c r="AP600" s="176"/>
      <c r="AQ600" s="176"/>
      <c r="AR600" s="176"/>
      <c r="AS600" s="176"/>
      <c r="AT600" s="176"/>
      <c r="AU600" s="176"/>
      <c r="AV600" s="176"/>
      <c r="AW600" s="176"/>
      <c r="AX600" s="176"/>
      <c r="AY600" s="176"/>
      <c r="AZ600" s="176"/>
      <c r="BA600" s="176"/>
      <c r="BB600" s="176"/>
      <c r="BC600" s="176"/>
      <c r="BD600" s="176"/>
      <c r="BE600" s="176"/>
      <c r="BF600" s="176"/>
      <c r="BG600" s="176"/>
      <c r="BH600" s="176"/>
      <c r="BI600" s="176"/>
      <c r="BJ600" s="176"/>
    </row>
    <row r="601" spans="2:62" x14ac:dyDescent="0.3">
      <c r="B601" s="3"/>
      <c r="C601" s="2"/>
      <c r="D601" s="2"/>
      <c r="E601" s="3"/>
      <c r="O601" s="176"/>
      <c r="P601" s="176"/>
      <c r="Q601" s="176"/>
      <c r="R601" s="176"/>
      <c r="S601" s="176"/>
      <c r="T601" s="176"/>
      <c r="U601" s="176"/>
      <c r="V601" s="176"/>
      <c r="W601" s="176"/>
      <c r="X601" s="176"/>
      <c r="Y601" s="176"/>
      <c r="Z601" s="176"/>
      <c r="AA601" s="176"/>
      <c r="AB601" s="176"/>
      <c r="AC601" s="176"/>
      <c r="AD601" s="176"/>
      <c r="AE601" s="176"/>
      <c r="AF601" s="176"/>
      <c r="AG601" s="176"/>
      <c r="AH601" s="176"/>
      <c r="AI601" s="176"/>
      <c r="AJ601" s="176"/>
      <c r="AK601" s="176"/>
      <c r="AL601" s="176"/>
      <c r="AM601" s="176"/>
      <c r="AN601" s="176"/>
      <c r="AO601" s="176"/>
      <c r="AP601" s="176"/>
      <c r="AQ601" s="176"/>
      <c r="AR601" s="176"/>
      <c r="AS601" s="176"/>
      <c r="AT601" s="176"/>
      <c r="AU601" s="176"/>
      <c r="AV601" s="176"/>
      <c r="AW601" s="176"/>
      <c r="AX601" s="176"/>
      <c r="AY601" s="176"/>
      <c r="AZ601" s="176"/>
      <c r="BA601" s="176"/>
      <c r="BB601" s="176"/>
      <c r="BC601" s="176"/>
      <c r="BD601" s="176"/>
      <c r="BE601" s="176"/>
      <c r="BF601" s="176"/>
      <c r="BG601" s="176"/>
      <c r="BH601" s="176"/>
      <c r="BI601" s="176"/>
      <c r="BJ601" s="176"/>
    </row>
    <row r="602" spans="2:62" x14ac:dyDescent="0.3">
      <c r="B602" s="3"/>
      <c r="C602" s="2"/>
      <c r="D602" s="2"/>
      <c r="E602" s="3"/>
      <c r="O602" s="176"/>
      <c r="P602" s="176"/>
      <c r="Q602" s="176"/>
      <c r="R602" s="176"/>
      <c r="S602" s="176"/>
      <c r="T602" s="176"/>
      <c r="U602" s="176"/>
      <c r="V602" s="176"/>
      <c r="W602" s="176"/>
      <c r="X602" s="176"/>
      <c r="Y602" s="176"/>
      <c r="Z602" s="176"/>
      <c r="AA602" s="176"/>
      <c r="AB602" s="176"/>
      <c r="AC602" s="176"/>
      <c r="AD602" s="176"/>
      <c r="AE602" s="176"/>
      <c r="AF602" s="176"/>
      <c r="AG602" s="176"/>
      <c r="AH602" s="176"/>
      <c r="AI602" s="176"/>
      <c r="AJ602" s="176"/>
      <c r="AK602" s="176"/>
      <c r="AL602" s="176"/>
      <c r="AM602" s="176"/>
      <c r="AN602" s="176"/>
      <c r="AO602" s="176"/>
      <c r="AP602" s="176"/>
      <c r="AQ602" s="176"/>
      <c r="AR602" s="176"/>
      <c r="AS602" s="176"/>
      <c r="AT602" s="176"/>
      <c r="AU602" s="176"/>
      <c r="AV602" s="176"/>
      <c r="AW602" s="176"/>
      <c r="AX602" s="176"/>
      <c r="AY602" s="176"/>
      <c r="AZ602" s="176"/>
      <c r="BA602" s="176"/>
      <c r="BB602" s="176"/>
      <c r="BC602" s="176"/>
      <c r="BD602" s="176"/>
      <c r="BE602" s="176"/>
      <c r="BF602" s="176"/>
      <c r="BG602" s="176"/>
      <c r="BH602" s="176"/>
      <c r="BI602" s="176"/>
      <c r="BJ602" s="176"/>
    </row>
    <row r="603" spans="2:62" x14ac:dyDescent="0.3">
      <c r="B603" s="3"/>
      <c r="C603" s="2"/>
      <c r="D603" s="2"/>
      <c r="E603" s="3"/>
      <c r="O603" s="176"/>
      <c r="P603" s="176"/>
      <c r="Q603" s="176"/>
      <c r="R603" s="176"/>
      <c r="S603" s="176"/>
      <c r="T603" s="176"/>
      <c r="U603" s="176"/>
      <c r="V603" s="176"/>
      <c r="W603" s="176"/>
      <c r="X603" s="176"/>
      <c r="Y603" s="176"/>
      <c r="Z603" s="176"/>
      <c r="AA603" s="176"/>
      <c r="AB603" s="176"/>
      <c r="AC603" s="176"/>
      <c r="AD603" s="176"/>
      <c r="AE603" s="176"/>
      <c r="AF603" s="176"/>
      <c r="AG603" s="176"/>
      <c r="AH603" s="176"/>
      <c r="AI603" s="176"/>
      <c r="AJ603" s="176"/>
      <c r="AK603" s="176"/>
      <c r="AL603" s="176"/>
      <c r="AM603" s="176"/>
      <c r="AN603" s="176"/>
      <c r="AO603" s="176"/>
      <c r="AP603" s="176"/>
      <c r="AQ603" s="176"/>
      <c r="AR603" s="176"/>
      <c r="AS603" s="176"/>
      <c r="AT603" s="176"/>
      <c r="AU603" s="176"/>
      <c r="AV603" s="176"/>
      <c r="AW603" s="176"/>
      <c r="AX603" s="176"/>
      <c r="AY603" s="176"/>
      <c r="AZ603" s="176"/>
      <c r="BA603" s="176"/>
      <c r="BB603" s="176"/>
      <c r="BC603" s="176"/>
      <c r="BD603" s="176"/>
      <c r="BE603" s="176"/>
      <c r="BF603" s="176"/>
      <c r="BG603" s="176"/>
      <c r="BH603" s="176"/>
      <c r="BI603" s="176"/>
      <c r="BJ603" s="176"/>
    </row>
    <row r="604" spans="2:62" x14ac:dyDescent="0.3">
      <c r="B604" s="3"/>
      <c r="C604" s="2"/>
      <c r="D604" s="2"/>
      <c r="E604" s="3"/>
      <c r="O604" s="176"/>
      <c r="P604" s="176"/>
      <c r="Q604" s="176"/>
      <c r="R604" s="176"/>
      <c r="S604" s="176"/>
      <c r="T604" s="176"/>
      <c r="U604" s="176"/>
      <c r="V604" s="176"/>
      <c r="W604" s="176"/>
      <c r="X604" s="176"/>
      <c r="Y604" s="176"/>
      <c r="Z604" s="176"/>
      <c r="AA604" s="176"/>
      <c r="AB604" s="176"/>
      <c r="AC604" s="176"/>
      <c r="AD604" s="176"/>
      <c r="AE604" s="176"/>
      <c r="AF604" s="176"/>
      <c r="AG604" s="176"/>
      <c r="AH604" s="176"/>
      <c r="AI604" s="176"/>
      <c r="AJ604" s="176"/>
      <c r="AK604" s="176"/>
      <c r="AL604" s="176"/>
      <c r="AM604" s="176"/>
      <c r="AN604" s="176"/>
      <c r="AO604" s="176"/>
      <c r="AP604" s="176"/>
      <c r="AQ604" s="176"/>
      <c r="AR604" s="176"/>
      <c r="AS604" s="176"/>
      <c r="AT604" s="176"/>
      <c r="AU604" s="176"/>
      <c r="AV604" s="176"/>
      <c r="AW604" s="176"/>
      <c r="AX604" s="176"/>
      <c r="AY604" s="176"/>
      <c r="AZ604" s="176"/>
      <c r="BA604" s="176"/>
      <c r="BB604" s="176"/>
      <c r="BC604" s="176"/>
      <c r="BD604" s="176"/>
      <c r="BE604" s="176"/>
      <c r="BF604" s="176"/>
      <c r="BG604" s="176"/>
      <c r="BH604" s="176"/>
      <c r="BI604" s="176"/>
      <c r="BJ604" s="176"/>
    </row>
    <row r="605" spans="2:62" x14ac:dyDescent="0.3">
      <c r="B605" s="3"/>
      <c r="C605" s="2"/>
      <c r="D605" s="2"/>
      <c r="E605" s="3"/>
      <c r="O605" s="176"/>
      <c r="P605" s="176"/>
      <c r="Q605" s="176"/>
      <c r="R605" s="176"/>
      <c r="S605" s="176"/>
      <c r="T605" s="176"/>
      <c r="U605" s="176"/>
      <c r="V605" s="176"/>
      <c r="W605" s="176"/>
      <c r="X605" s="176"/>
      <c r="Y605" s="176"/>
      <c r="Z605" s="176"/>
      <c r="AA605" s="176"/>
      <c r="AB605" s="176"/>
      <c r="AC605" s="176"/>
      <c r="AD605" s="176"/>
      <c r="AE605" s="176"/>
      <c r="AF605" s="176"/>
      <c r="AG605" s="176"/>
      <c r="AH605" s="176"/>
      <c r="AI605" s="176"/>
      <c r="AJ605" s="176"/>
      <c r="AK605" s="176"/>
      <c r="AL605" s="176"/>
      <c r="AM605" s="176"/>
      <c r="AN605" s="176"/>
      <c r="AO605" s="176"/>
      <c r="AP605" s="176"/>
      <c r="AQ605" s="176"/>
      <c r="AR605" s="176"/>
      <c r="AS605" s="176"/>
      <c r="AT605" s="176"/>
      <c r="AU605" s="176"/>
      <c r="AV605" s="176"/>
      <c r="AW605" s="176"/>
      <c r="AX605" s="176"/>
      <c r="AY605" s="176"/>
      <c r="AZ605" s="176"/>
      <c r="BA605" s="176"/>
      <c r="BB605" s="176"/>
      <c r="BC605" s="176"/>
      <c r="BD605" s="176"/>
      <c r="BE605" s="176"/>
      <c r="BF605" s="176"/>
      <c r="BG605" s="176"/>
      <c r="BH605" s="176"/>
      <c r="BI605" s="176"/>
      <c r="BJ605" s="176"/>
    </row>
    <row r="606" spans="2:62" x14ac:dyDescent="0.3">
      <c r="B606" s="3"/>
      <c r="C606" s="2"/>
      <c r="D606" s="2"/>
      <c r="E606" s="3"/>
      <c r="O606" s="176"/>
      <c r="P606" s="176"/>
      <c r="Q606" s="176"/>
      <c r="R606" s="176"/>
      <c r="S606" s="176"/>
      <c r="T606" s="176"/>
      <c r="U606" s="176"/>
      <c r="V606" s="176"/>
      <c r="W606" s="176"/>
      <c r="X606" s="176"/>
      <c r="Y606" s="176"/>
      <c r="Z606" s="176"/>
      <c r="AA606" s="176"/>
      <c r="AB606" s="176"/>
      <c r="AC606" s="176"/>
      <c r="AD606" s="176"/>
      <c r="AE606" s="176"/>
      <c r="AF606" s="176"/>
      <c r="AG606" s="176"/>
      <c r="AH606" s="176"/>
      <c r="AI606" s="176"/>
      <c r="AJ606" s="176"/>
      <c r="AK606" s="176"/>
      <c r="AL606" s="176"/>
      <c r="AM606" s="176"/>
      <c r="AN606" s="176"/>
      <c r="AO606" s="176"/>
      <c r="AP606" s="176"/>
      <c r="AQ606" s="176"/>
      <c r="AR606" s="176"/>
      <c r="AS606" s="176"/>
      <c r="AT606" s="176"/>
      <c r="AU606" s="176"/>
      <c r="AV606" s="176"/>
      <c r="AW606" s="176"/>
      <c r="AX606" s="176"/>
      <c r="AY606" s="176"/>
      <c r="AZ606" s="176"/>
      <c r="BA606" s="176"/>
      <c r="BB606" s="176"/>
      <c r="BC606" s="176"/>
      <c r="BD606" s="176"/>
      <c r="BE606" s="176"/>
      <c r="BF606" s="176"/>
      <c r="BG606" s="176"/>
      <c r="BH606" s="176"/>
      <c r="BI606" s="176"/>
      <c r="BJ606" s="176"/>
    </row>
    <row r="607" spans="2:62" x14ac:dyDescent="0.3">
      <c r="B607" s="3"/>
      <c r="C607" s="2"/>
      <c r="D607" s="2"/>
      <c r="E607" s="3"/>
      <c r="O607" s="176"/>
      <c r="P607" s="176"/>
      <c r="Q607" s="176"/>
      <c r="R607" s="176"/>
      <c r="S607" s="176"/>
      <c r="T607" s="176"/>
      <c r="U607" s="176"/>
      <c r="V607" s="176"/>
      <c r="W607" s="176"/>
      <c r="X607" s="176"/>
      <c r="Y607" s="176"/>
      <c r="Z607" s="176"/>
      <c r="AA607" s="176"/>
      <c r="AB607" s="176"/>
      <c r="AC607" s="176"/>
      <c r="AD607" s="176"/>
      <c r="AE607" s="176"/>
      <c r="AF607" s="176"/>
      <c r="AG607" s="176"/>
      <c r="AH607" s="176"/>
      <c r="AI607" s="176"/>
      <c r="AJ607" s="176"/>
      <c r="AK607" s="176"/>
      <c r="AL607" s="176"/>
      <c r="AM607" s="176"/>
      <c r="AN607" s="176"/>
      <c r="AO607" s="176"/>
      <c r="AP607" s="176"/>
      <c r="AQ607" s="176"/>
      <c r="AR607" s="176"/>
      <c r="AS607" s="176"/>
      <c r="AT607" s="176"/>
      <c r="AU607" s="176"/>
      <c r="AV607" s="176"/>
      <c r="AW607" s="176"/>
      <c r="AX607" s="176"/>
      <c r="AY607" s="176"/>
      <c r="AZ607" s="176"/>
      <c r="BA607" s="176"/>
      <c r="BB607" s="176"/>
      <c r="BC607" s="176"/>
      <c r="BD607" s="176"/>
      <c r="BE607" s="176"/>
      <c r="BF607" s="176"/>
      <c r="BG607" s="176"/>
      <c r="BH607" s="176"/>
      <c r="BI607" s="176"/>
      <c r="BJ607" s="176"/>
    </row>
    <row r="608" spans="2:62" x14ac:dyDescent="0.3">
      <c r="B608" s="3"/>
      <c r="C608" s="2"/>
      <c r="D608" s="2"/>
      <c r="E608" s="3"/>
      <c r="O608" s="176"/>
      <c r="P608" s="176"/>
      <c r="Q608" s="176"/>
      <c r="R608" s="176"/>
      <c r="S608" s="176"/>
      <c r="T608" s="176"/>
      <c r="U608" s="176"/>
      <c r="V608" s="176"/>
      <c r="W608" s="176"/>
      <c r="X608" s="176"/>
      <c r="Y608" s="176"/>
      <c r="Z608" s="176"/>
      <c r="AA608" s="176"/>
      <c r="AB608" s="176"/>
      <c r="AC608" s="176"/>
      <c r="AD608" s="176"/>
      <c r="AE608" s="176"/>
      <c r="AF608" s="176"/>
      <c r="AG608" s="176"/>
      <c r="AH608" s="176"/>
      <c r="AI608" s="176"/>
      <c r="AJ608" s="176"/>
      <c r="AK608" s="176"/>
      <c r="AL608" s="176"/>
      <c r="AM608" s="176"/>
      <c r="AN608" s="176"/>
      <c r="AO608" s="176"/>
      <c r="AP608" s="176"/>
      <c r="AQ608" s="176"/>
      <c r="AR608" s="176"/>
      <c r="AS608" s="176"/>
      <c r="AT608" s="176"/>
      <c r="AU608" s="176"/>
      <c r="AV608" s="176"/>
      <c r="AW608" s="176"/>
      <c r="AX608" s="176"/>
      <c r="AY608" s="176"/>
      <c r="AZ608" s="176"/>
      <c r="BA608" s="176"/>
      <c r="BB608" s="176"/>
      <c r="BC608" s="176"/>
      <c r="BD608" s="176"/>
      <c r="BE608" s="176"/>
      <c r="BF608" s="176"/>
      <c r="BG608" s="176"/>
      <c r="BH608" s="176"/>
      <c r="BI608" s="176"/>
      <c r="BJ608" s="176"/>
    </row>
    <row r="609" spans="2:62" x14ac:dyDescent="0.3">
      <c r="B609" s="3"/>
      <c r="C609" s="2"/>
      <c r="D609" s="2"/>
      <c r="E609" s="3"/>
      <c r="O609" s="176"/>
      <c r="P609" s="176"/>
      <c r="Q609" s="176"/>
      <c r="R609" s="176"/>
      <c r="S609" s="176"/>
      <c r="T609" s="176"/>
      <c r="U609" s="176"/>
      <c r="V609" s="176"/>
      <c r="W609" s="176"/>
      <c r="X609" s="176"/>
      <c r="Y609" s="176"/>
      <c r="Z609" s="176"/>
      <c r="AA609" s="176"/>
      <c r="AB609" s="176"/>
      <c r="AC609" s="176"/>
      <c r="AD609" s="176"/>
      <c r="AE609" s="176"/>
      <c r="AF609" s="176"/>
      <c r="AG609" s="176"/>
      <c r="AH609" s="176"/>
      <c r="AI609" s="176"/>
      <c r="AJ609" s="176"/>
      <c r="AK609" s="176"/>
      <c r="AL609" s="176"/>
      <c r="AM609" s="176"/>
      <c r="AN609" s="176"/>
      <c r="AO609" s="176"/>
      <c r="AP609" s="176"/>
      <c r="AQ609" s="176"/>
      <c r="AR609" s="176"/>
      <c r="AS609" s="176"/>
      <c r="AT609" s="176"/>
      <c r="AU609" s="176"/>
      <c r="AV609" s="176"/>
      <c r="AW609" s="176"/>
      <c r="AX609" s="176"/>
      <c r="AY609" s="176"/>
      <c r="AZ609" s="176"/>
      <c r="BA609" s="176"/>
      <c r="BB609" s="176"/>
      <c r="BC609" s="176"/>
      <c r="BD609" s="176"/>
      <c r="BE609" s="176"/>
      <c r="BF609" s="176"/>
      <c r="BG609" s="176"/>
      <c r="BH609" s="176"/>
      <c r="BI609" s="176"/>
      <c r="BJ609" s="176"/>
    </row>
    <row r="610" spans="2:62" x14ac:dyDescent="0.3">
      <c r="B610" s="3"/>
      <c r="C610" s="2"/>
      <c r="D610" s="2"/>
      <c r="E610" s="3"/>
      <c r="O610" s="176"/>
      <c r="P610" s="176"/>
      <c r="Q610" s="176"/>
      <c r="R610" s="176"/>
      <c r="S610" s="176"/>
      <c r="T610" s="176"/>
      <c r="U610" s="176"/>
      <c r="V610" s="176"/>
      <c r="W610" s="176"/>
      <c r="X610" s="176"/>
      <c r="Y610" s="176"/>
      <c r="Z610" s="176"/>
      <c r="AA610" s="176"/>
      <c r="AB610" s="176"/>
      <c r="AC610" s="176"/>
      <c r="AD610" s="176"/>
      <c r="AE610" s="176"/>
      <c r="AF610" s="176"/>
      <c r="AG610" s="176"/>
      <c r="AH610" s="176"/>
      <c r="AI610" s="176"/>
      <c r="AJ610" s="176"/>
      <c r="AK610" s="176"/>
      <c r="AL610" s="176"/>
      <c r="AM610" s="176"/>
      <c r="AN610" s="176"/>
      <c r="AO610" s="176"/>
      <c r="AP610" s="176"/>
      <c r="AQ610" s="176"/>
      <c r="AR610" s="176"/>
      <c r="AS610" s="176"/>
      <c r="AT610" s="176"/>
      <c r="AU610" s="176"/>
      <c r="AV610" s="176"/>
      <c r="AW610" s="176"/>
      <c r="AX610" s="176"/>
      <c r="AY610" s="176"/>
      <c r="AZ610" s="176"/>
      <c r="BA610" s="176"/>
      <c r="BB610" s="176"/>
      <c r="BC610" s="176"/>
      <c r="BD610" s="176"/>
      <c r="BE610" s="176"/>
      <c r="BF610" s="176"/>
      <c r="BG610" s="176"/>
      <c r="BH610" s="176"/>
      <c r="BI610" s="176"/>
      <c r="BJ610" s="176"/>
    </row>
    <row r="611" spans="2:62" x14ac:dyDescent="0.3">
      <c r="B611" s="3"/>
      <c r="C611" s="2"/>
      <c r="D611" s="2"/>
      <c r="E611" s="3"/>
      <c r="O611" s="176"/>
      <c r="P611" s="176"/>
      <c r="Q611" s="176"/>
      <c r="R611" s="176"/>
      <c r="S611" s="176"/>
      <c r="T611" s="176"/>
      <c r="U611" s="176"/>
      <c r="V611" s="176"/>
      <c r="W611" s="176"/>
      <c r="X611" s="176"/>
      <c r="Y611" s="176"/>
      <c r="Z611" s="176"/>
      <c r="AA611" s="176"/>
      <c r="AB611" s="176"/>
      <c r="AC611" s="176"/>
      <c r="AD611" s="176"/>
      <c r="AE611" s="176"/>
      <c r="AF611" s="176"/>
      <c r="AG611" s="176"/>
      <c r="AH611" s="176"/>
      <c r="AI611" s="176"/>
      <c r="AJ611" s="176"/>
      <c r="AK611" s="176"/>
      <c r="AL611" s="176"/>
      <c r="AM611" s="176"/>
      <c r="AN611" s="176"/>
      <c r="AO611" s="176"/>
      <c r="AP611" s="176"/>
      <c r="AQ611" s="176"/>
      <c r="AR611" s="176"/>
      <c r="AS611" s="176"/>
      <c r="AT611" s="176"/>
      <c r="AU611" s="176"/>
      <c r="AV611" s="176"/>
      <c r="AW611" s="176"/>
      <c r="AX611" s="176"/>
      <c r="AY611" s="176"/>
      <c r="AZ611" s="176"/>
      <c r="BA611" s="176"/>
      <c r="BB611" s="176"/>
      <c r="BC611" s="176"/>
      <c r="BD611" s="176"/>
      <c r="BE611" s="176"/>
      <c r="BF611" s="176"/>
      <c r="BG611" s="176"/>
      <c r="BH611" s="176"/>
      <c r="BI611" s="176"/>
      <c r="BJ611" s="176"/>
    </row>
    <row r="612" spans="2:62" x14ac:dyDescent="0.3">
      <c r="B612" s="3"/>
      <c r="C612" s="2"/>
      <c r="D612" s="2"/>
      <c r="E612" s="3"/>
      <c r="O612" s="176"/>
      <c r="P612" s="176"/>
      <c r="Q612" s="176"/>
      <c r="R612" s="176"/>
      <c r="S612" s="176"/>
      <c r="T612" s="176"/>
      <c r="U612" s="176"/>
      <c r="V612" s="176"/>
      <c r="W612" s="176"/>
      <c r="X612" s="176"/>
      <c r="Y612" s="176"/>
      <c r="Z612" s="176"/>
      <c r="AA612" s="176"/>
      <c r="AB612" s="176"/>
      <c r="AC612" s="176"/>
      <c r="AD612" s="176"/>
      <c r="AE612" s="176"/>
      <c r="AF612" s="176"/>
      <c r="AG612" s="176"/>
      <c r="AH612" s="176"/>
      <c r="AI612" s="176"/>
      <c r="AJ612" s="176"/>
      <c r="AK612" s="176"/>
      <c r="AL612" s="176"/>
      <c r="AM612" s="176"/>
      <c r="AN612" s="176"/>
      <c r="AO612" s="176"/>
      <c r="AP612" s="176"/>
      <c r="AQ612" s="176"/>
      <c r="AR612" s="176"/>
      <c r="AS612" s="176"/>
      <c r="AT612" s="176"/>
      <c r="AU612" s="176"/>
      <c r="AV612" s="176"/>
      <c r="AW612" s="176"/>
      <c r="AX612" s="176"/>
      <c r="AY612" s="176"/>
      <c r="AZ612" s="176"/>
      <c r="BA612" s="176"/>
      <c r="BB612" s="176"/>
      <c r="BC612" s="176"/>
      <c r="BD612" s="176"/>
      <c r="BE612" s="176"/>
      <c r="BF612" s="176"/>
      <c r="BG612" s="176"/>
      <c r="BH612" s="176"/>
      <c r="BI612" s="176"/>
      <c r="BJ612" s="176"/>
    </row>
    <row r="613" spans="2:62" x14ac:dyDescent="0.3">
      <c r="B613" s="3"/>
      <c r="C613" s="2"/>
      <c r="D613" s="2"/>
      <c r="E613" s="3"/>
      <c r="O613" s="176"/>
      <c r="P613" s="176"/>
      <c r="Q613" s="176"/>
      <c r="R613" s="176"/>
      <c r="S613" s="176"/>
      <c r="T613" s="176"/>
      <c r="U613" s="176"/>
      <c r="V613" s="176"/>
      <c r="W613" s="176"/>
      <c r="X613" s="176"/>
      <c r="Y613" s="176"/>
      <c r="Z613" s="176"/>
      <c r="AA613" s="176"/>
      <c r="AB613" s="176"/>
      <c r="AC613" s="176"/>
      <c r="AD613" s="176"/>
      <c r="AE613" s="176"/>
      <c r="AF613" s="176"/>
      <c r="AG613" s="176"/>
      <c r="AH613" s="176"/>
      <c r="AI613" s="176"/>
      <c r="AJ613" s="176"/>
      <c r="AK613" s="176"/>
      <c r="AL613" s="176"/>
      <c r="AM613" s="176"/>
      <c r="AN613" s="176"/>
      <c r="AO613" s="176"/>
      <c r="AP613" s="176"/>
      <c r="AQ613" s="176"/>
      <c r="AR613" s="176"/>
      <c r="AS613" s="176"/>
      <c r="AT613" s="176"/>
      <c r="AU613" s="176"/>
      <c r="AV613" s="176"/>
      <c r="AW613" s="176"/>
      <c r="AX613" s="176"/>
      <c r="AY613" s="176"/>
      <c r="AZ613" s="176"/>
      <c r="BA613" s="176"/>
      <c r="BB613" s="176"/>
      <c r="BC613" s="176"/>
      <c r="BD613" s="176"/>
      <c r="BE613" s="176"/>
      <c r="BF613" s="176"/>
      <c r="BG613" s="176"/>
      <c r="BH613" s="176"/>
      <c r="BI613" s="176"/>
      <c r="BJ613" s="176"/>
    </row>
    <row r="614" spans="2:62" x14ac:dyDescent="0.3">
      <c r="B614" s="3"/>
      <c r="C614" s="2"/>
      <c r="D614" s="2"/>
      <c r="E614" s="3"/>
      <c r="O614" s="176"/>
      <c r="P614" s="176"/>
      <c r="Q614" s="176"/>
      <c r="R614" s="176"/>
      <c r="S614" s="176"/>
      <c r="T614" s="176"/>
      <c r="U614" s="176"/>
      <c r="V614" s="176"/>
      <c r="W614" s="176"/>
      <c r="X614" s="176"/>
      <c r="Y614" s="176"/>
      <c r="Z614" s="176"/>
      <c r="AA614" s="176"/>
      <c r="AB614" s="176"/>
      <c r="AC614" s="176"/>
      <c r="AD614" s="176"/>
      <c r="AE614" s="176"/>
      <c r="AF614" s="176"/>
      <c r="AG614" s="176"/>
      <c r="AH614" s="176"/>
      <c r="AI614" s="176"/>
      <c r="AJ614" s="176"/>
      <c r="AK614" s="176"/>
      <c r="AL614" s="176"/>
      <c r="AM614" s="176"/>
      <c r="AN614" s="176"/>
      <c r="AO614" s="176"/>
      <c r="AP614" s="176"/>
      <c r="AQ614" s="176"/>
      <c r="AR614" s="176"/>
      <c r="AS614" s="176"/>
      <c r="AT614" s="176"/>
      <c r="AU614" s="176"/>
      <c r="AV614" s="176"/>
      <c r="AW614" s="176"/>
      <c r="AX614" s="176"/>
      <c r="AY614" s="176"/>
      <c r="AZ614" s="176"/>
      <c r="BA614" s="176"/>
      <c r="BB614" s="176"/>
      <c r="BC614" s="176"/>
      <c r="BD614" s="176"/>
      <c r="BE614" s="176"/>
      <c r="BF614" s="176"/>
      <c r="BG614" s="176"/>
      <c r="BH614" s="176"/>
      <c r="BI614" s="176"/>
      <c r="BJ614" s="176"/>
    </row>
    <row r="615" spans="2:62" x14ac:dyDescent="0.3">
      <c r="B615" s="3"/>
      <c r="C615" s="2"/>
      <c r="D615" s="2"/>
      <c r="E615" s="3"/>
      <c r="O615" s="176"/>
      <c r="P615" s="176"/>
      <c r="Q615" s="176"/>
      <c r="R615" s="176"/>
      <c r="S615" s="176"/>
      <c r="T615" s="176"/>
      <c r="U615" s="176"/>
      <c r="V615" s="176"/>
      <c r="W615" s="176"/>
      <c r="X615" s="176"/>
      <c r="Y615" s="176"/>
      <c r="Z615" s="176"/>
      <c r="AA615" s="176"/>
      <c r="AB615" s="176"/>
      <c r="AC615" s="176"/>
      <c r="AD615" s="176"/>
      <c r="AE615" s="176"/>
      <c r="AF615" s="176"/>
      <c r="AG615" s="176"/>
      <c r="AH615" s="176"/>
      <c r="AI615" s="176"/>
      <c r="AJ615" s="176"/>
      <c r="AK615" s="176"/>
      <c r="AL615" s="176"/>
      <c r="AM615" s="176"/>
      <c r="AN615" s="176"/>
      <c r="AO615" s="176"/>
      <c r="AP615" s="176"/>
      <c r="AQ615" s="176"/>
      <c r="AR615" s="176"/>
      <c r="AS615" s="176"/>
      <c r="AT615" s="176"/>
      <c r="AU615" s="176"/>
      <c r="AV615" s="176"/>
      <c r="AW615" s="176"/>
      <c r="AX615" s="176"/>
      <c r="AY615" s="176"/>
      <c r="AZ615" s="176"/>
      <c r="BA615" s="176"/>
      <c r="BB615" s="176"/>
      <c r="BC615" s="176"/>
      <c r="BD615" s="176"/>
      <c r="BE615" s="176"/>
      <c r="BF615" s="176"/>
      <c r="BG615" s="176"/>
      <c r="BH615" s="176"/>
      <c r="BI615" s="176"/>
      <c r="BJ615" s="176"/>
    </row>
    <row r="616" spans="2:62" x14ac:dyDescent="0.3">
      <c r="B616" s="3"/>
      <c r="C616" s="2"/>
      <c r="D616" s="2"/>
      <c r="E616" s="3"/>
      <c r="O616" s="176"/>
      <c r="P616" s="176"/>
      <c r="Q616" s="176"/>
      <c r="R616" s="176"/>
      <c r="S616" s="176"/>
      <c r="T616" s="176"/>
      <c r="U616" s="176"/>
      <c r="V616" s="176"/>
      <c r="W616" s="176"/>
      <c r="X616" s="176"/>
      <c r="Y616" s="176"/>
      <c r="Z616" s="176"/>
      <c r="AA616" s="176"/>
      <c r="AB616" s="176"/>
      <c r="AC616" s="176"/>
      <c r="AD616" s="176"/>
      <c r="AE616" s="176"/>
      <c r="AF616" s="176"/>
      <c r="AG616" s="176"/>
      <c r="AH616" s="176"/>
      <c r="AI616" s="176"/>
      <c r="AJ616" s="176"/>
      <c r="AK616" s="176"/>
      <c r="AL616" s="176"/>
      <c r="AM616" s="176"/>
      <c r="AN616" s="176"/>
      <c r="AO616" s="176"/>
      <c r="AP616" s="176"/>
      <c r="AQ616" s="176"/>
      <c r="AR616" s="176"/>
      <c r="AS616" s="176"/>
      <c r="AT616" s="176"/>
      <c r="AU616" s="176"/>
      <c r="AV616" s="176"/>
      <c r="AW616" s="176"/>
      <c r="AX616" s="176"/>
      <c r="AY616" s="176"/>
      <c r="AZ616" s="176"/>
      <c r="BA616" s="176"/>
      <c r="BB616" s="176"/>
      <c r="BC616" s="176"/>
      <c r="BD616" s="176"/>
      <c r="BE616" s="176"/>
      <c r="BF616" s="176"/>
      <c r="BG616" s="176"/>
      <c r="BH616" s="176"/>
      <c r="BI616" s="176"/>
      <c r="BJ616" s="176"/>
    </row>
    <row r="617" spans="2:62" x14ac:dyDescent="0.3">
      <c r="B617" s="3"/>
      <c r="C617" s="2"/>
      <c r="D617" s="2"/>
      <c r="E617" s="3"/>
      <c r="O617" s="176"/>
      <c r="P617" s="176"/>
      <c r="Q617" s="176"/>
      <c r="R617" s="176"/>
      <c r="S617" s="176"/>
      <c r="T617" s="176"/>
      <c r="U617" s="176"/>
      <c r="V617" s="176"/>
      <c r="W617" s="176"/>
      <c r="X617" s="176"/>
      <c r="Y617" s="176"/>
      <c r="Z617" s="176"/>
      <c r="AA617" s="176"/>
      <c r="AB617" s="176"/>
      <c r="AC617" s="176"/>
      <c r="AD617" s="176"/>
      <c r="AE617" s="176"/>
      <c r="AF617" s="176"/>
      <c r="AG617" s="176"/>
      <c r="AH617" s="176"/>
      <c r="AI617" s="176"/>
      <c r="AJ617" s="176"/>
      <c r="AK617" s="176"/>
      <c r="AL617" s="176"/>
      <c r="AM617" s="176"/>
      <c r="AN617" s="176"/>
      <c r="AO617" s="176"/>
      <c r="AP617" s="176"/>
      <c r="AQ617" s="176"/>
      <c r="AR617" s="176"/>
      <c r="AS617" s="176"/>
      <c r="AT617" s="176"/>
      <c r="AU617" s="176"/>
      <c r="AV617" s="176"/>
      <c r="AW617" s="176"/>
      <c r="AX617" s="176"/>
      <c r="AY617" s="176"/>
      <c r="AZ617" s="176"/>
      <c r="BA617" s="176"/>
      <c r="BB617" s="176"/>
      <c r="BC617" s="176"/>
      <c r="BD617" s="176"/>
      <c r="BE617" s="176"/>
      <c r="BF617" s="176"/>
      <c r="BG617" s="176"/>
      <c r="BH617" s="176"/>
      <c r="BI617" s="176"/>
      <c r="BJ617" s="176"/>
    </row>
    <row r="618" spans="2:62" x14ac:dyDescent="0.3">
      <c r="B618" s="3"/>
      <c r="C618" s="2"/>
      <c r="D618" s="2"/>
      <c r="E618" s="3"/>
      <c r="O618" s="176"/>
      <c r="P618" s="176"/>
      <c r="Q618" s="176"/>
      <c r="R618" s="176"/>
      <c r="S618" s="176"/>
      <c r="T618" s="176"/>
      <c r="U618" s="176"/>
      <c r="V618" s="176"/>
      <c r="W618" s="176"/>
      <c r="X618" s="176"/>
      <c r="Y618" s="176"/>
      <c r="Z618" s="176"/>
      <c r="AA618" s="176"/>
      <c r="AB618" s="176"/>
      <c r="AC618" s="176"/>
      <c r="AD618" s="176"/>
      <c r="AE618" s="176"/>
      <c r="AF618" s="176"/>
      <c r="AG618" s="176"/>
      <c r="AH618" s="176"/>
      <c r="AI618" s="176"/>
      <c r="AJ618" s="176"/>
      <c r="AK618" s="176"/>
      <c r="AL618" s="176"/>
      <c r="AM618" s="176"/>
      <c r="AN618" s="176"/>
      <c r="AO618" s="176"/>
      <c r="AP618" s="176"/>
      <c r="AQ618" s="176"/>
      <c r="AR618" s="176"/>
      <c r="AS618" s="176"/>
      <c r="AT618" s="176"/>
      <c r="AU618" s="176"/>
      <c r="AV618" s="176"/>
      <c r="AW618" s="176"/>
      <c r="AX618" s="176"/>
      <c r="AY618" s="176"/>
      <c r="AZ618" s="176"/>
      <c r="BA618" s="176"/>
      <c r="BB618" s="176"/>
      <c r="BC618" s="176"/>
      <c r="BD618" s="176"/>
      <c r="BE618" s="176"/>
      <c r="BF618" s="176"/>
      <c r="BG618" s="176"/>
      <c r="BH618" s="176"/>
      <c r="BI618" s="176"/>
      <c r="BJ618" s="176"/>
    </row>
    <row r="619" spans="2:62" x14ac:dyDescent="0.3">
      <c r="B619" s="3"/>
      <c r="C619" s="2"/>
      <c r="D619" s="2"/>
      <c r="E619" s="3"/>
      <c r="O619" s="176"/>
      <c r="P619" s="176"/>
      <c r="Q619" s="176"/>
      <c r="R619" s="176"/>
      <c r="S619" s="176"/>
      <c r="T619" s="176"/>
      <c r="U619" s="176"/>
      <c r="V619" s="176"/>
      <c r="W619" s="176"/>
      <c r="X619" s="176"/>
      <c r="Y619" s="176"/>
      <c r="Z619" s="176"/>
      <c r="AA619" s="176"/>
      <c r="AB619" s="176"/>
      <c r="AC619" s="176"/>
      <c r="AD619" s="176"/>
      <c r="AE619" s="176"/>
      <c r="AF619" s="176"/>
      <c r="AG619" s="176"/>
      <c r="AH619" s="176"/>
      <c r="AI619" s="176"/>
      <c r="AJ619" s="176"/>
      <c r="AK619" s="176"/>
      <c r="AL619" s="176"/>
      <c r="AM619" s="176"/>
      <c r="AN619" s="176"/>
      <c r="AO619" s="176"/>
      <c r="AP619" s="176"/>
      <c r="AQ619" s="176"/>
      <c r="AR619" s="176"/>
      <c r="AS619" s="176"/>
      <c r="AT619" s="176"/>
      <c r="AU619" s="176"/>
      <c r="AV619" s="176"/>
      <c r="AW619" s="176"/>
      <c r="AX619" s="176"/>
      <c r="AY619" s="176"/>
      <c r="AZ619" s="176"/>
      <c r="BA619" s="176"/>
      <c r="BB619" s="176"/>
      <c r="BC619" s="176"/>
      <c r="BD619" s="176"/>
      <c r="BE619" s="176"/>
      <c r="BF619" s="176"/>
      <c r="BG619" s="176"/>
      <c r="BH619" s="176"/>
      <c r="BI619" s="176"/>
      <c r="BJ619" s="176"/>
    </row>
    <row r="620" spans="2:62" x14ac:dyDescent="0.3">
      <c r="B620" s="3"/>
      <c r="C620" s="2"/>
      <c r="D620" s="2"/>
      <c r="E620" s="3"/>
      <c r="O620" s="176"/>
      <c r="P620" s="176"/>
      <c r="Q620" s="176"/>
      <c r="R620" s="176"/>
      <c r="S620" s="176"/>
      <c r="T620" s="176"/>
      <c r="U620" s="176"/>
      <c r="V620" s="176"/>
      <c r="W620" s="176"/>
      <c r="X620" s="176"/>
      <c r="Y620" s="176"/>
      <c r="Z620" s="176"/>
      <c r="AA620" s="176"/>
      <c r="AB620" s="176"/>
      <c r="AC620" s="176"/>
      <c r="AD620" s="176"/>
      <c r="AE620" s="176"/>
      <c r="AF620" s="176"/>
      <c r="AG620" s="176"/>
      <c r="AH620" s="176"/>
      <c r="AI620" s="176"/>
      <c r="AJ620" s="176"/>
      <c r="AK620" s="176"/>
      <c r="AL620" s="176"/>
      <c r="AM620" s="176"/>
      <c r="AN620" s="176"/>
      <c r="AO620" s="176"/>
      <c r="AP620" s="176"/>
      <c r="AQ620" s="176"/>
      <c r="AR620" s="176"/>
      <c r="AS620" s="176"/>
      <c r="AT620" s="176"/>
      <c r="AU620" s="176"/>
      <c r="AV620" s="176"/>
      <c r="AW620" s="176"/>
      <c r="AX620" s="176"/>
      <c r="AY620" s="176"/>
      <c r="AZ620" s="176"/>
      <c r="BA620" s="176"/>
      <c r="BB620" s="176"/>
      <c r="BC620" s="176"/>
      <c r="BD620" s="176"/>
      <c r="BE620" s="176"/>
      <c r="BF620" s="176"/>
      <c r="BG620" s="176"/>
      <c r="BH620" s="176"/>
      <c r="BI620" s="176"/>
      <c r="BJ620" s="176"/>
    </row>
    <row r="621" spans="2:62" x14ac:dyDescent="0.3">
      <c r="B621" s="3"/>
      <c r="C621" s="2"/>
      <c r="D621" s="2"/>
      <c r="E621" s="3"/>
      <c r="O621" s="176"/>
      <c r="P621" s="176"/>
      <c r="Q621" s="176"/>
      <c r="R621" s="176"/>
      <c r="S621" s="176"/>
      <c r="T621" s="176"/>
      <c r="U621" s="176"/>
      <c r="V621" s="176"/>
      <c r="W621" s="176"/>
      <c r="X621" s="176"/>
      <c r="Y621" s="176"/>
      <c r="Z621" s="176"/>
      <c r="AA621" s="176"/>
      <c r="AB621" s="176"/>
      <c r="AC621" s="176"/>
      <c r="AD621" s="176"/>
      <c r="AE621" s="176"/>
      <c r="AF621" s="176"/>
      <c r="AG621" s="176"/>
      <c r="AH621" s="176"/>
      <c r="AI621" s="176"/>
      <c r="AJ621" s="176"/>
      <c r="AK621" s="176"/>
      <c r="AL621" s="176"/>
      <c r="AM621" s="176"/>
      <c r="AN621" s="176"/>
      <c r="AO621" s="176"/>
      <c r="AP621" s="176"/>
      <c r="AQ621" s="176"/>
      <c r="AR621" s="176"/>
      <c r="AS621" s="176"/>
      <c r="AT621" s="176"/>
      <c r="AU621" s="176"/>
      <c r="AV621" s="176"/>
      <c r="AW621" s="176"/>
      <c r="AX621" s="176"/>
      <c r="AY621" s="176"/>
      <c r="AZ621" s="176"/>
      <c r="BA621" s="176"/>
      <c r="BB621" s="176"/>
      <c r="BC621" s="176"/>
      <c r="BD621" s="176"/>
      <c r="BE621" s="176"/>
      <c r="BF621" s="176"/>
      <c r="BG621" s="176"/>
      <c r="BH621" s="176"/>
      <c r="BI621" s="176"/>
      <c r="BJ621" s="176"/>
    </row>
    <row r="622" spans="2:62" x14ac:dyDescent="0.3">
      <c r="B622" s="3"/>
      <c r="C622" s="2"/>
      <c r="D622" s="2"/>
      <c r="E622" s="3"/>
      <c r="O622" s="176"/>
      <c r="P622" s="176"/>
      <c r="Q622" s="176"/>
      <c r="R622" s="176"/>
      <c r="S622" s="176"/>
      <c r="T622" s="176"/>
      <c r="U622" s="176"/>
      <c r="V622" s="176"/>
      <c r="W622" s="176"/>
      <c r="X622" s="176"/>
      <c r="Y622" s="176"/>
      <c r="Z622" s="176"/>
      <c r="AA622" s="176"/>
      <c r="AB622" s="176"/>
      <c r="AC622" s="176"/>
      <c r="AD622" s="176"/>
      <c r="AE622" s="176"/>
      <c r="AF622" s="176"/>
      <c r="AG622" s="176"/>
      <c r="AH622" s="176"/>
      <c r="AI622" s="176"/>
      <c r="AJ622" s="176"/>
      <c r="AK622" s="176"/>
      <c r="AL622" s="176"/>
      <c r="AM622" s="176"/>
      <c r="AN622" s="176"/>
      <c r="AO622" s="176"/>
      <c r="AP622" s="176"/>
      <c r="AQ622" s="176"/>
      <c r="AR622" s="176"/>
      <c r="AS622" s="176"/>
      <c r="AT622" s="176"/>
      <c r="AU622" s="176"/>
      <c r="AV622" s="176"/>
      <c r="AW622" s="176"/>
      <c r="AX622" s="176"/>
      <c r="AY622" s="176"/>
      <c r="AZ622" s="176"/>
      <c r="BA622" s="176"/>
      <c r="BB622" s="176"/>
      <c r="BC622" s="176"/>
      <c r="BD622" s="176"/>
      <c r="BE622" s="176"/>
      <c r="BF622" s="176"/>
      <c r="BG622" s="176"/>
      <c r="BH622" s="176"/>
      <c r="BI622" s="176"/>
      <c r="BJ622" s="176"/>
    </row>
    <row r="623" spans="2:62" x14ac:dyDescent="0.3">
      <c r="B623" s="3"/>
      <c r="C623" s="2"/>
      <c r="D623" s="2"/>
      <c r="E623" s="3"/>
      <c r="O623" s="176"/>
      <c r="P623" s="176"/>
      <c r="Q623" s="176"/>
      <c r="R623" s="176"/>
      <c r="S623" s="176"/>
      <c r="T623" s="176"/>
      <c r="U623" s="176"/>
      <c r="V623" s="176"/>
      <c r="W623" s="176"/>
      <c r="X623" s="176"/>
      <c r="Y623" s="176"/>
      <c r="Z623" s="176"/>
      <c r="AA623" s="176"/>
      <c r="AB623" s="176"/>
      <c r="AC623" s="176"/>
      <c r="AD623" s="176"/>
      <c r="AE623" s="176"/>
      <c r="AF623" s="176"/>
      <c r="AG623" s="176"/>
      <c r="AH623" s="176"/>
      <c r="AI623" s="176"/>
      <c r="AJ623" s="176"/>
      <c r="AK623" s="176"/>
      <c r="AL623" s="176"/>
      <c r="AM623" s="176"/>
      <c r="AN623" s="176"/>
      <c r="AO623" s="176"/>
      <c r="AP623" s="176"/>
      <c r="AQ623" s="176"/>
      <c r="AR623" s="176"/>
      <c r="AS623" s="176"/>
      <c r="AT623" s="176"/>
      <c r="AU623" s="176"/>
      <c r="AV623" s="176"/>
      <c r="AW623" s="176"/>
      <c r="AX623" s="176"/>
      <c r="AY623" s="176"/>
      <c r="AZ623" s="176"/>
      <c r="BA623" s="176"/>
      <c r="BB623" s="176"/>
      <c r="BC623" s="176"/>
      <c r="BD623" s="176"/>
      <c r="BE623" s="176"/>
      <c r="BF623" s="176"/>
      <c r="BG623" s="176"/>
      <c r="BH623" s="176"/>
      <c r="BI623" s="176"/>
      <c r="BJ623" s="176"/>
    </row>
    <row r="624" spans="2:62" x14ac:dyDescent="0.3">
      <c r="B624" s="3"/>
      <c r="C624" s="2"/>
      <c r="D624" s="2"/>
      <c r="E624" s="3"/>
      <c r="O624" s="176"/>
      <c r="P624" s="176"/>
      <c r="Q624" s="176"/>
      <c r="R624" s="176"/>
      <c r="S624" s="176"/>
      <c r="T624" s="176"/>
      <c r="U624" s="176"/>
      <c r="V624" s="176"/>
      <c r="W624" s="176"/>
      <c r="X624" s="176"/>
      <c r="Y624" s="176"/>
      <c r="Z624" s="176"/>
      <c r="AA624" s="176"/>
      <c r="AB624" s="176"/>
      <c r="AC624" s="176"/>
      <c r="AD624" s="176"/>
      <c r="AE624" s="176"/>
      <c r="AF624" s="176"/>
      <c r="AG624" s="176"/>
      <c r="AH624" s="176"/>
      <c r="AI624" s="176"/>
      <c r="AJ624" s="176"/>
      <c r="AK624" s="176"/>
      <c r="AL624" s="176"/>
      <c r="AM624" s="176"/>
      <c r="AN624" s="176"/>
      <c r="AO624" s="176"/>
      <c r="AP624" s="176"/>
      <c r="AQ624" s="176"/>
      <c r="AR624" s="176"/>
      <c r="AS624" s="176"/>
      <c r="AT624" s="176"/>
      <c r="AU624" s="176"/>
      <c r="AV624" s="176"/>
      <c r="AW624" s="176"/>
      <c r="AX624" s="176"/>
      <c r="AY624" s="176"/>
      <c r="AZ624" s="176"/>
      <c r="BA624" s="176"/>
      <c r="BB624" s="176"/>
      <c r="BC624" s="176"/>
      <c r="BD624" s="176"/>
      <c r="BE624" s="176"/>
      <c r="BF624" s="176"/>
      <c r="BG624" s="176"/>
      <c r="BH624" s="176"/>
      <c r="BI624" s="176"/>
      <c r="BJ624" s="176"/>
    </row>
    <row r="625" spans="2:62" x14ac:dyDescent="0.3">
      <c r="B625" s="3"/>
      <c r="C625" s="2"/>
      <c r="D625" s="2"/>
      <c r="E625" s="3"/>
      <c r="O625" s="176"/>
      <c r="P625" s="176"/>
      <c r="Q625" s="176"/>
      <c r="R625" s="176"/>
      <c r="S625" s="176"/>
      <c r="T625" s="176"/>
      <c r="U625" s="176"/>
      <c r="V625" s="176"/>
      <c r="W625" s="176"/>
      <c r="X625" s="176"/>
      <c r="Y625" s="176"/>
      <c r="Z625" s="176"/>
      <c r="AA625" s="176"/>
      <c r="AB625" s="176"/>
      <c r="AC625" s="176"/>
      <c r="AD625" s="176"/>
      <c r="AE625" s="176"/>
      <c r="AF625" s="176"/>
      <c r="AG625" s="176"/>
      <c r="AH625" s="176"/>
      <c r="AI625" s="176"/>
      <c r="AJ625" s="176"/>
      <c r="AK625" s="176"/>
      <c r="AL625" s="176"/>
      <c r="AM625" s="176"/>
      <c r="AN625" s="176"/>
      <c r="AO625" s="176"/>
      <c r="AP625" s="176"/>
      <c r="AQ625" s="176"/>
      <c r="AR625" s="176"/>
      <c r="AS625" s="176"/>
      <c r="AT625" s="176"/>
      <c r="AU625" s="176"/>
      <c r="AV625" s="176"/>
      <c r="AW625" s="176"/>
      <c r="AX625" s="176"/>
      <c r="AY625" s="176"/>
      <c r="AZ625" s="176"/>
      <c r="BA625" s="176"/>
      <c r="BB625" s="176"/>
      <c r="BC625" s="176"/>
      <c r="BD625" s="176"/>
      <c r="BE625" s="176"/>
      <c r="BF625" s="176"/>
      <c r="BG625" s="176"/>
      <c r="BH625" s="176"/>
      <c r="BI625" s="176"/>
      <c r="BJ625" s="176"/>
    </row>
    <row r="626" spans="2:62" x14ac:dyDescent="0.3">
      <c r="B626" s="3"/>
      <c r="C626" s="2"/>
      <c r="D626" s="2"/>
      <c r="E626" s="3"/>
      <c r="O626" s="176"/>
      <c r="P626" s="176"/>
      <c r="Q626" s="176"/>
      <c r="R626" s="176"/>
      <c r="S626" s="176"/>
      <c r="T626" s="176"/>
      <c r="U626" s="176"/>
      <c r="V626" s="176"/>
      <c r="W626" s="176"/>
      <c r="X626" s="176"/>
      <c r="Y626" s="176"/>
      <c r="Z626" s="176"/>
      <c r="AA626" s="176"/>
      <c r="AB626" s="176"/>
      <c r="AC626" s="176"/>
      <c r="AD626" s="176"/>
      <c r="AE626" s="176"/>
      <c r="AF626" s="176"/>
      <c r="AG626" s="176"/>
      <c r="AH626" s="176"/>
      <c r="AI626" s="176"/>
      <c r="AJ626" s="176"/>
      <c r="AK626" s="176"/>
      <c r="AL626" s="176"/>
      <c r="AM626" s="176"/>
      <c r="AN626" s="176"/>
      <c r="AO626" s="176"/>
      <c r="AP626" s="176"/>
      <c r="AQ626" s="176"/>
      <c r="AR626" s="176"/>
      <c r="AS626" s="176"/>
      <c r="AT626" s="176"/>
      <c r="AU626" s="176"/>
      <c r="AV626" s="176"/>
      <c r="AW626" s="176"/>
      <c r="AX626" s="176"/>
      <c r="AY626" s="176"/>
      <c r="AZ626" s="176"/>
      <c r="BA626" s="176"/>
      <c r="BB626" s="176"/>
      <c r="BC626" s="176"/>
      <c r="BD626" s="176"/>
      <c r="BE626" s="176"/>
      <c r="BF626" s="176"/>
      <c r="BG626" s="176"/>
      <c r="BH626" s="176"/>
      <c r="BI626" s="176"/>
      <c r="BJ626" s="176"/>
    </row>
    <row r="627" spans="2:62" x14ac:dyDescent="0.3">
      <c r="B627" s="3"/>
      <c r="C627" s="2"/>
      <c r="D627" s="2"/>
      <c r="E627" s="3"/>
      <c r="O627" s="176"/>
      <c r="P627" s="176"/>
      <c r="Q627" s="176"/>
      <c r="R627" s="176"/>
      <c r="S627" s="176"/>
      <c r="T627" s="176"/>
      <c r="U627" s="176"/>
      <c r="V627" s="176"/>
      <c r="W627" s="176"/>
      <c r="X627" s="176"/>
      <c r="Y627" s="176"/>
      <c r="Z627" s="176"/>
      <c r="AA627" s="176"/>
      <c r="AB627" s="176"/>
      <c r="AC627" s="176"/>
      <c r="AD627" s="176"/>
      <c r="AE627" s="176"/>
      <c r="AF627" s="176"/>
      <c r="AG627" s="176"/>
      <c r="AH627" s="176"/>
      <c r="AI627" s="176"/>
      <c r="AJ627" s="176"/>
      <c r="AK627" s="176"/>
      <c r="AL627" s="176"/>
      <c r="AM627" s="176"/>
      <c r="AN627" s="176"/>
      <c r="AO627" s="176"/>
      <c r="AP627" s="176"/>
      <c r="AQ627" s="176"/>
      <c r="AR627" s="176"/>
      <c r="AS627" s="176"/>
      <c r="AT627" s="176"/>
      <c r="AU627" s="176"/>
      <c r="AV627" s="176"/>
      <c r="AW627" s="176"/>
      <c r="AX627" s="176"/>
      <c r="AY627" s="176"/>
      <c r="AZ627" s="176"/>
      <c r="BA627" s="176"/>
      <c r="BB627" s="176"/>
      <c r="BC627" s="176"/>
      <c r="BD627" s="176"/>
      <c r="BE627" s="176"/>
      <c r="BF627" s="176"/>
      <c r="BG627" s="176"/>
      <c r="BH627" s="176"/>
      <c r="BI627" s="176"/>
      <c r="BJ627" s="176"/>
    </row>
    <row r="628" spans="2:62" x14ac:dyDescent="0.3">
      <c r="B628" s="3"/>
      <c r="C628" s="2"/>
      <c r="D628" s="2"/>
      <c r="E628" s="3"/>
      <c r="O628" s="176"/>
      <c r="P628" s="176"/>
      <c r="Q628" s="176"/>
      <c r="R628" s="176"/>
      <c r="S628" s="176"/>
      <c r="T628" s="176"/>
      <c r="U628" s="176"/>
      <c r="V628" s="176"/>
      <c r="W628" s="176"/>
      <c r="X628" s="176"/>
      <c r="Y628" s="176"/>
      <c r="Z628" s="176"/>
      <c r="AA628" s="176"/>
      <c r="AB628" s="176"/>
      <c r="AC628" s="176"/>
      <c r="AD628" s="176"/>
      <c r="AE628" s="176"/>
      <c r="AF628" s="176"/>
      <c r="AG628" s="176"/>
      <c r="AH628" s="176"/>
      <c r="AI628" s="176"/>
      <c r="AJ628" s="176"/>
      <c r="AK628" s="176"/>
      <c r="AL628" s="176"/>
      <c r="AM628" s="176"/>
      <c r="AN628" s="176"/>
      <c r="AO628" s="176"/>
      <c r="AP628" s="176"/>
      <c r="AQ628" s="176"/>
      <c r="AR628" s="176"/>
      <c r="AS628" s="176"/>
      <c r="AT628" s="176"/>
      <c r="AU628" s="176"/>
      <c r="AV628" s="176"/>
      <c r="AW628" s="176"/>
      <c r="AX628" s="176"/>
      <c r="AY628" s="176"/>
      <c r="AZ628" s="176"/>
      <c r="BA628" s="176"/>
      <c r="BB628" s="176"/>
      <c r="BC628" s="176"/>
      <c r="BD628" s="176"/>
      <c r="BE628" s="176"/>
      <c r="BF628" s="176"/>
      <c r="BG628" s="176"/>
      <c r="BH628" s="176"/>
      <c r="BI628" s="176"/>
      <c r="BJ628" s="176"/>
    </row>
    <row r="629" spans="2:62" x14ac:dyDescent="0.3">
      <c r="B629" s="3"/>
      <c r="C629" s="2"/>
      <c r="D629" s="2"/>
      <c r="E629" s="3"/>
      <c r="O629" s="176"/>
      <c r="P629" s="176"/>
      <c r="Q629" s="176"/>
      <c r="R629" s="176"/>
      <c r="S629" s="176"/>
      <c r="T629" s="176"/>
      <c r="U629" s="176"/>
      <c r="V629" s="176"/>
      <c r="W629" s="176"/>
      <c r="X629" s="176"/>
      <c r="Y629" s="176"/>
      <c r="Z629" s="176"/>
      <c r="AA629" s="176"/>
      <c r="AB629" s="176"/>
      <c r="AC629" s="176"/>
      <c r="AD629" s="176"/>
      <c r="AE629" s="176"/>
      <c r="AF629" s="176"/>
      <c r="AG629" s="176"/>
      <c r="AH629" s="176"/>
      <c r="AI629" s="176"/>
      <c r="AJ629" s="176"/>
      <c r="AK629" s="176"/>
      <c r="AL629" s="176"/>
      <c r="AM629" s="176"/>
      <c r="AN629" s="176"/>
      <c r="AO629" s="176"/>
      <c r="AP629" s="176"/>
      <c r="AQ629" s="176"/>
      <c r="AR629" s="176"/>
      <c r="AS629" s="176"/>
      <c r="AT629" s="176"/>
      <c r="AU629" s="176"/>
      <c r="AV629" s="176"/>
      <c r="AW629" s="176"/>
      <c r="AX629" s="176"/>
      <c r="AY629" s="176"/>
      <c r="AZ629" s="176"/>
      <c r="BA629" s="176"/>
      <c r="BB629" s="176"/>
      <c r="BC629" s="176"/>
      <c r="BD629" s="176"/>
      <c r="BE629" s="176"/>
      <c r="BF629" s="176"/>
      <c r="BG629" s="176"/>
      <c r="BH629" s="176"/>
      <c r="BI629" s="176"/>
      <c r="BJ629" s="176"/>
    </row>
    <row r="630" spans="2:62" x14ac:dyDescent="0.3">
      <c r="B630" s="3"/>
      <c r="C630" s="2"/>
      <c r="D630" s="2"/>
      <c r="E630" s="3"/>
      <c r="O630" s="176"/>
      <c r="P630" s="176"/>
      <c r="Q630" s="176"/>
      <c r="R630" s="176"/>
      <c r="S630" s="176"/>
      <c r="T630" s="176"/>
      <c r="U630" s="176"/>
      <c r="V630" s="176"/>
      <c r="W630" s="176"/>
      <c r="X630" s="176"/>
      <c r="Y630" s="176"/>
      <c r="Z630" s="176"/>
      <c r="AA630" s="176"/>
      <c r="AB630" s="176"/>
      <c r="AC630" s="176"/>
      <c r="AD630" s="176"/>
      <c r="AE630" s="176"/>
      <c r="AF630" s="176"/>
      <c r="AG630" s="176"/>
      <c r="AH630" s="176"/>
      <c r="AI630" s="176"/>
      <c r="AJ630" s="176"/>
      <c r="AK630" s="176"/>
      <c r="AL630" s="176"/>
      <c r="AM630" s="176"/>
      <c r="AN630" s="176"/>
      <c r="AO630" s="176"/>
      <c r="AP630" s="176"/>
      <c r="AQ630" s="176"/>
      <c r="AR630" s="176"/>
      <c r="AS630" s="176"/>
      <c r="AT630" s="176"/>
      <c r="AU630" s="176"/>
      <c r="AV630" s="176"/>
      <c r="AW630" s="176"/>
      <c r="AX630" s="176"/>
      <c r="AY630" s="176"/>
      <c r="AZ630" s="176"/>
      <c r="BA630" s="176"/>
      <c r="BB630" s="176"/>
      <c r="BC630" s="176"/>
      <c r="BD630" s="176"/>
      <c r="BE630" s="176"/>
      <c r="BF630" s="176"/>
      <c r="BG630" s="176"/>
      <c r="BH630" s="176"/>
      <c r="BI630" s="176"/>
      <c r="BJ630" s="176"/>
    </row>
    <row r="631" spans="2:62" x14ac:dyDescent="0.3">
      <c r="B631" s="3"/>
      <c r="C631" s="2"/>
      <c r="D631" s="2"/>
      <c r="E631" s="3"/>
      <c r="O631" s="176"/>
      <c r="P631" s="176"/>
      <c r="Q631" s="176"/>
      <c r="R631" s="176"/>
      <c r="S631" s="176"/>
      <c r="T631" s="176"/>
      <c r="U631" s="176"/>
      <c r="V631" s="176"/>
      <c r="W631" s="176"/>
      <c r="X631" s="176"/>
      <c r="Y631" s="176"/>
      <c r="Z631" s="176"/>
      <c r="AA631" s="176"/>
      <c r="AB631" s="176"/>
      <c r="AC631" s="176"/>
      <c r="AD631" s="176"/>
      <c r="AE631" s="176"/>
      <c r="AF631" s="176"/>
      <c r="AG631" s="176"/>
      <c r="AH631" s="176"/>
      <c r="AI631" s="176"/>
      <c r="AJ631" s="176"/>
      <c r="AK631" s="176"/>
      <c r="AL631" s="176"/>
      <c r="AM631" s="176"/>
      <c r="AN631" s="176"/>
      <c r="AO631" s="176"/>
      <c r="AP631" s="176"/>
      <c r="AQ631" s="176"/>
      <c r="AR631" s="176"/>
      <c r="AS631" s="176"/>
      <c r="AT631" s="176"/>
      <c r="AU631" s="176"/>
      <c r="AV631" s="176"/>
      <c r="AW631" s="176"/>
      <c r="AX631" s="176"/>
      <c r="AY631" s="176"/>
      <c r="AZ631" s="176"/>
      <c r="BA631" s="176"/>
      <c r="BB631" s="176"/>
      <c r="BC631" s="176"/>
      <c r="BD631" s="176"/>
      <c r="BE631" s="176"/>
      <c r="BF631" s="176"/>
      <c r="BG631" s="176"/>
      <c r="BH631" s="176"/>
      <c r="BI631" s="176"/>
      <c r="BJ631" s="176"/>
    </row>
    <row r="632" spans="2:62" x14ac:dyDescent="0.3">
      <c r="B632" s="3"/>
      <c r="C632" s="2"/>
      <c r="D632" s="2"/>
      <c r="E632" s="3"/>
      <c r="O632" s="176"/>
      <c r="P632" s="176"/>
      <c r="Q632" s="176"/>
      <c r="R632" s="176"/>
      <c r="S632" s="176"/>
      <c r="T632" s="176"/>
      <c r="U632" s="176"/>
      <c r="V632" s="176"/>
      <c r="W632" s="176"/>
      <c r="X632" s="176"/>
      <c r="Y632" s="176"/>
      <c r="Z632" s="176"/>
      <c r="AA632" s="176"/>
      <c r="AB632" s="176"/>
      <c r="AC632" s="176"/>
      <c r="AD632" s="176"/>
      <c r="AE632" s="176"/>
      <c r="AF632" s="176"/>
      <c r="AG632" s="176"/>
      <c r="AH632" s="176"/>
      <c r="AI632" s="176"/>
      <c r="AJ632" s="176"/>
      <c r="AK632" s="176"/>
      <c r="AL632" s="176"/>
      <c r="AM632" s="176"/>
      <c r="AN632" s="176"/>
      <c r="AO632" s="176"/>
      <c r="AP632" s="176"/>
      <c r="AQ632" s="176"/>
      <c r="AR632" s="176"/>
      <c r="AS632" s="176"/>
      <c r="AT632" s="176"/>
      <c r="AU632" s="176"/>
      <c r="AV632" s="176"/>
      <c r="AW632" s="176"/>
      <c r="AX632" s="176"/>
      <c r="AY632" s="176"/>
      <c r="AZ632" s="176"/>
      <c r="BA632" s="176"/>
      <c r="BB632" s="176"/>
      <c r="BC632" s="176"/>
      <c r="BD632" s="176"/>
      <c r="BE632" s="176"/>
      <c r="BF632" s="176"/>
      <c r="BG632" s="176"/>
      <c r="BH632" s="176"/>
      <c r="BI632" s="176"/>
      <c r="BJ632" s="176"/>
    </row>
    <row r="633" spans="2:62" x14ac:dyDescent="0.3">
      <c r="B633" s="3"/>
      <c r="C633" s="2"/>
      <c r="D633" s="2"/>
      <c r="E633" s="3"/>
      <c r="O633" s="176"/>
      <c r="P633" s="176"/>
      <c r="Q633" s="176"/>
      <c r="R633" s="176"/>
      <c r="S633" s="176"/>
      <c r="T633" s="176"/>
      <c r="U633" s="176"/>
      <c r="V633" s="176"/>
      <c r="W633" s="176"/>
      <c r="X633" s="176"/>
      <c r="Y633" s="176"/>
      <c r="Z633" s="176"/>
      <c r="AA633" s="176"/>
      <c r="AB633" s="176"/>
      <c r="AC633" s="176"/>
      <c r="AD633" s="176"/>
      <c r="AE633" s="176"/>
      <c r="AF633" s="176"/>
      <c r="AG633" s="176"/>
      <c r="AH633" s="176"/>
      <c r="AI633" s="176"/>
      <c r="AJ633" s="176"/>
      <c r="AK633" s="176"/>
      <c r="AL633" s="176"/>
      <c r="AM633" s="176"/>
      <c r="AN633" s="176"/>
      <c r="AO633" s="176"/>
      <c r="AP633" s="176"/>
      <c r="AQ633" s="176"/>
      <c r="AR633" s="176"/>
      <c r="AS633" s="176"/>
      <c r="AT633" s="176"/>
      <c r="AU633" s="176"/>
      <c r="AV633" s="176"/>
      <c r="AW633" s="176"/>
      <c r="AX633" s="176"/>
      <c r="AY633" s="176"/>
      <c r="AZ633" s="176"/>
      <c r="BA633" s="176"/>
      <c r="BB633" s="176"/>
      <c r="BC633" s="176"/>
      <c r="BD633" s="176"/>
      <c r="BE633" s="176"/>
      <c r="BF633" s="176"/>
      <c r="BG633" s="176"/>
      <c r="BH633" s="176"/>
      <c r="BI633" s="176"/>
      <c r="BJ633" s="176"/>
    </row>
    <row r="634" spans="2:62" x14ac:dyDescent="0.3">
      <c r="B634" s="3"/>
      <c r="C634" s="2"/>
      <c r="D634" s="2"/>
      <c r="E634" s="3"/>
      <c r="O634" s="176"/>
      <c r="P634" s="176"/>
      <c r="Q634" s="176"/>
      <c r="R634" s="176"/>
      <c r="S634" s="176"/>
      <c r="T634" s="176"/>
      <c r="U634" s="176"/>
      <c r="V634" s="176"/>
      <c r="W634" s="176"/>
      <c r="X634" s="176"/>
      <c r="Y634" s="176"/>
      <c r="Z634" s="176"/>
      <c r="AA634" s="176"/>
      <c r="AB634" s="176"/>
      <c r="AC634" s="176"/>
      <c r="AD634" s="176"/>
      <c r="AE634" s="176"/>
      <c r="AF634" s="176"/>
      <c r="AG634" s="176"/>
      <c r="AH634" s="176"/>
      <c r="AI634" s="176"/>
      <c r="AJ634" s="176"/>
      <c r="AK634" s="176"/>
      <c r="AL634" s="176"/>
      <c r="AM634" s="176"/>
      <c r="AN634" s="176"/>
      <c r="AO634" s="176"/>
      <c r="AP634" s="176"/>
      <c r="AQ634" s="176"/>
      <c r="AR634" s="176"/>
      <c r="AS634" s="176"/>
      <c r="AT634" s="176"/>
      <c r="AU634" s="176"/>
      <c r="AV634" s="176"/>
      <c r="AW634" s="176"/>
      <c r="AX634" s="176"/>
      <c r="AY634" s="176"/>
      <c r="AZ634" s="176"/>
      <c r="BA634" s="176"/>
      <c r="BB634" s="176"/>
      <c r="BC634" s="176"/>
      <c r="BD634" s="176"/>
      <c r="BE634" s="176"/>
      <c r="BF634" s="176"/>
      <c r="BG634" s="176"/>
      <c r="BH634" s="176"/>
      <c r="BI634" s="176"/>
      <c r="BJ634" s="176"/>
    </row>
    <row r="635" spans="2:62" x14ac:dyDescent="0.3">
      <c r="B635" s="3"/>
      <c r="C635" s="2"/>
      <c r="D635" s="2"/>
      <c r="E635" s="3"/>
      <c r="O635" s="176"/>
      <c r="P635" s="176"/>
      <c r="Q635" s="176"/>
      <c r="R635" s="176"/>
      <c r="S635" s="176"/>
      <c r="T635" s="176"/>
      <c r="U635" s="176"/>
      <c r="V635" s="176"/>
      <c r="W635" s="176"/>
      <c r="X635" s="176"/>
      <c r="Y635" s="176"/>
      <c r="Z635" s="176"/>
      <c r="AA635" s="176"/>
      <c r="AB635" s="176"/>
      <c r="AC635" s="176"/>
      <c r="AD635" s="176"/>
      <c r="AE635" s="176"/>
      <c r="AF635" s="176"/>
      <c r="AG635" s="176"/>
      <c r="AH635" s="176"/>
      <c r="AI635" s="176"/>
      <c r="AJ635" s="176"/>
      <c r="AK635" s="176"/>
      <c r="AL635" s="176"/>
      <c r="AM635" s="176"/>
      <c r="AN635" s="176"/>
      <c r="AO635" s="176"/>
      <c r="AP635" s="176"/>
      <c r="AQ635" s="176"/>
      <c r="AR635" s="176"/>
      <c r="AS635" s="176"/>
      <c r="AT635" s="176"/>
      <c r="AU635" s="176"/>
      <c r="AV635" s="176"/>
      <c r="AW635" s="176"/>
      <c r="AX635" s="176"/>
      <c r="AY635" s="176"/>
      <c r="AZ635" s="176"/>
      <c r="BA635" s="176"/>
      <c r="BB635" s="176"/>
      <c r="BC635" s="176"/>
      <c r="BD635" s="176"/>
      <c r="BE635" s="176"/>
      <c r="BF635" s="176"/>
      <c r="BG635" s="176"/>
      <c r="BH635" s="176"/>
      <c r="BI635" s="176"/>
      <c r="BJ635" s="176"/>
    </row>
    <row r="636" spans="2:62" x14ac:dyDescent="0.3">
      <c r="B636" s="3"/>
      <c r="C636" s="2"/>
      <c r="D636" s="2"/>
      <c r="E636" s="3"/>
      <c r="O636" s="176"/>
      <c r="P636" s="176"/>
      <c r="Q636" s="176"/>
      <c r="R636" s="176"/>
      <c r="S636" s="176"/>
      <c r="T636" s="176"/>
      <c r="U636" s="176"/>
      <c r="V636" s="176"/>
      <c r="W636" s="176"/>
      <c r="X636" s="176"/>
      <c r="Y636" s="176"/>
      <c r="Z636" s="176"/>
      <c r="AA636" s="176"/>
      <c r="AB636" s="176"/>
      <c r="AC636" s="176"/>
      <c r="AD636" s="176"/>
      <c r="AE636" s="176"/>
      <c r="AF636" s="176"/>
      <c r="AG636" s="176"/>
      <c r="AH636" s="176"/>
      <c r="AI636" s="176"/>
      <c r="AJ636" s="176"/>
      <c r="AK636" s="176"/>
      <c r="AL636" s="176"/>
      <c r="AM636" s="176"/>
      <c r="AN636" s="176"/>
      <c r="AO636" s="176"/>
      <c r="AP636" s="176"/>
      <c r="AQ636" s="176"/>
      <c r="AR636" s="176"/>
      <c r="AS636" s="176"/>
      <c r="AT636" s="176"/>
      <c r="AU636" s="176"/>
      <c r="AV636" s="176"/>
      <c r="AW636" s="176"/>
      <c r="AX636" s="176"/>
      <c r="AY636" s="176"/>
      <c r="AZ636" s="176"/>
      <c r="BA636" s="176"/>
      <c r="BB636" s="176"/>
      <c r="BC636" s="176"/>
      <c r="BD636" s="176"/>
      <c r="BE636" s="176"/>
      <c r="BF636" s="176"/>
      <c r="BG636" s="176"/>
      <c r="BH636" s="176"/>
      <c r="BI636" s="176"/>
      <c r="BJ636" s="176"/>
    </row>
    <row r="637" spans="2:62" x14ac:dyDescent="0.3">
      <c r="B637" s="3"/>
      <c r="C637" s="2"/>
      <c r="D637" s="2"/>
      <c r="E637" s="3"/>
      <c r="O637" s="176"/>
      <c r="P637" s="176"/>
      <c r="Q637" s="176"/>
      <c r="R637" s="176"/>
      <c r="S637" s="176"/>
      <c r="T637" s="176"/>
      <c r="U637" s="176"/>
      <c r="V637" s="176"/>
      <c r="W637" s="176"/>
      <c r="X637" s="176"/>
      <c r="Y637" s="176"/>
      <c r="Z637" s="176"/>
      <c r="AA637" s="176"/>
      <c r="AB637" s="176"/>
      <c r="AC637" s="176"/>
      <c r="AD637" s="176"/>
      <c r="AE637" s="176"/>
      <c r="AF637" s="176"/>
      <c r="AG637" s="176"/>
      <c r="AH637" s="176"/>
      <c r="AI637" s="176"/>
      <c r="AJ637" s="176"/>
      <c r="AK637" s="176"/>
      <c r="AL637" s="176"/>
      <c r="AM637" s="176"/>
      <c r="AN637" s="176"/>
      <c r="AO637" s="176"/>
      <c r="AP637" s="176"/>
      <c r="AQ637" s="176"/>
      <c r="AR637" s="176"/>
      <c r="AS637" s="176"/>
      <c r="AT637" s="176"/>
      <c r="AU637" s="176"/>
      <c r="AV637" s="176"/>
      <c r="AW637" s="176"/>
      <c r="AX637" s="176"/>
      <c r="AY637" s="176"/>
      <c r="AZ637" s="176"/>
      <c r="BA637" s="176"/>
      <c r="BB637" s="176"/>
      <c r="BC637" s="176"/>
      <c r="BD637" s="176"/>
      <c r="BE637" s="176"/>
      <c r="BF637" s="176"/>
      <c r="BG637" s="176"/>
      <c r="BH637" s="176"/>
      <c r="BI637" s="176"/>
      <c r="BJ637" s="176"/>
    </row>
    <row r="638" spans="2:62" x14ac:dyDescent="0.3">
      <c r="B638" s="3"/>
      <c r="C638" s="2"/>
      <c r="D638" s="2"/>
      <c r="E638" s="3"/>
      <c r="O638" s="176"/>
      <c r="P638" s="176"/>
      <c r="Q638" s="176"/>
      <c r="R638" s="176"/>
      <c r="S638" s="176"/>
      <c r="T638" s="176"/>
      <c r="U638" s="176"/>
      <c r="V638" s="176"/>
      <c r="W638" s="176"/>
      <c r="X638" s="176"/>
      <c r="Y638" s="176"/>
      <c r="Z638" s="176"/>
      <c r="AA638" s="176"/>
      <c r="AB638" s="176"/>
      <c r="AC638" s="176"/>
      <c r="AD638" s="176"/>
      <c r="AE638" s="176"/>
      <c r="AF638" s="176"/>
      <c r="AG638" s="176"/>
      <c r="AH638" s="176"/>
      <c r="AI638" s="176"/>
      <c r="AJ638" s="176"/>
      <c r="AK638" s="176"/>
      <c r="AL638" s="176"/>
      <c r="AM638" s="176"/>
      <c r="AN638" s="176"/>
      <c r="AO638" s="176"/>
      <c r="AP638" s="176"/>
      <c r="AQ638" s="176"/>
      <c r="AR638" s="176"/>
      <c r="AS638" s="176"/>
      <c r="AT638" s="176"/>
      <c r="AU638" s="176"/>
      <c r="AV638" s="176"/>
      <c r="AW638" s="176"/>
      <c r="AX638" s="176"/>
      <c r="AY638" s="176"/>
      <c r="AZ638" s="176"/>
      <c r="BA638" s="176"/>
      <c r="BB638" s="176"/>
      <c r="BC638" s="176"/>
      <c r="BD638" s="176"/>
      <c r="BE638" s="176"/>
      <c r="BF638" s="176"/>
      <c r="BG638" s="176"/>
      <c r="BH638" s="176"/>
      <c r="BI638" s="176"/>
      <c r="BJ638" s="176"/>
    </row>
    <row r="639" spans="2:62" x14ac:dyDescent="0.3">
      <c r="B639" s="3"/>
      <c r="C639" s="2"/>
      <c r="D639" s="2"/>
      <c r="E639" s="3"/>
      <c r="O639" s="176"/>
      <c r="P639" s="176"/>
      <c r="Q639" s="176"/>
      <c r="R639" s="176"/>
      <c r="S639" s="176"/>
      <c r="T639" s="176"/>
      <c r="U639" s="176"/>
      <c r="V639" s="176"/>
      <c r="W639" s="176"/>
      <c r="X639" s="176"/>
      <c r="Y639" s="176"/>
      <c r="Z639" s="176"/>
      <c r="AA639" s="176"/>
      <c r="AB639" s="176"/>
      <c r="AC639" s="176"/>
      <c r="AD639" s="176"/>
      <c r="AE639" s="176"/>
      <c r="AF639" s="176"/>
      <c r="AG639" s="176"/>
      <c r="AH639" s="176"/>
      <c r="AI639" s="176"/>
      <c r="AJ639" s="176"/>
      <c r="AK639" s="176"/>
      <c r="AL639" s="176"/>
      <c r="AM639" s="176"/>
      <c r="AN639" s="176"/>
      <c r="AO639" s="176"/>
      <c r="AP639" s="176"/>
      <c r="AQ639" s="176"/>
      <c r="AR639" s="176"/>
      <c r="AS639" s="176"/>
      <c r="AT639" s="176"/>
      <c r="AU639" s="176"/>
      <c r="AV639" s="176"/>
      <c r="AW639" s="176"/>
      <c r="AX639" s="176"/>
      <c r="AY639" s="176"/>
      <c r="AZ639" s="176"/>
      <c r="BA639" s="176"/>
      <c r="BB639" s="176"/>
      <c r="BC639" s="176"/>
      <c r="BD639" s="176"/>
      <c r="BE639" s="176"/>
      <c r="BF639" s="176"/>
      <c r="BG639" s="176"/>
      <c r="BH639" s="176"/>
      <c r="BI639" s="176"/>
      <c r="BJ639" s="176"/>
    </row>
    <row r="640" spans="2:62" x14ac:dyDescent="0.3">
      <c r="B640" s="3"/>
      <c r="C640" s="2"/>
      <c r="D640" s="2"/>
      <c r="E640" s="3"/>
      <c r="O640" s="176"/>
      <c r="P640" s="176"/>
      <c r="Q640" s="176"/>
      <c r="R640" s="176"/>
      <c r="S640" s="176"/>
      <c r="T640" s="176"/>
      <c r="U640" s="176"/>
      <c r="V640" s="176"/>
      <c r="W640" s="176"/>
      <c r="X640" s="176"/>
      <c r="Y640" s="176"/>
      <c r="Z640" s="176"/>
      <c r="AA640" s="176"/>
      <c r="AB640" s="176"/>
      <c r="AC640" s="176"/>
      <c r="AD640" s="176"/>
      <c r="AE640" s="176"/>
      <c r="AF640" s="176"/>
      <c r="AG640" s="176"/>
      <c r="AH640" s="176"/>
      <c r="AI640" s="176"/>
      <c r="AJ640" s="176"/>
      <c r="AK640" s="176"/>
      <c r="AL640" s="176"/>
      <c r="AM640" s="176"/>
      <c r="AN640" s="176"/>
      <c r="AO640" s="176"/>
      <c r="AP640" s="176"/>
      <c r="AQ640" s="176"/>
      <c r="AR640" s="176"/>
      <c r="AS640" s="176"/>
      <c r="AT640" s="176"/>
      <c r="AU640" s="176"/>
      <c r="AV640" s="176"/>
      <c r="AW640" s="176"/>
      <c r="AX640" s="176"/>
      <c r="AY640" s="176"/>
      <c r="AZ640" s="176"/>
      <c r="BA640" s="176"/>
      <c r="BB640" s="176"/>
      <c r="BC640" s="176"/>
      <c r="BD640" s="176"/>
      <c r="BE640" s="176"/>
      <c r="BF640" s="176"/>
      <c r="BG640" s="176"/>
      <c r="BH640" s="176"/>
      <c r="BI640" s="176"/>
      <c r="BJ640" s="176"/>
    </row>
    <row r="641" spans="2:62" x14ac:dyDescent="0.3">
      <c r="B641" s="3"/>
      <c r="C641" s="2"/>
      <c r="D641" s="2"/>
      <c r="E641" s="3"/>
      <c r="O641" s="176"/>
      <c r="P641" s="176"/>
      <c r="Q641" s="176"/>
      <c r="R641" s="176"/>
      <c r="S641" s="176"/>
      <c r="T641" s="176"/>
      <c r="U641" s="176"/>
      <c r="V641" s="176"/>
      <c r="W641" s="176"/>
      <c r="X641" s="176"/>
      <c r="Y641" s="176"/>
      <c r="Z641" s="176"/>
      <c r="AA641" s="176"/>
      <c r="AB641" s="176"/>
      <c r="AC641" s="176"/>
      <c r="AD641" s="176"/>
      <c r="AE641" s="176"/>
      <c r="AF641" s="176"/>
      <c r="AG641" s="176"/>
      <c r="AH641" s="176"/>
      <c r="AI641" s="176"/>
      <c r="AJ641" s="176"/>
      <c r="AK641" s="176"/>
      <c r="AL641" s="176"/>
      <c r="AM641" s="176"/>
      <c r="AN641" s="176"/>
      <c r="AO641" s="176"/>
      <c r="AP641" s="176"/>
      <c r="AQ641" s="176"/>
      <c r="AR641" s="176"/>
      <c r="AS641" s="176"/>
      <c r="AT641" s="176"/>
      <c r="AU641" s="176"/>
      <c r="AV641" s="176"/>
      <c r="AW641" s="176"/>
      <c r="AX641" s="176"/>
      <c r="AY641" s="176"/>
      <c r="AZ641" s="176"/>
      <c r="BA641" s="176"/>
      <c r="BB641" s="176"/>
      <c r="BC641" s="176"/>
      <c r="BD641" s="176"/>
      <c r="BE641" s="176"/>
      <c r="BF641" s="176"/>
      <c r="BG641" s="176"/>
      <c r="BH641" s="176"/>
      <c r="BI641" s="176"/>
      <c r="BJ641" s="176"/>
    </row>
    <row r="642" spans="2:62" x14ac:dyDescent="0.3">
      <c r="B642" s="3"/>
      <c r="C642" s="2"/>
      <c r="D642" s="2"/>
      <c r="E642" s="3"/>
      <c r="O642" s="176"/>
      <c r="P642" s="176"/>
      <c r="Q642" s="176"/>
      <c r="R642" s="176"/>
      <c r="S642" s="176"/>
      <c r="T642" s="176"/>
      <c r="U642" s="176"/>
      <c r="V642" s="176"/>
      <c r="W642" s="176"/>
      <c r="X642" s="176"/>
      <c r="Y642" s="176"/>
      <c r="Z642" s="176"/>
      <c r="AA642" s="176"/>
      <c r="AB642" s="176"/>
      <c r="AC642" s="176"/>
      <c r="AD642" s="176"/>
      <c r="AE642" s="176"/>
      <c r="AF642" s="176"/>
      <c r="AG642" s="176"/>
      <c r="AH642" s="176"/>
      <c r="AI642" s="176"/>
      <c r="AJ642" s="176"/>
      <c r="AK642" s="176"/>
      <c r="AL642" s="176"/>
      <c r="AM642" s="176"/>
      <c r="AN642" s="176"/>
      <c r="AO642" s="176"/>
      <c r="AP642" s="176"/>
      <c r="AQ642" s="176"/>
      <c r="AR642" s="176"/>
      <c r="AS642" s="176"/>
      <c r="AT642" s="176"/>
      <c r="AU642" s="176"/>
      <c r="AV642" s="176"/>
      <c r="AW642" s="176"/>
      <c r="AX642" s="176"/>
      <c r="AY642" s="176"/>
      <c r="AZ642" s="176"/>
      <c r="BA642" s="176"/>
      <c r="BB642" s="176"/>
      <c r="BC642" s="176"/>
      <c r="BD642" s="176"/>
      <c r="BE642" s="176"/>
      <c r="BF642" s="176"/>
      <c r="BG642" s="176"/>
      <c r="BH642" s="176"/>
      <c r="BI642" s="176"/>
      <c r="BJ642" s="176"/>
    </row>
    <row r="643" spans="2:62" x14ac:dyDescent="0.3">
      <c r="B643" s="3"/>
      <c r="C643" s="2"/>
      <c r="D643" s="2"/>
      <c r="E643" s="3"/>
      <c r="O643" s="176"/>
      <c r="P643" s="176"/>
      <c r="Q643" s="176"/>
      <c r="R643" s="176"/>
      <c r="S643" s="176"/>
      <c r="T643" s="176"/>
      <c r="U643" s="176"/>
      <c r="V643" s="176"/>
      <c r="W643" s="176"/>
      <c r="X643" s="176"/>
      <c r="Y643" s="176"/>
      <c r="Z643" s="176"/>
      <c r="AA643" s="176"/>
      <c r="AB643" s="176"/>
      <c r="AC643" s="176"/>
      <c r="AD643" s="176"/>
      <c r="AE643" s="176"/>
      <c r="AF643" s="176"/>
      <c r="AG643" s="176"/>
      <c r="AH643" s="176"/>
      <c r="AI643" s="176"/>
      <c r="AJ643" s="176"/>
      <c r="AK643" s="176"/>
      <c r="AL643" s="176"/>
      <c r="AM643" s="176"/>
      <c r="AN643" s="176"/>
      <c r="AO643" s="176"/>
      <c r="AP643" s="176"/>
      <c r="AQ643" s="176"/>
      <c r="AR643" s="176"/>
      <c r="AS643" s="176"/>
      <c r="AT643" s="176"/>
      <c r="AU643" s="176"/>
      <c r="AV643" s="176"/>
      <c r="AW643" s="176"/>
      <c r="AX643" s="176"/>
      <c r="AY643" s="176"/>
      <c r="AZ643" s="176"/>
      <c r="BA643" s="176"/>
      <c r="BB643" s="176"/>
      <c r="BC643" s="176"/>
      <c r="BD643" s="176"/>
      <c r="BE643" s="176"/>
      <c r="BF643" s="176"/>
      <c r="BG643" s="176"/>
      <c r="BH643" s="176"/>
      <c r="BI643" s="176"/>
      <c r="BJ643" s="176"/>
    </row>
    <row r="644" spans="2:62" x14ac:dyDescent="0.3">
      <c r="B644" s="3"/>
      <c r="C644" s="2"/>
      <c r="D644" s="2"/>
      <c r="E644" s="3"/>
      <c r="O644" s="176"/>
      <c r="P644" s="176"/>
      <c r="Q644" s="176"/>
      <c r="R644" s="176"/>
      <c r="S644" s="176"/>
      <c r="T644" s="176"/>
      <c r="U644" s="176"/>
      <c r="V644" s="176"/>
      <c r="W644" s="176"/>
      <c r="X644" s="176"/>
      <c r="Y644" s="176"/>
      <c r="Z644" s="176"/>
      <c r="AA644" s="176"/>
      <c r="AB644" s="176"/>
      <c r="AC644" s="176"/>
      <c r="AD644" s="176"/>
      <c r="AE644" s="176"/>
      <c r="AF644" s="176"/>
      <c r="AG644" s="176"/>
      <c r="AH644" s="176"/>
      <c r="AI644" s="176"/>
      <c r="AJ644" s="176"/>
      <c r="AK644" s="176"/>
      <c r="AL644" s="176"/>
      <c r="AM644" s="176"/>
      <c r="AN644" s="176"/>
      <c r="AO644" s="176"/>
      <c r="AP644" s="176"/>
      <c r="AQ644" s="176"/>
      <c r="AR644" s="176"/>
      <c r="AS644" s="176"/>
      <c r="AT644" s="176"/>
      <c r="AU644" s="176"/>
      <c r="AV644" s="176"/>
      <c r="AW644" s="176"/>
      <c r="AX644" s="176"/>
      <c r="AY644" s="176"/>
      <c r="AZ644" s="176"/>
      <c r="BA644" s="176"/>
      <c r="BB644" s="176"/>
      <c r="BC644" s="176"/>
      <c r="BD644" s="176"/>
      <c r="BE644" s="176"/>
      <c r="BF644" s="176"/>
      <c r="BG644" s="176"/>
      <c r="BH644" s="176"/>
      <c r="BI644" s="176"/>
      <c r="BJ644" s="176"/>
    </row>
    <row r="645" spans="2:62" x14ac:dyDescent="0.3">
      <c r="B645" s="3"/>
      <c r="C645" s="2"/>
      <c r="D645" s="2"/>
      <c r="E645" s="3"/>
      <c r="O645" s="176"/>
      <c r="P645" s="176"/>
      <c r="Q645" s="176"/>
      <c r="R645" s="176"/>
      <c r="S645" s="176"/>
      <c r="T645" s="176"/>
      <c r="U645" s="176"/>
      <c r="V645" s="176"/>
      <c r="W645" s="176"/>
      <c r="X645" s="176"/>
      <c r="Y645" s="176"/>
      <c r="Z645" s="176"/>
      <c r="AA645" s="176"/>
      <c r="AB645" s="176"/>
      <c r="AC645" s="176"/>
      <c r="AD645" s="176"/>
      <c r="AE645" s="176"/>
      <c r="AF645" s="176"/>
      <c r="AG645" s="176"/>
      <c r="AH645" s="176"/>
      <c r="AI645" s="176"/>
      <c r="AJ645" s="176"/>
      <c r="AK645" s="176"/>
      <c r="AL645" s="176"/>
      <c r="AM645" s="176"/>
      <c r="AN645" s="176"/>
      <c r="AO645" s="176"/>
      <c r="AP645" s="176"/>
      <c r="AQ645" s="176"/>
      <c r="AR645" s="176"/>
      <c r="AS645" s="176"/>
      <c r="AT645" s="176"/>
      <c r="AU645" s="176"/>
      <c r="AV645" s="176"/>
      <c r="AW645" s="176"/>
      <c r="AX645" s="176"/>
      <c r="AY645" s="176"/>
      <c r="AZ645" s="176"/>
      <c r="BA645" s="176"/>
      <c r="BB645" s="176"/>
      <c r="BC645" s="176"/>
      <c r="BD645" s="176"/>
      <c r="BE645" s="176"/>
      <c r="BF645" s="176"/>
      <c r="BG645" s="176"/>
      <c r="BH645" s="176"/>
      <c r="BI645" s="176"/>
      <c r="BJ645" s="176"/>
    </row>
    <row r="646" spans="2:62" x14ac:dyDescent="0.3">
      <c r="B646" s="3"/>
      <c r="C646" s="2"/>
      <c r="D646" s="2"/>
      <c r="E646" s="3"/>
      <c r="O646" s="176"/>
      <c r="P646" s="176"/>
      <c r="Q646" s="176"/>
      <c r="R646" s="176"/>
      <c r="S646" s="176"/>
      <c r="T646" s="176"/>
      <c r="U646" s="176"/>
      <c r="V646" s="176"/>
      <c r="W646" s="176"/>
      <c r="X646" s="176"/>
      <c r="Y646" s="176"/>
      <c r="Z646" s="176"/>
      <c r="AA646" s="176"/>
      <c r="AB646" s="176"/>
      <c r="AC646" s="176"/>
      <c r="AD646" s="176"/>
      <c r="AE646" s="176"/>
      <c r="AF646" s="176"/>
      <c r="AG646" s="176"/>
      <c r="AH646" s="176"/>
      <c r="AI646" s="176"/>
      <c r="AJ646" s="176"/>
      <c r="AK646" s="176"/>
      <c r="AL646" s="176"/>
      <c r="AM646" s="176"/>
      <c r="AN646" s="176"/>
      <c r="AO646" s="176"/>
      <c r="AP646" s="176"/>
      <c r="AQ646" s="176"/>
      <c r="AR646" s="176"/>
      <c r="AS646" s="176"/>
      <c r="AT646" s="176"/>
      <c r="AU646" s="176"/>
      <c r="AV646" s="176"/>
      <c r="AW646" s="176"/>
      <c r="AX646" s="176"/>
      <c r="AY646" s="176"/>
      <c r="AZ646" s="176"/>
      <c r="BA646" s="176"/>
      <c r="BB646" s="176"/>
      <c r="BC646" s="176"/>
      <c r="BD646" s="176"/>
      <c r="BE646" s="176"/>
      <c r="BF646" s="176"/>
      <c r="BG646" s="176"/>
      <c r="BH646" s="176"/>
      <c r="BI646" s="176"/>
      <c r="BJ646" s="176"/>
    </row>
    <row r="647" spans="2:62" x14ac:dyDescent="0.3">
      <c r="B647" s="3"/>
      <c r="C647" s="2"/>
      <c r="D647" s="2"/>
      <c r="E647" s="3"/>
      <c r="O647" s="176"/>
      <c r="P647" s="176"/>
      <c r="Q647" s="176"/>
      <c r="R647" s="176"/>
      <c r="S647" s="176"/>
      <c r="T647" s="176"/>
      <c r="U647" s="176"/>
      <c r="V647" s="176"/>
      <c r="W647" s="176"/>
      <c r="X647" s="176"/>
      <c r="Y647" s="176"/>
      <c r="Z647" s="176"/>
      <c r="AA647" s="176"/>
      <c r="AB647" s="176"/>
      <c r="AC647" s="176"/>
      <c r="AD647" s="176"/>
      <c r="AE647" s="176"/>
      <c r="AF647" s="176"/>
      <c r="AG647" s="176"/>
      <c r="AH647" s="176"/>
      <c r="AI647" s="176"/>
      <c r="AJ647" s="176"/>
      <c r="AK647" s="176"/>
      <c r="AL647" s="176"/>
      <c r="AM647" s="176"/>
      <c r="AN647" s="176"/>
      <c r="AO647" s="176"/>
      <c r="AP647" s="176"/>
      <c r="AQ647" s="176"/>
      <c r="AR647" s="176"/>
      <c r="AS647" s="176"/>
      <c r="AT647" s="176"/>
      <c r="AU647" s="176"/>
      <c r="AV647" s="176"/>
      <c r="AW647" s="176"/>
      <c r="AX647" s="176"/>
      <c r="AY647" s="176"/>
      <c r="AZ647" s="176"/>
      <c r="BA647" s="176"/>
      <c r="BB647" s="176"/>
      <c r="BC647" s="176"/>
      <c r="BD647" s="176"/>
      <c r="BE647" s="176"/>
      <c r="BF647" s="176"/>
      <c r="BG647" s="176"/>
      <c r="BH647" s="176"/>
      <c r="BI647" s="176"/>
      <c r="BJ647" s="176"/>
    </row>
    <row r="648" spans="2:62" x14ac:dyDescent="0.3">
      <c r="B648" s="3"/>
      <c r="C648" s="2"/>
      <c r="D648" s="2"/>
      <c r="E648" s="3"/>
      <c r="O648" s="176"/>
      <c r="P648" s="176"/>
      <c r="Q648" s="176"/>
      <c r="R648" s="176"/>
      <c r="S648" s="176"/>
      <c r="T648" s="176"/>
      <c r="U648" s="176"/>
      <c r="V648" s="176"/>
      <c r="W648" s="176"/>
      <c r="X648" s="176"/>
      <c r="Y648" s="176"/>
      <c r="Z648" s="176"/>
      <c r="AA648" s="176"/>
      <c r="AB648" s="176"/>
      <c r="AC648" s="176"/>
      <c r="AD648" s="176"/>
      <c r="AE648" s="176"/>
      <c r="AF648" s="176"/>
      <c r="AG648" s="176"/>
      <c r="AH648" s="176"/>
      <c r="AI648" s="176"/>
      <c r="AJ648" s="176"/>
      <c r="AK648" s="176"/>
      <c r="AL648" s="176"/>
      <c r="AM648" s="176"/>
      <c r="AN648" s="176"/>
      <c r="AO648" s="176"/>
      <c r="AP648" s="176"/>
      <c r="AQ648" s="176"/>
      <c r="AR648" s="176"/>
      <c r="AS648" s="176"/>
      <c r="AT648" s="176"/>
      <c r="AU648" s="176"/>
      <c r="AV648" s="176"/>
      <c r="AW648" s="176"/>
      <c r="AX648" s="176"/>
      <c r="AY648" s="176"/>
      <c r="AZ648" s="176"/>
      <c r="BA648" s="176"/>
      <c r="BB648" s="176"/>
      <c r="BC648" s="176"/>
      <c r="BD648" s="176"/>
      <c r="BE648" s="176"/>
      <c r="BF648" s="176"/>
      <c r="BG648" s="176"/>
      <c r="BH648" s="176"/>
      <c r="BI648" s="176"/>
      <c r="BJ648" s="176"/>
    </row>
    <row r="649" spans="2:62" x14ac:dyDescent="0.3">
      <c r="B649" s="3"/>
      <c r="C649" s="2"/>
      <c r="D649" s="2"/>
      <c r="E649" s="3"/>
      <c r="O649" s="176"/>
      <c r="P649" s="176"/>
      <c r="Q649" s="176"/>
      <c r="R649" s="176"/>
      <c r="S649" s="176"/>
      <c r="T649" s="176"/>
      <c r="U649" s="176"/>
      <c r="V649" s="176"/>
      <c r="W649" s="176"/>
      <c r="X649" s="176"/>
      <c r="Y649" s="176"/>
      <c r="Z649" s="176"/>
      <c r="AA649" s="176"/>
      <c r="AB649" s="176"/>
      <c r="AC649" s="176"/>
      <c r="AD649" s="176"/>
      <c r="AE649" s="176"/>
      <c r="AF649" s="176"/>
      <c r="AG649" s="176"/>
      <c r="AH649" s="176"/>
      <c r="AI649" s="176"/>
      <c r="AJ649" s="176"/>
      <c r="AK649" s="176"/>
      <c r="AL649" s="176"/>
      <c r="AM649" s="176"/>
      <c r="AN649" s="176"/>
      <c r="AO649" s="176"/>
      <c r="AP649" s="176"/>
      <c r="AQ649" s="176"/>
      <c r="AR649" s="176"/>
      <c r="AS649" s="176"/>
      <c r="AT649" s="176"/>
      <c r="AU649" s="176"/>
      <c r="AV649" s="176"/>
      <c r="AW649" s="176"/>
      <c r="AX649" s="176"/>
      <c r="AY649" s="176"/>
      <c r="AZ649" s="176"/>
      <c r="BA649" s="176"/>
      <c r="BB649" s="176"/>
      <c r="BC649" s="176"/>
      <c r="BD649" s="176"/>
      <c r="BE649" s="176"/>
      <c r="BF649" s="176"/>
      <c r="BG649" s="176"/>
      <c r="BH649" s="176"/>
      <c r="BI649" s="176"/>
      <c r="BJ649" s="176"/>
    </row>
    <row r="650" spans="2:62" x14ac:dyDescent="0.3">
      <c r="B650" s="3"/>
      <c r="C650" s="2"/>
      <c r="D650" s="2"/>
      <c r="E650" s="3"/>
      <c r="O650" s="176"/>
      <c r="P650" s="176"/>
      <c r="Q650" s="176"/>
      <c r="R650" s="176"/>
      <c r="S650" s="176"/>
      <c r="T650" s="176"/>
      <c r="U650" s="176"/>
      <c r="V650" s="176"/>
      <c r="W650" s="176"/>
      <c r="X650" s="176"/>
      <c r="Y650" s="176"/>
      <c r="Z650" s="176"/>
      <c r="AA650" s="176"/>
      <c r="AB650" s="176"/>
      <c r="AC650" s="176"/>
      <c r="AD650" s="176"/>
      <c r="AE650" s="176"/>
      <c r="AF650" s="176"/>
      <c r="AG650" s="176"/>
      <c r="AH650" s="176"/>
      <c r="AI650" s="176"/>
      <c r="AJ650" s="176"/>
      <c r="AK650" s="176"/>
      <c r="AL650" s="176"/>
      <c r="AM650" s="176"/>
      <c r="AN650" s="176"/>
      <c r="AO650" s="176"/>
      <c r="AP650" s="176"/>
      <c r="AQ650" s="176"/>
      <c r="AR650" s="176"/>
      <c r="AS650" s="176"/>
      <c r="AT650" s="176"/>
      <c r="AU650" s="176"/>
      <c r="AV650" s="176"/>
      <c r="AW650" s="176"/>
      <c r="AX650" s="176"/>
      <c r="AY650" s="176"/>
      <c r="AZ650" s="176"/>
      <c r="BA650" s="176"/>
      <c r="BB650" s="176"/>
      <c r="BC650" s="176"/>
      <c r="BD650" s="176"/>
      <c r="BE650" s="176"/>
      <c r="BF650" s="176"/>
      <c r="BG650" s="176"/>
      <c r="BH650" s="176"/>
      <c r="BI650" s="176"/>
      <c r="BJ650" s="176"/>
    </row>
    <row r="651" spans="2:62" x14ac:dyDescent="0.3">
      <c r="B651" s="3"/>
      <c r="C651" s="2"/>
      <c r="D651" s="2"/>
      <c r="E651" s="3"/>
      <c r="O651" s="176"/>
      <c r="P651" s="176"/>
      <c r="Q651" s="176"/>
      <c r="R651" s="176"/>
      <c r="S651" s="176"/>
      <c r="T651" s="176"/>
      <c r="U651" s="176"/>
      <c r="V651" s="176"/>
      <c r="W651" s="176"/>
      <c r="X651" s="176"/>
      <c r="Y651" s="176"/>
      <c r="Z651" s="176"/>
      <c r="AA651" s="176"/>
      <c r="AB651" s="176"/>
      <c r="AC651" s="176"/>
      <c r="AD651" s="176"/>
      <c r="AE651" s="176"/>
      <c r="AF651" s="176"/>
      <c r="AG651" s="176"/>
      <c r="AH651" s="176"/>
      <c r="AI651" s="176"/>
      <c r="AJ651" s="176"/>
      <c r="AK651" s="176"/>
      <c r="AL651" s="176"/>
      <c r="AM651" s="176"/>
      <c r="AN651" s="176"/>
      <c r="AO651" s="176"/>
      <c r="AP651" s="176"/>
      <c r="AQ651" s="176"/>
      <c r="AR651" s="176"/>
      <c r="AS651" s="176"/>
      <c r="AT651" s="176"/>
      <c r="AU651" s="176"/>
      <c r="AV651" s="176"/>
      <c r="AW651" s="176"/>
      <c r="AX651" s="176"/>
      <c r="AY651" s="176"/>
      <c r="AZ651" s="176"/>
      <c r="BA651" s="176"/>
      <c r="BB651" s="176"/>
      <c r="BC651" s="176"/>
      <c r="BD651" s="176"/>
      <c r="BE651" s="176"/>
      <c r="BF651" s="176"/>
      <c r="BG651" s="176"/>
      <c r="BH651" s="176"/>
      <c r="BI651" s="176"/>
      <c r="BJ651" s="176"/>
    </row>
    <row r="652" spans="2:62" x14ac:dyDescent="0.3">
      <c r="B652" s="3"/>
      <c r="C652" s="2"/>
      <c r="D652" s="2"/>
      <c r="E652" s="3"/>
      <c r="O652" s="176"/>
      <c r="P652" s="176"/>
      <c r="Q652" s="176"/>
      <c r="R652" s="176"/>
      <c r="S652" s="176"/>
      <c r="T652" s="176"/>
      <c r="U652" s="176"/>
      <c r="V652" s="176"/>
      <c r="W652" s="176"/>
      <c r="X652" s="176"/>
      <c r="Y652" s="176"/>
      <c r="Z652" s="176"/>
      <c r="AA652" s="176"/>
      <c r="AB652" s="176"/>
      <c r="AC652" s="176"/>
      <c r="AD652" s="176"/>
      <c r="AE652" s="176"/>
      <c r="AF652" s="176"/>
      <c r="AG652" s="176"/>
      <c r="AH652" s="176"/>
      <c r="AI652" s="176"/>
      <c r="AJ652" s="176"/>
      <c r="AK652" s="176"/>
      <c r="AL652" s="176"/>
      <c r="AM652" s="176"/>
      <c r="AN652" s="176"/>
      <c r="AO652" s="176"/>
      <c r="AP652" s="176"/>
      <c r="AQ652" s="176"/>
      <c r="AR652" s="176"/>
      <c r="AS652" s="176"/>
      <c r="AT652" s="176"/>
      <c r="AU652" s="176"/>
      <c r="AV652" s="176"/>
      <c r="AW652" s="176"/>
      <c r="AX652" s="176"/>
      <c r="AY652" s="176"/>
      <c r="AZ652" s="176"/>
      <c r="BA652" s="176"/>
      <c r="BB652" s="176"/>
      <c r="BC652" s="176"/>
      <c r="BD652" s="176"/>
      <c r="BE652" s="176"/>
      <c r="BF652" s="176"/>
      <c r="BG652" s="176"/>
      <c r="BH652" s="176"/>
      <c r="BI652" s="176"/>
      <c r="BJ652" s="176"/>
    </row>
    <row r="653" spans="2:62" x14ac:dyDescent="0.3">
      <c r="B653" s="3"/>
      <c r="C653" s="2"/>
      <c r="D653" s="2"/>
      <c r="E653" s="3"/>
      <c r="O653" s="176"/>
      <c r="P653" s="176"/>
      <c r="Q653" s="176"/>
      <c r="R653" s="176"/>
      <c r="S653" s="176"/>
      <c r="T653" s="176"/>
      <c r="U653" s="176"/>
      <c r="V653" s="176"/>
      <c r="W653" s="176"/>
      <c r="X653" s="176"/>
      <c r="Y653" s="176"/>
      <c r="Z653" s="176"/>
      <c r="AA653" s="176"/>
      <c r="AB653" s="176"/>
      <c r="AC653" s="176"/>
      <c r="AD653" s="176"/>
      <c r="AE653" s="176"/>
      <c r="AF653" s="176"/>
      <c r="AG653" s="176"/>
      <c r="AH653" s="176"/>
      <c r="AI653" s="176"/>
      <c r="AJ653" s="176"/>
      <c r="AK653" s="176"/>
      <c r="AL653" s="176"/>
      <c r="AM653" s="176"/>
      <c r="AN653" s="176"/>
      <c r="AO653" s="176"/>
      <c r="AP653" s="176"/>
      <c r="AQ653" s="176"/>
      <c r="AR653" s="176"/>
      <c r="AS653" s="176"/>
      <c r="AT653" s="176"/>
      <c r="AU653" s="176"/>
      <c r="AV653" s="176"/>
      <c r="AW653" s="176"/>
      <c r="AX653" s="176"/>
      <c r="AY653" s="176"/>
      <c r="AZ653" s="176"/>
      <c r="BA653" s="176"/>
      <c r="BB653" s="176"/>
      <c r="BC653" s="176"/>
      <c r="BD653" s="176"/>
      <c r="BE653" s="176"/>
      <c r="BF653" s="176"/>
      <c r="BG653" s="176"/>
      <c r="BH653" s="176"/>
      <c r="BI653" s="176"/>
      <c r="BJ653" s="176"/>
    </row>
    <row r="654" spans="2:62" x14ac:dyDescent="0.3">
      <c r="B654" s="3"/>
      <c r="C654" s="2"/>
      <c r="D654" s="2"/>
      <c r="E654" s="3"/>
      <c r="O654" s="176"/>
      <c r="P654" s="176"/>
      <c r="Q654" s="176"/>
      <c r="R654" s="176"/>
      <c r="S654" s="176"/>
      <c r="T654" s="176"/>
      <c r="U654" s="176"/>
      <c r="V654" s="176"/>
      <c r="W654" s="176"/>
      <c r="X654" s="176"/>
      <c r="Y654" s="176"/>
      <c r="Z654" s="176"/>
      <c r="AA654" s="176"/>
      <c r="AB654" s="176"/>
      <c r="AC654" s="176"/>
      <c r="AD654" s="176"/>
      <c r="AE654" s="176"/>
      <c r="AF654" s="176"/>
      <c r="AG654" s="176"/>
      <c r="AH654" s="176"/>
      <c r="AI654" s="176"/>
      <c r="AJ654" s="176"/>
      <c r="AK654" s="176"/>
      <c r="AL654" s="176"/>
      <c r="AM654" s="176"/>
      <c r="AN654" s="176"/>
      <c r="AO654" s="176"/>
      <c r="AP654" s="176"/>
      <c r="AQ654" s="176"/>
      <c r="AR654" s="176"/>
      <c r="AS654" s="176"/>
      <c r="AT654" s="176"/>
      <c r="AU654" s="176"/>
      <c r="AV654" s="176"/>
      <c r="AW654" s="176"/>
      <c r="AX654" s="176"/>
      <c r="AY654" s="176"/>
      <c r="AZ654" s="176"/>
      <c r="BA654" s="176"/>
      <c r="BB654" s="176"/>
      <c r="BC654" s="176"/>
      <c r="BD654" s="176"/>
      <c r="BE654" s="176"/>
      <c r="BF654" s="176"/>
      <c r="BG654" s="176"/>
      <c r="BH654" s="176"/>
      <c r="BI654" s="176"/>
      <c r="BJ654" s="176"/>
    </row>
    <row r="655" spans="2:62" x14ac:dyDescent="0.3">
      <c r="B655" s="3"/>
      <c r="C655" s="2"/>
      <c r="D655" s="2"/>
      <c r="E655" s="3"/>
      <c r="O655" s="176"/>
      <c r="P655" s="176"/>
      <c r="Q655" s="176"/>
      <c r="R655" s="176"/>
      <c r="S655" s="176"/>
      <c r="T655" s="176"/>
      <c r="U655" s="176"/>
      <c r="V655" s="176"/>
      <c r="W655" s="176"/>
      <c r="X655" s="176"/>
      <c r="Y655" s="176"/>
      <c r="Z655" s="176"/>
      <c r="AA655" s="176"/>
      <c r="AB655" s="176"/>
      <c r="AC655" s="176"/>
      <c r="AD655" s="176"/>
      <c r="AE655" s="176"/>
      <c r="AF655" s="176"/>
      <c r="AG655" s="176"/>
      <c r="AH655" s="176"/>
      <c r="AI655" s="176"/>
      <c r="AJ655" s="176"/>
      <c r="AK655" s="176"/>
      <c r="AL655" s="176"/>
      <c r="AM655" s="176"/>
      <c r="AN655" s="176"/>
      <c r="AO655" s="176"/>
      <c r="AP655" s="176"/>
      <c r="AQ655" s="176"/>
      <c r="AR655" s="176"/>
      <c r="AS655" s="176"/>
      <c r="AT655" s="176"/>
      <c r="AU655" s="176"/>
      <c r="AV655" s="176"/>
      <c r="AW655" s="176"/>
      <c r="AX655" s="176"/>
      <c r="AY655" s="176"/>
      <c r="AZ655" s="176"/>
      <c r="BA655" s="176"/>
      <c r="BB655" s="176"/>
      <c r="BC655" s="176"/>
      <c r="BD655" s="176"/>
      <c r="BE655" s="176"/>
      <c r="BF655" s="176"/>
      <c r="BG655" s="176"/>
      <c r="BH655" s="176"/>
      <c r="BI655" s="176"/>
      <c r="BJ655" s="176"/>
    </row>
    <row r="656" spans="2:62" x14ac:dyDescent="0.3">
      <c r="B656" s="3"/>
      <c r="C656" s="2"/>
      <c r="D656" s="2"/>
      <c r="E656" s="3"/>
      <c r="O656" s="176"/>
      <c r="P656" s="176"/>
      <c r="Q656" s="176"/>
      <c r="R656" s="176"/>
      <c r="S656" s="176"/>
      <c r="T656" s="176"/>
      <c r="U656" s="176"/>
      <c r="V656" s="176"/>
      <c r="W656" s="176"/>
      <c r="X656" s="176"/>
      <c r="Y656" s="176"/>
      <c r="Z656" s="176"/>
      <c r="AA656" s="176"/>
      <c r="AB656" s="176"/>
      <c r="AC656" s="176"/>
      <c r="AD656" s="176"/>
      <c r="AE656" s="176"/>
      <c r="AF656" s="176"/>
      <c r="AG656" s="176"/>
      <c r="AH656" s="176"/>
      <c r="AI656" s="176"/>
      <c r="AJ656" s="176"/>
      <c r="AK656" s="176"/>
      <c r="AL656" s="176"/>
      <c r="AM656" s="176"/>
      <c r="AN656" s="176"/>
      <c r="AO656" s="176"/>
      <c r="AP656" s="176"/>
      <c r="AQ656" s="176"/>
      <c r="AR656" s="176"/>
      <c r="AS656" s="176"/>
      <c r="AT656" s="176"/>
      <c r="AU656" s="176"/>
      <c r="AV656" s="176"/>
      <c r="AW656" s="176"/>
      <c r="AX656" s="176"/>
      <c r="AY656" s="176"/>
      <c r="AZ656" s="176"/>
      <c r="BA656" s="176"/>
      <c r="BB656" s="176"/>
      <c r="BC656" s="176"/>
      <c r="BD656" s="176"/>
      <c r="BE656" s="176"/>
      <c r="BF656" s="176"/>
      <c r="BG656" s="176"/>
      <c r="BH656" s="176"/>
      <c r="BI656" s="176"/>
      <c r="BJ656" s="176"/>
    </row>
    <row r="657" spans="2:62" x14ac:dyDescent="0.3">
      <c r="B657" s="3"/>
      <c r="C657" s="2"/>
      <c r="D657" s="2"/>
      <c r="E657" s="3"/>
      <c r="O657" s="176"/>
      <c r="P657" s="176"/>
      <c r="Q657" s="176"/>
      <c r="R657" s="176"/>
      <c r="S657" s="176"/>
      <c r="T657" s="176"/>
      <c r="U657" s="176"/>
      <c r="V657" s="176"/>
      <c r="W657" s="176"/>
      <c r="X657" s="176"/>
      <c r="Y657" s="176"/>
      <c r="Z657" s="176"/>
      <c r="AA657" s="176"/>
      <c r="AB657" s="176"/>
      <c r="AC657" s="176"/>
      <c r="AD657" s="176"/>
      <c r="AE657" s="176"/>
      <c r="AF657" s="176"/>
      <c r="AG657" s="176"/>
      <c r="AH657" s="176"/>
      <c r="AI657" s="176"/>
      <c r="AJ657" s="176"/>
      <c r="AK657" s="176"/>
      <c r="AL657" s="176"/>
      <c r="AM657" s="176"/>
      <c r="AN657" s="176"/>
      <c r="AO657" s="176"/>
      <c r="AP657" s="176"/>
      <c r="AQ657" s="176"/>
      <c r="AR657" s="176"/>
      <c r="AS657" s="176"/>
      <c r="AT657" s="176"/>
      <c r="AU657" s="176"/>
      <c r="AV657" s="176"/>
      <c r="AW657" s="176"/>
      <c r="AX657" s="176"/>
      <c r="AY657" s="176"/>
      <c r="AZ657" s="176"/>
      <c r="BA657" s="176"/>
      <c r="BB657" s="176"/>
      <c r="BC657" s="176"/>
      <c r="BD657" s="176"/>
      <c r="BE657" s="176"/>
      <c r="BF657" s="176"/>
      <c r="BG657" s="176"/>
      <c r="BH657" s="176"/>
      <c r="BI657" s="176"/>
      <c r="BJ657" s="176"/>
    </row>
    <row r="658" spans="2:62" x14ac:dyDescent="0.3">
      <c r="B658" s="3"/>
      <c r="C658" s="2"/>
      <c r="D658" s="2"/>
      <c r="E658" s="3"/>
      <c r="O658" s="176"/>
      <c r="P658" s="176"/>
      <c r="Q658" s="176"/>
      <c r="R658" s="176"/>
      <c r="S658" s="176"/>
      <c r="T658" s="176"/>
      <c r="U658" s="176"/>
      <c r="V658" s="176"/>
      <c r="W658" s="176"/>
      <c r="X658" s="176"/>
      <c r="Y658" s="176"/>
      <c r="Z658" s="176"/>
      <c r="AA658" s="176"/>
      <c r="AB658" s="176"/>
      <c r="AC658" s="176"/>
      <c r="AD658" s="176"/>
      <c r="AE658" s="176"/>
      <c r="AF658" s="176"/>
      <c r="AG658" s="176"/>
      <c r="AH658" s="176"/>
      <c r="AI658" s="176"/>
      <c r="AJ658" s="176"/>
      <c r="AK658" s="176"/>
      <c r="AL658" s="176"/>
      <c r="AM658" s="176"/>
      <c r="AN658" s="176"/>
      <c r="AO658" s="176"/>
      <c r="AP658" s="176"/>
      <c r="AQ658" s="176"/>
      <c r="AR658" s="176"/>
      <c r="AS658" s="176"/>
      <c r="AT658" s="176"/>
      <c r="AU658" s="176"/>
      <c r="AV658" s="176"/>
      <c r="AW658" s="176"/>
      <c r="AX658" s="176"/>
      <c r="AY658" s="176"/>
      <c r="AZ658" s="176"/>
      <c r="BA658" s="176"/>
      <c r="BB658" s="176"/>
      <c r="BC658" s="176"/>
      <c r="BD658" s="176"/>
      <c r="BE658" s="176"/>
      <c r="BF658" s="176"/>
      <c r="BG658" s="176"/>
      <c r="BH658" s="176"/>
      <c r="BI658" s="176"/>
      <c r="BJ658" s="176"/>
    </row>
    <row r="659" spans="2:62" x14ac:dyDescent="0.3">
      <c r="B659" s="3"/>
      <c r="C659" s="2"/>
      <c r="D659" s="2"/>
      <c r="E659" s="3"/>
      <c r="O659" s="176"/>
      <c r="P659" s="176"/>
      <c r="Q659" s="176"/>
      <c r="R659" s="176"/>
      <c r="S659" s="176"/>
      <c r="T659" s="176"/>
      <c r="U659" s="176"/>
      <c r="V659" s="176"/>
      <c r="W659" s="176"/>
      <c r="X659" s="176"/>
      <c r="Y659" s="176"/>
      <c r="Z659" s="176"/>
      <c r="AA659" s="176"/>
      <c r="AB659" s="176"/>
      <c r="AC659" s="176"/>
      <c r="AD659" s="176"/>
      <c r="AE659" s="176"/>
      <c r="AF659" s="176"/>
      <c r="AG659" s="176"/>
      <c r="AH659" s="176"/>
      <c r="AI659" s="176"/>
      <c r="AJ659" s="176"/>
      <c r="AK659" s="176"/>
      <c r="AL659" s="176"/>
      <c r="AM659" s="176"/>
      <c r="AN659" s="176"/>
      <c r="AO659" s="176"/>
      <c r="AP659" s="176"/>
      <c r="AQ659" s="176"/>
      <c r="AR659" s="176"/>
      <c r="AS659" s="176"/>
      <c r="AT659" s="176"/>
      <c r="AU659" s="176"/>
      <c r="AV659" s="176"/>
      <c r="AW659" s="176"/>
      <c r="AX659" s="176"/>
      <c r="AY659" s="176"/>
      <c r="AZ659" s="176"/>
      <c r="BA659" s="176"/>
      <c r="BB659" s="176"/>
      <c r="BC659" s="176"/>
      <c r="BD659" s="176"/>
      <c r="BE659" s="176"/>
      <c r="BF659" s="176"/>
      <c r="BG659" s="176"/>
      <c r="BH659" s="176"/>
      <c r="BI659" s="176"/>
      <c r="BJ659" s="176"/>
    </row>
    <row r="660" spans="2:62" x14ac:dyDescent="0.3">
      <c r="B660" s="3"/>
      <c r="C660" s="2"/>
      <c r="D660" s="2"/>
      <c r="E660" s="3"/>
      <c r="O660" s="176"/>
      <c r="P660" s="176"/>
      <c r="Q660" s="176"/>
      <c r="R660" s="176"/>
      <c r="S660" s="176"/>
      <c r="T660" s="176"/>
      <c r="U660" s="176"/>
      <c r="V660" s="176"/>
      <c r="W660" s="176"/>
      <c r="X660" s="176"/>
      <c r="Y660" s="176"/>
      <c r="Z660" s="176"/>
      <c r="AA660" s="176"/>
      <c r="AB660" s="176"/>
      <c r="AC660" s="176"/>
      <c r="AD660" s="176"/>
      <c r="AE660" s="176"/>
      <c r="AF660" s="176"/>
      <c r="AG660" s="176"/>
      <c r="AH660" s="176"/>
      <c r="AI660" s="176"/>
      <c r="AJ660" s="176"/>
      <c r="AK660" s="176"/>
      <c r="AL660" s="176"/>
      <c r="AM660" s="176"/>
      <c r="AN660" s="176"/>
      <c r="AO660" s="176"/>
      <c r="AP660" s="176"/>
      <c r="AQ660" s="176"/>
      <c r="AR660" s="176"/>
      <c r="AS660" s="176"/>
      <c r="AT660" s="176"/>
      <c r="AU660" s="176"/>
      <c r="AV660" s="176"/>
      <c r="AW660" s="176"/>
      <c r="AX660" s="176"/>
      <c r="AY660" s="176"/>
      <c r="AZ660" s="176"/>
      <c r="BA660" s="176"/>
      <c r="BB660" s="176"/>
      <c r="BC660" s="176"/>
      <c r="BD660" s="176"/>
      <c r="BE660" s="176"/>
      <c r="BF660" s="176"/>
      <c r="BG660" s="176"/>
      <c r="BH660" s="176"/>
      <c r="BI660" s="176"/>
      <c r="BJ660" s="176"/>
    </row>
    <row r="661" spans="2:62" x14ac:dyDescent="0.3">
      <c r="B661" s="3"/>
      <c r="C661" s="2"/>
      <c r="D661" s="2"/>
      <c r="E661" s="3"/>
      <c r="O661" s="176"/>
      <c r="P661" s="176"/>
      <c r="Q661" s="176"/>
      <c r="R661" s="176"/>
      <c r="S661" s="176"/>
      <c r="T661" s="176"/>
      <c r="U661" s="176"/>
      <c r="V661" s="176"/>
      <c r="W661" s="176"/>
      <c r="X661" s="176"/>
      <c r="Y661" s="176"/>
      <c r="Z661" s="176"/>
      <c r="AA661" s="176"/>
      <c r="AB661" s="176"/>
      <c r="AC661" s="176"/>
      <c r="AD661" s="176"/>
      <c r="AE661" s="176"/>
      <c r="AF661" s="176"/>
      <c r="AG661" s="176"/>
      <c r="AH661" s="176"/>
      <c r="AI661" s="176"/>
      <c r="AJ661" s="176"/>
      <c r="AK661" s="176"/>
      <c r="AL661" s="176"/>
      <c r="AM661" s="176"/>
      <c r="AN661" s="176"/>
      <c r="AO661" s="176"/>
      <c r="AP661" s="176"/>
      <c r="AQ661" s="176"/>
      <c r="AR661" s="176"/>
      <c r="AS661" s="176"/>
      <c r="AT661" s="176"/>
      <c r="AU661" s="176"/>
      <c r="AV661" s="176"/>
      <c r="AW661" s="176"/>
      <c r="AX661" s="176"/>
      <c r="AY661" s="176"/>
      <c r="AZ661" s="176"/>
      <c r="BA661" s="176"/>
      <c r="BB661" s="176"/>
      <c r="BC661" s="176"/>
      <c r="BD661" s="176"/>
      <c r="BE661" s="176"/>
      <c r="BF661" s="176"/>
      <c r="BG661" s="176"/>
      <c r="BH661" s="176"/>
      <c r="BI661" s="176"/>
      <c r="BJ661" s="176"/>
    </row>
    <row r="662" spans="2:62" x14ac:dyDescent="0.3">
      <c r="B662" s="3"/>
      <c r="C662" s="2"/>
      <c r="D662" s="2"/>
      <c r="E662" s="3"/>
      <c r="O662" s="176"/>
      <c r="P662" s="176"/>
      <c r="Q662" s="176"/>
      <c r="R662" s="176"/>
      <c r="S662" s="176"/>
      <c r="T662" s="176"/>
      <c r="U662" s="176"/>
      <c r="V662" s="176"/>
      <c r="W662" s="176"/>
      <c r="X662" s="176"/>
      <c r="Y662" s="176"/>
      <c r="Z662" s="176"/>
      <c r="AA662" s="176"/>
      <c r="AB662" s="176"/>
      <c r="AC662" s="176"/>
      <c r="AD662" s="176"/>
      <c r="AE662" s="176"/>
      <c r="AF662" s="176"/>
      <c r="AG662" s="176"/>
      <c r="AH662" s="176"/>
      <c r="AI662" s="176"/>
      <c r="AJ662" s="176"/>
      <c r="AK662" s="176"/>
      <c r="AL662" s="176"/>
      <c r="AM662" s="176"/>
      <c r="AN662" s="176"/>
      <c r="AO662" s="176"/>
      <c r="AP662" s="176"/>
      <c r="AQ662" s="176"/>
      <c r="AR662" s="176"/>
      <c r="AS662" s="176"/>
      <c r="AT662" s="176"/>
      <c r="AU662" s="176"/>
      <c r="AV662" s="176"/>
      <c r="AW662" s="176"/>
      <c r="AX662" s="176"/>
      <c r="AY662" s="176"/>
      <c r="AZ662" s="176"/>
      <c r="BA662" s="176"/>
      <c r="BB662" s="176"/>
      <c r="BC662" s="176"/>
      <c r="BD662" s="176"/>
      <c r="BE662" s="176"/>
      <c r="BF662" s="176"/>
      <c r="BG662" s="176"/>
      <c r="BH662" s="176"/>
      <c r="BI662" s="176"/>
      <c r="BJ662" s="176"/>
    </row>
    <row r="663" spans="2:62" x14ac:dyDescent="0.3">
      <c r="B663" s="3"/>
      <c r="C663" s="2"/>
      <c r="D663" s="2"/>
      <c r="E663" s="3"/>
      <c r="O663" s="176"/>
      <c r="P663" s="176"/>
      <c r="Q663" s="176"/>
      <c r="R663" s="176"/>
      <c r="S663" s="176"/>
      <c r="T663" s="176"/>
      <c r="U663" s="176"/>
      <c r="V663" s="176"/>
      <c r="W663" s="176"/>
      <c r="X663" s="176"/>
      <c r="Y663" s="176"/>
      <c r="Z663" s="176"/>
      <c r="AA663" s="176"/>
      <c r="AB663" s="176"/>
      <c r="AC663" s="176"/>
      <c r="AD663" s="176"/>
      <c r="AE663" s="176"/>
      <c r="AF663" s="176"/>
      <c r="AG663" s="176"/>
      <c r="AH663" s="176"/>
      <c r="AI663" s="176"/>
      <c r="AJ663" s="176"/>
      <c r="AK663" s="176"/>
      <c r="AL663" s="176"/>
      <c r="AM663" s="176"/>
      <c r="AN663" s="176"/>
      <c r="AO663" s="176"/>
      <c r="AP663" s="176"/>
      <c r="AQ663" s="176"/>
      <c r="AR663" s="176"/>
      <c r="AS663" s="176"/>
      <c r="AT663" s="176"/>
      <c r="AU663" s="176"/>
      <c r="AV663" s="176"/>
      <c r="AW663" s="176"/>
      <c r="AX663" s="176"/>
      <c r="AY663" s="176"/>
      <c r="AZ663" s="176"/>
      <c r="BA663" s="176"/>
      <c r="BB663" s="176"/>
      <c r="BC663" s="176"/>
      <c r="BD663" s="176"/>
      <c r="BE663" s="176"/>
      <c r="BF663" s="176"/>
      <c r="BG663" s="176"/>
      <c r="BH663" s="176"/>
      <c r="BI663" s="176"/>
      <c r="BJ663" s="176"/>
    </row>
    <row r="664" spans="2:62" x14ac:dyDescent="0.3">
      <c r="B664" s="3"/>
      <c r="C664" s="2"/>
      <c r="D664" s="2"/>
      <c r="E664" s="3"/>
      <c r="O664" s="176"/>
      <c r="P664" s="176"/>
      <c r="Q664" s="176"/>
      <c r="R664" s="176"/>
      <c r="S664" s="176"/>
      <c r="T664" s="176"/>
      <c r="U664" s="176"/>
      <c r="V664" s="176"/>
      <c r="W664" s="176"/>
      <c r="X664" s="176"/>
      <c r="Y664" s="176"/>
      <c r="Z664" s="176"/>
      <c r="AA664" s="176"/>
      <c r="AB664" s="176"/>
      <c r="AC664" s="176"/>
      <c r="AD664" s="176"/>
      <c r="AE664" s="176"/>
      <c r="AF664" s="176"/>
      <c r="AG664" s="176"/>
      <c r="AH664" s="176"/>
      <c r="AI664" s="176"/>
      <c r="AJ664" s="176"/>
      <c r="AK664" s="176"/>
      <c r="AL664" s="176"/>
      <c r="AM664" s="176"/>
      <c r="AN664" s="176"/>
      <c r="AO664" s="176"/>
      <c r="AP664" s="176"/>
      <c r="AQ664" s="176"/>
      <c r="AR664" s="176"/>
      <c r="AS664" s="176"/>
      <c r="AT664" s="176"/>
      <c r="AU664" s="176"/>
      <c r="AV664" s="176"/>
      <c r="AW664" s="176"/>
      <c r="AX664" s="176"/>
      <c r="AY664" s="176"/>
      <c r="AZ664" s="176"/>
      <c r="BA664" s="176"/>
      <c r="BB664" s="176"/>
      <c r="BC664" s="176"/>
      <c r="BD664" s="176"/>
      <c r="BE664" s="176"/>
      <c r="BF664" s="176"/>
      <c r="BG664" s="176"/>
      <c r="BH664" s="176"/>
      <c r="BI664" s="176"/>
      <c r="BJ664" s="176"/>
    </row>
    <row r="665" spans="2:62" x14ac:dyDescent="0.3">
      <c r="B665" s="3"/>
      <c r="C665" s="2"/>
      <c r="D665" s="2"/>
      <c r="E665" s="3"/>
      <c r="O665" s="176"/>
      <c r="P665" s="176"/>
      <c r="Q665" s="176"/>
      <c r="R665" s="176"/>
      <c r="S665" s="176"/>
      <c r="T665" s="176"/>
      <c r="U665" s="176"/>
      <c r="V665" s="176"/>
      <c r="W665" s="176"/>
      <c r="X665" s="176"/>
      <c r="Y665" s="176"/>
      <c r="Z665" s="176"/>
      <c r="AA665" s="176"/>
      <c r="AB665" s="176"/>
      <c r="AC665" s="176"/>
      <c r="AD665" s="176"/>
      <c r="AE665" s="176"/>
      <c r="AF665" s="176"/>
      <c r="AG665" s="176"/>
      <c r="AH665" s="176"/>
      <c r="AI665" s="176"/>
      <c r="AJ665" s="176"/>
      <c r="AK665" s="176"/>
      <c r="AL665" s="176"/>
      <c r="AM665" s="176"/>
      <c r="AN665" s="176"/>
      <c r="AO665" s="176"/>
      <c r="AP665" s="176"/>
      <c r="AQ665" s="176"/>
      <c r="AR665" s="176"/>
      <c r="AS665" s="176"/>
      <c r="AT665" s="176"/>
      <c r="AU665" s="176"/>
      <c r="AV665" s="176"/>
      <c r="AW665" s="176"/>
      <c r="AX665" s="176"/>
      <c r="AY665" s="176"/>
      <c r="AZ665" s="176"/>
      <c r="BA665" s="176"/>
      <c r="BB665" s="176"/>
      <c r="BC665" s="176"/>
      <c r="BD665" s="176"/>
      <c r="BE665" s="176"/>
      <c r="BF665" s="176"/>
      <c r="BG665" s="176"/>
      <c r="BH665" s="176"/>
      <c r="BI665" s="176"/>
      <c r="BJ665" s="176"/>
    </row>
    <row r="666" spans="2:62" x14ac:dyDescent="0.3">
      <c r="B666" s="3"/>
      <c r="C666" s="2"/>
      <c r="D666" s="2"/>
      <c r="E666" s="3"/>
      <c r="O666" s="176"/>
      <c r="P666" s="176"/>
      <c r="Q666" s="176"/>
      <c r="R666" s="176"/>
      <c r="S666" s="176"/>
      <c r="T666" s="176"/>
      <c r="U666" s="176"/>
      <c r="V666" s="176"/>
      <c r="W666" s="176"/>
      <c r="X666" s="176"/>
      <c r="Y666" s="176"/>
      <c r="Z666" s="176"/>
      <c r="AA666" s="176"/>
      <c r="AB666" s="176"/>
      <c r="AC666" s="176"/>
      <c r="AD666" s="176"/>
      <c r="AE666" s="176"/>
      <c r="AF666" s="176"/>
      <c r="AG666" s="176"/>
      <c r="AH666" s="176"/>
      <c r="AI666" s="176"/>
      <c r="AJ666" s="176"/>
      <c r="AK666" s="176"/>
      <c r="AL666" s="176"/>
      <c r="AM666" s="176"/>
      <c r="AN666" s="176"/>
      <c r="AO666" s="176"/>
      <c r="AP666" s="176"/>
      <c r="AQ666" s="176"/>
      <c r="AR666" s="176"/>
      <c r="AS666" s="176"/>
      <c r="AT666" s="176"/>
      <c r="AU666" s="176"/>
      <c r="AV666" s="176"/>
      <c r="AW666" s="176"/>
      <c r="AX666" s="176"/>
      <c r="AY666" s="176"/>
      <c r="AZ666" s="176"/>
      <c r="BA666" s="176"/>
      <c r="BB666" s="176"/>
      <c r="BC666" s="176"/>
      <c r="BD666" s="176"/>
      <c r="BE666" s="176"/>
      <c r="BF666" s="176"/>
      <c r="BG666" s="176"/>
      <c r="BH666" s="176"/>
      <c r="BI666" s="176"/>
      <c r="BJ666" s="176"/>
    </row>
    <row r="667" spans="2:62" x14ac:dyDescent="0.3">
      <c r="B667" s="3"/>
      <c r="C667" s="2"/>
      <c r="D667" s="2"/>
      <c r="E667" s="3"/>
      <c r="O667" s="176"/>
      <c r="P667" s="176"/>
      <c r="Q667" s="176"/>
      <c r="R667" s="176"/>
      <c r="S667" s="176"/>
      <c r="T667" s="176"/>
      <c r="U667" s="176"/>
      <c r="V667" s="176"/>
      <c r="W667" s="176"/>
      <c r="X667" s="176"/>
      <c r="Y667" s="176"/>
      <c r="Z667" s="176"/>
      <c r="AA667" s="176"/>
      <c r="AB667" s="176"/>
      <c r="AC667" s="176"/>
      <c r="AD667" s="176"/>
      <c r="AE667" s="176"/>
      <c r="AF667" s="176"/>
      <c r="AG667" s="176"/>
      <c r="AH667" s="176"/>
      <c r="AI667" s="176"/>
      <c r="AJ667" s="176"/>
      <c r="AK667" s="176"/>
      <c r="AL667" s="176"/>
      <c r="AM667" s="176"/>
      <c r="AN667" s="176"/>
      <c r="AO667" s="176"/>
      <c r="AP667" s="176"/>
      <c r="AQ667" s="176"/>
      <c r="AR667" s="176"/>
      <c r="AS667" s="176"/>
      <c r="AT667" s="176"/>
      <c r="AU667" s="176"/>
      <c r="AV667" s="176"/>
      <c r="AW667" s="176"/>
      <c r="AX667" s="176"/>
      <c r="AY667" s="176"/>
      <c r="AZ667" s="176"/>
      <c r="BA667" s="176"/>
      <c r="BB667" s="176"/>
      <c r="BC667" s="176"/>
      <c r="BD667" s="176"/>
      <c r="BE667" s="176"/>
      <c r="BF667" s="176"/>
      <c r="BG667" s="176"/>
      <c r="BH667" s="176"/>
      <c r="BI667" s="176"/>
      <c r="BJ667" s="176"/>
    </row>
    <row r="668" spans="2:62" x14ac:dyDescent="0.3">
      <c r="B668" s="3"/>
      <c r="C668" s="2"/>
      <c r="D668" s="2"/>
      <c r="E668" s="3"/>
      <c r="O668" s="176"/>
      <c r="P668" s="176"/>
      <c r="Q668" s="176"/>
      <c r="R668" s="176"/>
      <c r="S668" s="176"/>
      <c r="T668" s="176"/>
      <c r="U668" s="176"/>
      <c r="V668" s="176"/>
      <c r="W668" s="176"/>
      <c r="X668" s="176"/>
      <c r="Y668" s="176"/>
      <c r="Z668" s="176"/>
      <c r="AA668" s="176"/>
      <c r="AB668" s="176"/>
      <c r="AC668" s="176"/>
      <c r="AD668" s="176"/>
      <c r="AE668" s="176"/>
      <c r="AF668" s="176"/>
      <c r="AG668" s="176"/>
      <c r="AH668" s="176"/>
      <c r="AI668" s="176"/>
      <c r="AJ668" s="176"/>
      <c r="AK668" s="176"/>
      <c r="AL668" s="176"/>
      <c r="AM668" s="176"/>
      <c r="AN668" s="176"/>
      <c r="AO668" s="176"/>
      <c r="AP668" s="176"/>
      <c r="AQ668" s="176"/>
      <c r="AR668" s="176"/>
      <c r="AS668" s="176"/>
      <c r="AT668" s="176"/>
      <c r="AU668" s="176"/>
      <c r="AV668" s="176"/>
      <c r="AW668" s="176"/>
      <c r="AX668" s="176"/>
      <c r="AY668" s="176"/>
      <c r="AZ668" s="176"/>
      <c r="BA668" s="176"/>
      <c r="BB668" s="176"/>
      <c r="BC668" s="176"/>
      <c r="BD668" s="176"/>
      <c r="BE668" s="176"/>
      <c r="BF668" s="176"/>
      <c r="BG668" s="176"/>
      <c r="BH668" s="176"/>
      <c r="BI668" s="176"/>
      <c r="BJ668" s="176"/>
    </row>
    <row r="669" spans="2:62" x14ac:dyDescent="0.3">
      <c r="B669" s="3"/>
      <c r="C669" s="2"/>
      <c r="D669" s="2"/>
      <c r="E669" s="3"/>
      <c r="O669" s="176"/>
      <c r="P669" s="176"/>
      <c r="Q669" s="176"/>
      <c r="R669" s="176"/>
      <c r="S669" s="176"/>
      <c r="T669" s="176"/>
      <c r="U669" s="176"/>
      <c r="V669" s="176"/>
      <c r="W669" s="176"/>
      <c r="X669" s="176"/>
      <c r="Y669" s="176"/>
      <c r="Z669" s="176"/>
      <c r="AA669" s="176"/>
      <c r="AB669" s="176"/>
      <c r="AC669" s="176"/>
      <c r="AD669" s="176"/>
      <c r="AE669" s="176"/>
      <c r="AF669" s="176"/>
      <c r="AG669" s="176"/>
      <c r="AH669" s="176"/>
      <c r="AI669" s="176"/>
      <c r="AJ669" s="176"/>
      <c r="AK669" s="176"/>
      <c r="AL669" s="176"/>
      <c r="AM669" s="176"/>
      <c r="AN669" s="176"/>
      <c r="AO669" s="176"/>
      <c r="AP669" s="176"/>
      <c r="AQ669" s="176"/>
      <c r="AR669" s="176"/>
      <c r="AS669" s="176"/>
      <c r="AT669" s="176"/>
      <c r="AU669" s="176"/>
      <c r="AV669" s="176"/>
      <c r="AW669" s="176"/>
      <c r="AX669" s="176"/>
      <c r="AY669" s="176"/>
      <c r="AZ669" s="176"/>
      <c r="BA669" s="176"/>
      <c r="BB669" s="176"/>
      <c r="BC669" s="176"/>
      <c r="BD669" s="176"/>
      <c r="BE669" s="176"/>
      <c r="BF669" s="176"/>
      <c r="BG669" s="176"/>
      <c r="BH669" s="176"/>
      <c r="BI669" s="176"/>
      <c r="BJ669" s="176"/>
    </row>
    <row r="670" spans="2:62" x14ac:dyDescent="0.3">
      <c r="B670" s="3"/>
      <c r="C670" s="2"/>
      <c r="D670" s="2"/>
      <c r="E670" s="3"/>
      <c r="O670" s="176"/>
      <c r="P670" s="176"/>
      <c r="Q670" s="176"/>
      <c r="R670" s="176"/>
      <c r="S670" s="176"/>
      <c r="T670" s="176"/>
      <c r="U670" s="176"/>
      <c r="V670" s="176"/>
      <c r="W670" s="176"/>
      <c r="X670" s="176"/>
      <c r="Y670" s="176"/>
      <c r="Z670" s="176"/>
      <c r="AA670" s="176"/>
      <c r="AB670" s="176"/>
      <c r="AC670" s="176"/>
      <c r="AD670" s="176"/>
      <c r="AE670" s="176"/>
      <c r="AF670" s="176"/>
      <c r="AG670" s="176"/>
      <c r="AH670" s="176"/>
      <c r="AI670" s="176"/>
      <c r="AJ670" s="176"/>
      <c r="AK670" s="176"/>
      <c r="AL670" s="176"/>
      <c r="AM670" s="176"/>
      <c r="AN670" s="176"/>
      <c r="AO670" s="176"/>
      <c r="AP670" s="176"/>
      <c r="AQ670" s="176"/>
      <c r="AR670" s="176"/>
      <c r="AS670" s="176"/>
      <c r="AT670" s="176"/>
      <c r="AU670" s="176"/>
      <c r="AV670" s="176"/>
      <c r="AW670" s="176"/>
      <c r="AX670" s="176"/>
      <c r="AY670" s="176"/>
      <c r="AZ670" s="176"/>
      <c r="BA670" s="176"/>
      <c r="BB670" s="176"/>
      <c r="BC670" s="176"/>
      <c r="BD670" s="176"/>
      <c r="BE670" s="176"/>
      <c r="BF670" s="176"/>
      <c r="BG670" s="176"/>
      <c r="BH670" s="176"/>
      <c r="BI670" s="176"/>
      <c r="BJ670" s="176"/>
    </row>
    <row r="671" spans="2:62" x14ac:dyDescent="0.3">
      <c r="B671" s="3"/>
      <c r="C671" s="2"/>
      <c r="D671" s="2"/>
      <c r="E671" s="3"/>
      <c r="O671" s="176"/>
      <c r="P671" s="176"/>
      <c r="Q671" s="176"/>
      <c r="R671" s="176"/>
      <c r="S671" s="176"/>
      <c r="T671" s="176"/>
      <c r="U671" s="176"/>
      <c r="V671" s="176"/>
      <c r="W671" s="176"/>
      <c r="X671" s="176"/>
      <c r="Y671" s="176"/>
      <c r="Z671" s="176"/>
      <c r="AA671" s="176"/>
      <c r="AB671" s="176"/>
      <c r="AC671" s="176"/>
      <c r="AD671" s="176"/>
      <c r="AE671" s="176"/>
      <c r="AF671" s="176"/>
      <c r="AG671" s="176"/>
      <c r="AH671" s="176"/>
      <c r="AI671" s="176"/>
      <c r="AJ671" s="176"/>
      <c r="AK671" s="176"/>
      <c r="AL671" s="176"/>
      <c r="AM671" s="176"/>
      <c r="AN671" s="176"/>
      <c r="AO671" s="176"/>
      <c r="AP671" s="176"/>
      <c r="AQ671" s="176"/>
      <c r="AR671" s="176"/>
      <c r="AS671" s="176"/>
      <c r="AT671" s="176"/>
      <c r="AU671" s="176"/>
      <c r="AV671" s="176"/>
      <c r="AW671" s="176"/>
      <c r="AX671" s="176"/>
      <c r="AY671" s="176"/>
      <c r="AZ671" s="176"/>
      <c r="BA671" s="176"/>
      <c r="BB671" s="176"/>
      <c r="BC671" s="176"/>
      <c r="BD671" s="176"/>
      <c r="BE671" s="176"/>
      <c r="BF671" s="176"/>
      <c r="BG671" s="176"/>
      <c r="BH671" s="176"/>
      <c r="BI671" s="176"/>
      <c r="BJ671" s="176"/>
    </row>
    <row r="672" spans="2:62" x14ac:dyDescent="0.3">
      <c r="B672" s="3"/>
      <c r="C672" s="2"/>
      <c r="D672" s="2"/>
      <c r="E672" s="3"/>
      <c r="O672" s="176"/>
      <c r="P672" s="176"/>
      <c r="Q672" s="176"/>
      <c r="R672" s="176"/>
      <c r="S672" s="176"/>
      <c r="T672" s="176"/>
      <c r="U672" s="176"/>
      <c r="V672" s="176"/>
      <c r="W672" s="176"/>
      <c r="X672" s="176"/>
      <c r="Y672" s="176"/>
      <c r="Z672" s="176"/>
      <c r="AA672" s="176"/>
      <c r="AB672" s="176"/>
      <c r="AC672" s="176"/>
      <c r="AD672" s="176"/>
      <c r="AE672" s="176"/>
      <c r="AF672" s="176"/>
      <c r="AG672" s="176"/>
      <c r="AH672" s="176"/>
      <c r="AI672" s="176"/>
      <c r="AJ672" s="176"/>
      <c r="AK672" s="176"/>
      <c r="AL672" s="176"/>
      <c r="AM672" s="176"/>
      <c r="AN672" s="176"/>
      <c r="AO672" s="176"/>
      <c r="AP672" s="176"/>
      <c r="AQ672" s="176"/>
      <c r="AR672" s="176"/>
      <c r="AS672" s="176"/>
      <c r="AT672" s="176"/>
      <c r="AU672" s="176"/>
      <c r="AV672" s="176"/>
      <c r="AW672" s="176"/>
      <c r="AX672" s="176"/>
      <c r="AY672" s="176"/>
      <c r="AZ672" s="176"/>
      <c r="BA672" s="176"/>
      <c r="BB672" s="176"/>
      <c r="BC672" s="176"/>
      <c r="BD672" s="176"/>
      <c r="BE672" s="176"/>
      <c r="BF672" s="176"/>
      <c r="BG672" s="176"/>
      <c r="BH672" s="176"/>
      <c r="BI672" s="176"/>
      <c r="BJ672" s="176"/>
    </row>
    <row r="673" spans="2:62" x14ac:dyDescent="0.3">
      <c r="B673" s="3"/>
      <c r="C673" s="2"/>
      <c r="D673" s="2"/>
      <c r="E673" s="3"/>
      <c r="O673" s="176"/>
      <c r="P673" s="176"/>
      <c r="Q673" s="176"/>
      <c r="R673" s="176"/>
      <c r="S673" s="176"/>
      <c r="T673" s="176"/>
      <c r="U673" s="176"/>
      <c r="V673" s="176"/>
      <c r="W673" s="176"/>
      <c r="X673" s="176"/>
      <c r="Y673" s="176"/>
      <c r="Z673" s="176"/>
      <c r="AA673" s="176"/>
      <c r="AB673" s="176"/>
      <c r="AC673" s="176"/>
      <c r="AD673" s="176"/>
      <c r="AE673" s="176"/>
      <c r="AF673" s="176"/>
      <c r="AG673" s="176"/>
      <c r="AH673" s="176"/>
      <c r="AI673" s="176"/>
      <c r="AJ673" s="176"/>
      <c r="AK673" s="176"/>
      <c r="AL673" s="176"/>
      <c r="AM673" s="176"/>
      <c r="AN673" s="176"/>
      <c r="AO673" s="176"/>
      <c r="AP673" s="176"/>
      <c r="AQ673" s="176"/>
      <c r="AR673" s="176"/>
      <c r="AS673" s="176"/>
      <c r="AT673" s="176"/>
      <c r="AU673" s="176"/>
      <c r="AV673" s="176"/>
      <c r="AW673" s="176"/>
      <c r="AX673" s="176"/>
      <c r="AY673" s="176"/>
      <c r="AZ673" s="176"/>
      <c r="BA673" s="176"/>
      <c r="BB673" s="176"/>
      <c r="BC673" s="176"/>
      <c r="BD673" s="176"/>
      <c r="BE673" s="176"/>
      <c r="BF673" s="176"/>
      <c r="BG673" s="176"/>
      <c r="BH673" s="176"/>
      <c r="BI673" s="176"/>
      <c r="BJ673" s="176"/>
    </row>
    <row r="674" spans="2:62" x14ac:dyDescent="0.3">
      <c r="B674" s="3"/>
      <c r="C674" s="2"/>
      <c r="D674" s="2"/>
      <c r="E674" s="3"/>
      <c r="O674" s="176"/>
      <c r="P674" s="176"/>
      <c r="Q674" s="176"/>
      <c r="R674" s="176"/>
      <c r="S674" s="176"/>
      <c r="T674" s="176"/>
      <c r="U674" s="176"/>
      <c r="V674" s="176"/>
      <c r="W674" s="176"/>
      <c r="X674" s="176"/>
      <c r="Y674" s="176"/>
      <c r="Z674" s="176"/>
      <c r="AA674" s="176"/>
      <c r="AB674" s="176"/>
      <c r="AC674" s="176"/>
      <c r="AD674" s="176"/>
      <c r="AE674" s="176"/>
      <c r="AF674" s="176"/>
      <c r="AG674" s="176"/>
      <c r="AH674" s="176"/>
      <c r="AI674" s="176"/>
      <c r="AJ674" s="176"/>
      <c r="AK674" s="176"/>
      <c r="AL674" s="176"/>
      <c r="AM674" s="176"/>
      <c r="AN674" s="176"/>
      <c r="AO674" s="176"/>
      <c r="AP674" s="176"/>
      <c r="AQ674" s="176"/>
      <c r="AR674" s="176"/>
      <c r="AS674" s="176"/>
      <c r="AT674" s="176"/>
      <c r="AU674" s="176"/>
      <c r="AV674" s="176"/>
      <c r="AW674" s="176"/>
      <c r="AX674" s="176"/>
      <c r="AY674" s="176"/>
      <c r="AZ674" s="176"/>
      <c r="BA674" s="176"/>
      <c r="BB674" s="176"/>
      <c r="BC674" s="176"/>
      <c r="BD674" s="176"/>
      <c r="BE674" s="176"/>
      <c r="BF674" s="176"/>
      <c r="BG674" s="176"/>
      <c r="BH674" s="176"/>
      <c r="BI674" s="176"/>
      <c r="BJ674" s="176"/>
    </row>
    <row r="675" spans="2:62" x14ac:dyDescent="0.3">
      <c r="B675" s="3"/>
      <c r="C675" s="2"/>
      <c r="D675" s="2"/>
      <c r="E675" s="3"/>
      <c r="O675" s="176"/>
      <c r="P675" s="176"/>
      <c r="Q675" s="176"/>
      <c r="R675" s="176"/>
      <c r="S675" s="176"/>
      <c r="T675" s="176"/>
      <c r="U675" s="176"/>
      <c r="V675" s="176"/>
      <c r="W675" s="176"/>
      <c r="X675" s="176"/>
      <c r="Y675" s="176"/>
      <c r="Z675" s="176"/>
      <c r="AA675" s="176"/>
      <c r="AB675" s="176"/>
      <c r="AC675" s="176"/>
      <c r="AD675" s="176"/>
      <c r="AE675" s="176"/>
      <c r="AF675" s="176"/>
      <c r="AG675" s="176"/>
      <c r="AH675" s="176"/>
      <c r="AI675" s="176"/>
      <c r="AJ675" s="176"/>
      <c r="AK675" s="176"/>
      <c r="AL675" s="176"/>
      <c r="AM675" s="176"/>
      <c r="AN675" s="176"/>
      <c r="AO675" s="176"/>
      <c r="AP675" s="176"/>
      <c r="AQ675" s="176"/>
      <c r="AR675" s="176"/>
      <c r="AS675" s="176"/>
      <c r="AT675" s="176"/>
      <c r="AU675" s="176"/>
      <c r="AV675" s="176"/>
      <c r="AW675" s="176"/>
      <c r="AX675" s="176"/>
      <c r="AY675" s="176"/>
      <c r="AZ675" s="176"/>
      <c r="BA675" s="176"/>
      <c r="BB675" s="176"/>
      <c r="BC675" s="176"/>
      <c r="BD675" s="176"/>
      <c r="BE675" s="176"/>
      <c r="BF675" s="176"/>
      <c r="BG675" s="176"/>
      <c r="BH675" s="176"/>
      <c r="BI675" s="176"/>
      <c r="BJ675" s="176"/>
    </row>
    <row r="676" spans="2:62" x14ac:dyDescent="0.3">
      <c r="B676" s="3"/>
      <c r="C676" s="2"/>
      <c r="D676" s="2"/>
      <c r="E676" s="3"/>
      <c r="O676" s="176"/>
      <c r="P676" s="176"/>
      <c r="Q676" s="176"/>
      <c r="R676" s="176"/>
      <c r="S676" s="176"/>
      <c r="T676" s="176"/>
      <c r="U676" s="176"/>
      <c r="V676" s="176"/>
      <c r="W676" s="176"/>
      <c r="X676" s="176"/>
      <c r="Y676" s="176"/>
      <c r="Z676" s="176"/>
      <c r="AA676" s="176"/>
      <c r="AB676" s="176"/>
      <c r="AC676" s="176"/>
      <c r="AD676" s="176"/>
      <c r="AE676" s="176"/>
      <c r="AF676" s="176"/>
      <c r="AG676" s="176"/>
      <c r="AH676" s="176"/>
      <c r="AI676" s="176"/>
      <c r="AJ676" s="176"/>
      <c r="AK676" s="176"/>
      <c r="AL676" s="176"/>
      <c r="AM676" s="176"/>
      <c r="AN676" s="176"/>
      <c r="AO676" s="176"/>
      <c r="AP676" s="176"/>
      <c r="AQ676" s="176"/>
      <c r="AR676" s="176"/>
      <c r="AS676" s="176"/>
      <c r="AT676" s="176"/>
      <c r="AU676" s="176"/>
      <c r="AV676" s="176"/>
      <c r="AW676" s="176"/>
      <c r="AX676" s="176"/>
      <c r="AY676" s="176"/>
      <c r="AZ676" s="176"/>
      <c r="BA676" s="176"/>
      <c r="BB676" s="176"/>
      <c r="BC676" s="176"/>
      <c r="BD676" s="176"/>
      <c r="BE676" s="176"/>
      <c r="BF676" s="176"/>
      <c r="BG676" s="176"/>
      <c r="BH676" s="176"/>
      <c r="BI676" s="176"/>
      <c r="BJ676" s="176"/>
    </row>
    <row r="677" spans="2:62" x14ac:dyDescent="0.3">
      <c r="B677" s="3"/>
      <c r="C677" s="2"/>
      <c r="D677" s="2"/>
      <c r="E677" s="3"/>
      <c r="O677" s="176"/>
      <c r="P677" s="176"/>
      <c r="Q677" s="176"/>
      <c r="R677" s="176"/>
      <c r="S677" s="176"/>
      <c r="T677" s="176"/>
      <c r="U677" s="176"/>
      <c r="V677" s="176"/>
      <c r="W677" s="176"/>
      <c r="X677" s="176"/>
      <c r="Y677" s="176"/>
      <c r="Z677" s="176"/>
      <c r="AA677" s="176"/>
      <c r="AB677" s="176"/>
      <c r="AC677" s="176"/>
      <c r="AD677" s="176"/>
      <c r="AE677" s="176"/>
      <c r="AF677" s="176"/>
      <c r="AG677" s="176"/>
      <c r="AH677" s="176"/>
      <c r="AI677" s="176"/>
      <c r="AJ677" s="176"/>
      <c r="AK677" s="176"/>
      <c r="AL677" s="176"/>
      <c r="AM677" s="176"/>
      <c r="AN677" s="176"/>
      <c r="AO677" s="176"/>
      <c r="AP677" s="176"/>
      <c r="AQ677" s="176"/>
      <c r="AR677" s="176"/>
      <c r="AS677" s="176"/>
      <c r="AT677" s="176"/>
      <c r="AU677" s="176"/>
      <c r="AV677" s="176"/>
      <c r="AW677" s="176"/>
      <c r="AX677" s="176"/>
      <c r="AY677" s="176"/>
      <c r="AZ677" s="176"/>
      <c r="BA677" s="176"/>
      <c r="BB677" s="176"/>
      <c r="BC677" s="176"/>
      <c r="BD677" s="176"/>
      <c r="BE677" s="176"/>
      <c r="BF677" s="176"/>
      <c r="BG677" s="176"/>
      <c r="BH677" s="176"/>
      <c r="BI677" s="176"/>
      <c r="BJ677" s="176"/>
    </row>
    <row r="678" spans="2:62" x14ac:dyDescent="0.3">
      <c r="B678" s="3"/>
      <c r="C678" s="2"/>
      <c r="D678" s="2"/>
      <c r="E678" s="3"/>
      <c r="O678" s="176"/>
      <c r="P678" s="176"/>
      <c r="Q678" s="176"/>
      <c r="R678" s="176"/>
      <c r="S678" s="176"/>
      <c r="T678" s="176"/>
      <c r="U678" s="176"/>
      <c r="V678" s="176"/>
      <c r="W678" s="176"/>
      <c r="X678" s="176"/>
      <c r="Y678" s="176"/>
      <c r="Z678" s="176"/>
      <c r="AA678" s="176"/>
      <c r="AB678" s="176"/>
      <c r="AC678" s="176"/>
      <c r="AD678" s="176"/>
      <c r="AE678" s="176"/>
      <c r="AF678" s="176"/>
      <c r="AG678" s="176"/>
      <c r="AH678" s="176"/>
      <c r="AI678" s="176"/>
      <c r="AJ678" s="176"/>
      <c r="AK678" s="176"/>
      <c r="AL678" s="176"/>
      <c r="AM678" s="176"/>
      <c r="AN678" s="176"/>
      <c r="AO678" s="176"/>
      <c r="AP678" s="176"/>
      <c r="AQ678" s="176"/>
      <c r="AR678" s="176"/>
      <c r="AS678" s="176"/>
      <c r="AT678" s="176"/>
      <c r="AU678" s="176"/>
      <c r="AV678" s="176"/>
      <c r="AW678" s="176"/>
      <c r="AX678" s="176"/>
      <c r="AY678" s="176"/>
      <c r="AZ678" s="176"/>
      <c r="BA678" s="176"/>
      <c r="BB678" s="176"/>
      <c r="BC678" s="176"/>
      <c r="BD678" s="176"/>
      <c r="BE678" s="176"/>
      <c r="BF678" s="176"/>
      <c r="BG678" s="176"/>
      <c r="BH678" s="176"/>
      <c r="BI678" s="176"/>
      <c r="BJ678" s="176"/>
    </row>
    <row r="679" spans="2:62" x14ac:dyDescent="0.3">
      <c r="B679" s="3"/>
      <c r="C679" s="2"/>
      <c r="D679" s="2"/>
      <c r="E679" s="3"/>
      <c r="O679" s="176"/>
      <c r="P679" s="176"/>
      <c r="Q679" s="176"/>
      <c r="R679" s="176"/>
      <c r="S679" s="176"/>
      <c r="T679" s="176"/>
      <c r="U679" s="176"/>
      <c r="V679" s="176"/>
      <c r="W679" s="176"/>
      <c r="X679" s="176"/>
      <c r="Y679" s="176"/>
      <c r="Z679" s="176"/>
      <c r="AA679" s="176"/>
      <c r="AB679" s="176"/>
      <c r="AC679" s="176"/>
      <c r="AD679" s="176"/>
      <c r="AE679" s="176"/>
      <c r="AF679" s="176"/>
      <c r="AG679" s="176"/>
      <c r="AH679" s="176"/>
      <c r="AI679" s="176"/>
      <c r="AJ679" s="176"/>
      <c r="AK679" s="176"/>
      <c r="AL679" s="176"/>
      <c r="AM679" s="176"/>
      <c r="AN679" s="176"/>
      <c r="AO679" s="176"/>
      <c r="AP679" s="176"/>
      <c r="AQ679" s="176"/>
      <c r="AR679" s="176"/>
      <c r="AS679" s="176"/>
      <c r="AT679" s="176"/>
      <c r="AU679" s="176"/>
      <c r="AV679" s="176"/>
      <c r="AW679" s="176"/>
      <c r="AX679" s="176"/>
      <c r="AY679" s="176"/>
      <c r="AZ679" s="176"/>
      <c r="BA679" s="176"/>
      <c r="BB679" s="176"/>
      <c r="BC679" s="176"/>
      <c r="BD679" s="176"/>
      <c r="BE679" s="176"/>
      <c r="BF679" s="176"/>
      <c r="BG679" s="176"/>
      <c r="BH679" s="176"/>
      <c r="BI679" s="176"/>
      <c r="BJ679" s="176"/>
    </row>
    <row r="680" spans="2:62" x14ac:dyDescent="0.3">
      <c r="B680" s="3"/>
      <c r="C680" s="2"/>
      <c r="D680" s="2"/>
      <c r="E680" s="3"/>
      <c r="O680" s="176"/>
      <c r="P680" s="176"/>
      <c r="Q680" s="176"/>
      <c r="R680" s="176"/>
      <c r="S680" s="176"/>
      <c r="T680" s="176"/>
      <c r="U680" s="176"/>
      <c r="V680" s="176"/>
      <c r="W680" s="176"/>
      <c r="X680" s="176"/>
      <c r="Y680" s="176"/>
      <c r="Z680" s="176"/>
      <c r="AA680" s="176"/>
      <c r="AB680" s="176"/>
      <c r="AC680" s="176"/>
      <c r="AD680" s="176"/>
      <c r="AE680" s="176"/>
      <c r="AF680" s="176"/>
      <c r="AG680" s="176"/>
      <c r="AH680" s="176"/>
      <c r="AI680" s="176"/>
      <c r="AJ680" s="176"/>
      <c r="AK680" s="176"/>
      <c r="AL680" s="176"/>
      <c r="AM680" s="176"/>
      <c r="AN680" s="176"/>
      <c r="AO680" s="176"/>
      <c r="AP680" s="176"/>
      <c r="AQ680" s="176"/>
      <c r="AR680" s="176"/>
      <c r="AS680" s="176"/>
      <c r="AT680" s="176"/>
      <c r="AU680" s="176"/>
      <c r="AV680" s="176"/>
      <c r="AW680" s="176"/>
      <c r="AX680" s="176"/>
      <c r="AY680" s="176"/>
      <c r="AZ680" s="176"/>
      <c r="BA680" s="176"/>
      <c r="BB680" s="176"/>
      <c r="BC680" s="176"/>
      <c r="BD680" s="176"/>
      <c r="BE680" s="176"/>
      <c r="BF680" s="176"/>
      <c r="BG680" s="176"/>
      <c r="BH680" s="176"/>
      <c r="BI680" s="176"/>
      <c r="BJ680" s="176"/>
    </row>
    <row r="681" spans="2:62" x14ac:dyDescent="0.3">
      <c r="B681" s="3"/>
      <c r="C681" s="2"/>
      <c r="D681" s="2"/>
      <c r="E681" s="3"/>
      <c r="O681" s="176"/>
      <c r="P681" s="176"/>
      <c r="Q681" s="176"/>
      <c r="R681" s="176"/>
      <c r="S681" s="176"/>
      <c r="T681" s="176"/>
      <c r="U681" s="176"/>
      <c r="V681" s="176"/>
      <c r="W681" s="176"/>
      <c r="X681" s="176"/>
      <c r="Y681" s="176"/>
      <c r="Z681" s="176"/>
      <c r="AA681" s="176"/>
      <c r="AB681" s="176"/>
      <c r="AC681" s="176"/>
      <c r="AD681" s="176"/>
      <c r="AE681" s="176"/>
      <c r="AF681" s="176"/>
      <c r="AG681" s="176"/>
      <c r="AH681" s="176"/>
      <c r="AI681" s="176"/>
      <c r="AJ681" s="176"/>
      <c r="AK681" s="176"/>
      <c r="AL681" s="176"/>
      <c r="AM681" s="176"/>
      <c r="AN681" s="176"/>
      <c r="AO681" s="176"/>
      <c r="AP681" s="176"/>
      <c r="AQ681" s="176"/>
      <c r="AR681" s="176"/>
      <c r="AS681" s="176"/>
      <c r="AT681" s="176"/>
      <c r="AU681" s="176"/>
      <c r="AV681" s="176"/>
      <c r="AW681" s="176"/>
      <c r="AX681" s="176"/>
      <c r="AY681" s="176"/>
      <c r="AZ681" s="176"/>
      <c r="BA681" s="176"/>
      <c r="BB681" s="176"/>
      <c r="BC681" s="176"/>
      <c r="BD681" s="176"/>
      <c r="BE681" s="176"/>
      <c r="BF681" s="176"/>
      <c r="BG681" s="176"/>
      <c r="BH681" s="176"/>
      <c r="BI681" s="176"/>
      <c r="BJ681" s="176"/>
    </row>
    <row r="682" spans="2:62" x14ac:dyDescent="0.3">
      <c r="B682" s="3"/>
      <c r="C682" s="2"/>
      <c r="D682" s="2"/>
      <c r="E682" s="3"/>
      <c r="O682" s="176"/>
      <c r="P682" s="176"/>
      <c r="Q682" s="176"/>
      <c r="R682" s="176"/>
      <c r="S682" s="176"/>
      <c r="T682" s="176"/>
      <c r="U682" s="176"/>
      <c r="V682" s="176"/>
      <c r="W682" s="176"/>
      <c r="X682" s="176"/>
      <c r="Y682" s="176"/>
      <c r="Z682" s="176"/>
      <c r="AA682" s="176"/>
      <c r="AB682" s="176"/>
      <c r="AC682" s="176"/>
      <c r="AD682" s="176"/>
      <c r="AE682" s="176"/>
      <c r="AF682" s="176"/>
      <c r="AG682" s="176"/>
      <c r="AH682" s="176"/>
      <c r="AI682" s="176"/>
      <c r="AJ682" s="176"/>
      <c r="AK682" s="176"/>
      <c r="AL682" s="176"/>
      <c r="AM682" s="176"/>
      <c r="AN682" s="176"/>
      <c r="AO682" s="176"/>
      <c r="AP682" s="176"/>
      <c r="AQ682" s="176"/>
      <c r="AR682" s="176"/>
      <c r="AS682" s="176"/>
      <c r="AT682" s="176"/>
      <c r="AU682" s="176"/>
      <c r="AV682" s="176"/>
      <c r="AW682" s="176"/>
      <c r="AX682" s="176"/>
      <c r="AY682" s="176"/>
      <c r="AZ682" s="176"/>
      <c r="BA682" s="176"/>
      <c r="BB682" s="176"/>
      <c r="BC682" s="176"/>
      <c r="BD682" s="176"/>
      <c r="BE682" s="176"/>
      <c r="BF682" s="176"/>
      <c r="BG682" s="176"/>
      <c r="BH682" s="176"/>
      <c r="BI682" s="176"/>
      <c r="BJ682" s="176"/>
    </row>
    <row r="683" spans="2:62" x14ac:dyDescent="0.3">
      <c r="B683" s="3"/>
      <c r="C683" s="2"/>
      <c r="D683" s="2"/>
      <c r="E683" s="3"/>
      <c r="O683" s="176"/>
      <c r="P683" s="176"/>
      <c r="Q683" s="176"/>
      <c r="R683" s="176"/>
      <c r="S683" s="176"/>
      <c r="T683" s="176"/>
      <c r="U683" s="176"/>
      <c r="V683" s="176"/>
      <c r="W683" s="176"/>
      <c r="X683" s="176"/>
      <c r="Y683" s="176"/>
      <c r="Z683" s="176"/>
      <c r="AA683" s="176"/>
      <c r="AB683" s="176"/>
      <c r="AC683" s="176"/>
      <c r="AD683" s="176"/>
      <c r="AE683" s="176"/>
      <c r="AF683" s="176"/>
      <c r="AG683" s="176"/>
      <c r="AH683" s="176"/>
      <c r="AI683" s="176"/>
      <c r="AJ683" s="176"/>
      <c r="AK683" s="176"/>
      <c r="AL683" s="176"/>
      <c r="AM683" s="176"/>
      <c r="AN683" s="176"/>
      <c r="AO683" s="176"/>
      <c r="AP683" s="176"/>
      <c r="AQ683" s="176"/>
      <c r="AR683" s="176"/>
      <c r="AS683" s="176"/>
      <c r="AT683" s="176"/>
      <c r="AU683" s="176"/>
      <c r="AV683" s="176"/>
      <c r="AW683" s="176"/>
      <c r="AX683" s="176"/>
      <c r="AY683" s="176"/>
      <c r="AZ683" s="176"/>
      <c r="BA683" s="176"/>
      <c r="BB683" s="176"/>
      <c r="BC683" s="176"/>
      <c r="BD683" s="176"/>
      <c r="BE683" s="176"/>
      <c r="BF683" s="176"/>
      <c r="BG683" s="176"/>
      <c r="BH683" s="176"/>
      <c r="BI683" s="176"/>
      <c r="BJ683" s="176"/>
    </row>
    <row r="684" spans="2:62" x14ac:dyDescent="0.3">
      <c r="B684" s="3"/>
      <c r="C684" s="2"/>
      <c r="D684" s="2"/>
      <c r="E684" s="3"/>
      <c r="O684" s="176"/>
      <c r="P684" s="176"/>
      <c r="Q684" s="176"/>
      <c r="R684" s="176"/>
      <c r="S684" s="176"/>
      <c r="T684" s="176"/>
      <c r="U684" s="176"/>
      <c r="V684" s="176"/>
      <c r="W684" s="176"/>
      <c r="X684" s="176"/>
      <c r="Y684" s="176"/>
      <c r="Z684" s="176"/>
      <c r="AA684" s="176"/>
      <c r="AB684" s="176"/>
      <c r="AC684" s="176"/>
      <c r="AD684" s="176"/>
      <c r="AE684" s="176"/>
      <c r="AF684" s="176"/>
      <c r="AG684" s="176"/>
      <c r="AH684" s="176"/>
      <c r="AI684" s="176"/>
      <c r="AJ684" s="176"/>
      <c r="AK684" s="176"/>
      <c r="AL684" s="176"/>
      <c r="AM684" s="176"/>
      <c r="AN684" s="176"/>
      <c r="AO684" s="176"/>
      <c r="AP684" s="176"/>
      <c r="AQ684" s="176"/>
      <c r="AR684" s="176"/>
      <c r="AS684" s="176"/>
      <c r="AT684" s="176"/>
      <c r="AU684" s="176"/>
      <c r="AV684" s="176"/>
      <c r="AW684" s="176"/>
      <c r="AX684" s="176"/>
      <c r="AY684" s="176"/>
      <c r="AZ684" s="176"/>
      <c r="BA684" s="176"/>
      <c r="BB684" s="176"/>
      <c r="BC684" s="176"/>
      <c r="BD684" s="176"/>
      <c r="BE684" s="176"/>
      <c r="BF684" s="176"/>
      <c r="BG684" s="176"/>
      <c r="BH684" s="176"/>
      <c r="BI684" s="176"/>
      <c r="BJ684" s="176"/>
    </row>
    <row r="685" spans="2:62" x14ac:dyDescent="0.3">
      <c r="B685" s="3"/>
      <c r="C685" s="2"/>
      <c r="D685" s="2"/>
      <c r="E685" s="3"/>
      <c r="O685" s="176"/>
      <c r="P685" s="176"/>
      <c r="Q685" s="176"/>
      <c r="R685" s="176"/>
      <c r="S685" s="176"/>
      <c r="T685" s="176"/>
      <c r="U685" s="176"/>
      <c r="V685" s="176"/>
      <c r="W685" s="176"/>
      <c r="X685" s="176"/>
      <c r="Y685" s="176"/>
      <c r="Z685" s="176"/>
      <c r="AA685" s="176"/>
      <c r="AB685" s="176"/>
      <c r="AC685" s="176"/>
      <c r="AD685" s="176"/>
      <c r="AE685" s="176"/>
      <c r="AF685" s="176"/>
      <c r="AG685" s="176"/>
      <c r="AH685" s="176"/>
      <c r="AI685" s="176"/>
      <c r="AJ685" s="176"/>
      <c r="AK685" s="176"/>
      <c r="AL685" s="176"/>
      <c r="AM685" s="176"/>
      <c r="AN685" s="176"/>
      <c r="AO685" s="176"/>
      <c r="AP685" s="176"/>
      <c r="AQ685" s="176"/>
      <c r="AR685" s="176"/>
      <c r="AS685" s="176"/>
      <c r="AT685" s="176"/>
      <c r="AU685" s="176"/>
      <c r="AV685" s="176"/>
      <c r="AW685" s="176"/>
      <c r="AX685" s="176"/>
      <c r="AY685" s="176"/>
      <c r="AZ685" s="176"/>
      <c r="BA685" s="176"/>
      <c r="BB685" s="176"/>
      <c r="BC685" s="176"/>
      <c r="BD685" s="176"/>
      <c r="BE685" s="176"/>
      <c r="BF685" s="176"/>
      <c r="BG685" s="176"/>
      <c r="BH685" s="176"/>
      <c r="BI685" s="176"/>
      <c r="BJ685" s="176"/>
    </row>
    <row r="686" spans="2:62" x14ac:dyDescent="0.3">
      <c r="B686" s="3"/>
      <c r="C686" s="2"/>
      <c r="D686" s="2"/>
      <c r="E686" s="3"/>
      <c r="O686" s="176"/>
      <c r="P686" s="176"/>
      <c r="Q686" s="176"/>
      <c r="R686" s="176"/>
      <c r="S686" s="176"/>
      <c r="T686" s="176"/>
      <c r="U686" s="176"/>
      <c r="V686" s="176"/>
      <c r="W686" s="176"/>
      <c r="X686" s="176"/>
      <c r="Y686" s="176"/>
      <c r="Z686" s="176"/>
      <c r="AA686" s="176"/>
      <c r="AB686" s="176"/>
      <c r="AC686" s="176"/>
      <c r="AD686" s="176"/>
      <c r="AE686" s="176"/>
      <c r="AF686" s="176"/>
      <c r="AG686" s="176"/>
      <c r="AH686" s="176"/>
      <c r="AI686" s="176"/>
      <c r="AJ686" s="176"/>
      <c r="AK686" s="176"/>
      <c r="AL686" s="176"/>
      <c r="AM686" s="176"/>
      <c r="AN686" s="176"/>
      <c r="AO686" s="176"/>
      <c r="AP686" s="176"/>
      <c r="AQ686" s="176"/>
      <c r="AR686" s="176"/>
      <c r="AS686" s="176"/>
      <c r="AT686" s="176"/>
      <c r="AU686" s="176"/>
      <c r="AV686" s="176"/>
      <c r="AW686" s="176"/>
      <c r="AX686" s="176"/>
      <c r="AY686" s="176"/>
      <c r="AZ686" s="176"/>
      <c r="BA686" s="176"/>
      <c r="BB686" s="176"/>
      <c r="BC686" s="176"/>
      <c r="BD686" s="176"/>
      <c r="BE686" s="176"/>
      <c r="BF686" s="176"/>
      <c r="BG686" s="176"/>
      <c r="BH686" s="176"/>
      <c r="BI686" s="176"/>
      <c r="BJ686" s="176"/>
    </row>
    <row r="687" spans="2:62" x14ac:dyDescent="0.3">
      <c r="B687" s="3"/>
      <c r="C687" s="2"/>
      <c r="D687" s="2"/>
      <c r="E687" s="3"/>
      <c r="O687" s="176"/>
      <c r="P687" s="176"/>
      <c r="Q687" s="176"/>
      <c r="R687" s="176"/>
      <c r="S687" s="176"/>
      <c r="T687" s="176"/>
      <c r="U687" s="176"/>
      <c r="V687" s="176"/>
      <c r="W687" s="176"/>
      <c r="X687" s="176"/>
      <c r="Y687" s="176"/>
      <c r="Z687" s="176"/>
      <c r="AA687" s="176"/>
      <c r="AB687" s="176"/>
      <c r="AC687" s="176"/>
      <c r="AD687" s="176"/>
      <c r="AE687" s="176"/>
      <c r="AF687" s="176"/>
      <c r="AG687" s="176"/>
      <c r="AH687" s="176"/>
      <c r="AI687" s="176"/>
      <c r="AJ687" s="176"/>
      <c r="AK687" s="176"/>
      <c r="AL687" s="176"/>
      <c r="AM687" s="176"/>
      <c r="AN687" s="176"/>
      <c r="AO687" s="176"/>
      <c r="AP687" s="176"/>
      <c r="AQ687" s="176"/>
      <c r="AR687" s="176"/>
      <c r="AS687" s="176"/>
      <c r="AT687" s="176"/>
      <c r="AU687" s="176"/>
      <c r="AV687" s="176"/>
      <c r="AW687" s="176"/>
      <c r="AX687" s="176"/>
      <c r="AY687" s="176"/>
      <c r="AZ687" s="176"/>
      <c r="BA687" s="176"/>
      <c r="BB687" s="176"/>
      <c r="BC687" s="176"/>
      <c r="BD687" s="176"/>
      <c r="BE687" s="176"/>
      <c r="BF687" s="176"/>
      <c r="BG687" s="176"/>
      <c r="BH687" s="176"/>
      <c r="BI687" s="176"/>
      <c r="BJ687" s="176"/>
    </row>
    <row r="688" spans="2:62" x14ac:dyDescent="0.3">
      <c r="B688" s="3"/>
      <c r="C688" s="2"/>
      <c r="D688" s="2"/>
      <c r="E688" s="3"/>
      <c r="O688" s="176"/>
      <c r="P688" s="176"/>
      <c r="Q688" s="176"/>
      <c r="R688" s="176"/>
      <c r="S688" s="176"/>
      <c r="T688" s="176"/>
      <c r="U688" s="176"/>
      <c r="V688" s="176"/>
      <c r="W688" s="176"/>
      <c r="X688" s="176"/>
      <c r="Y688" s="176"/>
      <c r="Z688" s="176"/>
      <c r="AA688" s="176"/>
      <c r="AB688" s="176"/>
      <c r="AC688" s="176"/>
      <c r="AD688" s="176"/>
      <c r="AE688" s="176"/>
      <c r="AF688" s="176"/>
      <c r="AG688" s="176"/>
      <c r="AH688" s="176"/>
      <c r="AI688" s="176"/>
      <c r="AJ688" s="176"/>
      <c r="AK688" s="176"/>
      <c r="AL688" s="176"/>
      <c r="AM688" s="176"/>
      <c r="AN688" s="176"/>
      <c r="AO688" s="176"/>
      <c r="AP688" s="176"/>
      <c r="AQ688" s="176"/>
      <c r="AR688" s="176"/>
      <c r="AS688" s="176"/>
      <c r="AT688" s="176"/>
      <c r="AU688" s="176"/>
      <c r="AV688" s="176"/>
      <c r="AW688" s="176"/>
      <c r="AX688" s="176"/>
      <c r="AY688" s="176"/>
      <c r="AZ688" s="176"/>
      <c r="BA688" s="176"/>
      <c r="BB688" s="176"/>
      <c r="BC688" s="176"/>
      <c r="BD688" s="176"/>
      <c r="BE688" s="176"/>
      <c r="BF688" s="176"/>
      <c r="BG688" s="176"/>
      <c r="BH688" s="176"/>
      <c r="BI688" s="176"/>
      <c r="BJ688" s="176"/>
    </row>
    <row r="689" spans="2:62" x14ac:dyDescent="0.3">
      <c r="B689" s="3"/>
      <c r="C689" s="2"/>
      <c r="D689" s="2"/>
      <c r="E689" s="3"/>
      <c r="O689" s="176"/>
      <c r="P689" s="176"/>
      <c r="Q689" s="176"/>
      <c r="R689" s="176"/>
      <c r="S689" s="176"/>
      <c r="T689" s="176"/>
      <c r="U689" s="176"/>
      <c r="V689" s="176"/>
      <c r="W689" s="176"/>
      <c r="X689" s="176"/>
      <c r="Y689" s="176"/>
      <c r="Z689" s="176"/>
      <c r="AA689" s="176"/>
      <c r="AB689" s="176"/>
      <c r="AC689" s="176"/>
      <c r="AD689" s="176"/>
      <c r="AE689" s="176"/>
      <c r="AF689" s="176"/>
      <c r="AG689" s="176"/>
      <c r="AH689" s="176"/>
      <c r="AI689" s="176"/>
      <c r="AJ689" s="176"/>
      <c r="AK689" s="176"/>
      <c r="AL689" s="176"/>
      <c r="AM689" s="176"/>
      <c r="AN689" s="176"/>
      <c r="AO689" s="176"/>
      <c r="AP689" s="176"/>
      <c r="AQ689" s="176"/>
      <c r="AR689" s="176"/>
      <c r="AS689" s="176"/>
      <c r="AT689" s="176"/>
      <c r="AU689" s="176"/>
      <c r="AV689" s="176"/>
      <c r="AW689" s="176"/>
      <c r="AX689" s="176"/>
      <c r="AY689" s="176"/>
      <c r="AZ689" s="176"/>
      <c r="BA689" s="176"/>
      <c r="BB689" s="176"/>
      <c r="BC689" s="176"/>
      <c r="BD689" s="176"/>
      <c r="BE689" s="176"/>
      <c r="BF689" s="176"/>
      <c r="BG689" s="176"/>
      <c r="BH689" s="176"/>
      <c r="BI689" s="176"/>
      <c r="BJ689" s="176"/>
    </row>
    <row r="690" spans="2:62" x14ac:dyDescent="0.3">
      <c r="B690" s="3"/>
      <c r="C690" s="2"/>
      <c r="D690" s="2"/>
      <c r="E690" s="3"/>
      <c r="O690" s="176"/>
      <c r="P690" s="176"/>
      <c r="Q690" s="176"/>
      <c r="R690" s="176"/>
      <c r="S690" s="176"/>
      <c r="T690" s="176"/>
      <c r="U690" s="176"/>
      <c r="V690" s="176"/>
      <c r="W690" s="176"/>
      <c r="X690" s="176"/>
      <c r="Y690" s="176"/>
      <c r="Z690" s="176"/>
      <c r="AA690" s="176"/>
      <c r="AB690" s="176"/>
      <c r="AC690" s="176"/>
      <c r="AD690" s="176"/>
      <c r="AE690" s="176"/>
      <c r="AF690" s="176"/>
      <c r="AG690" s="176"/>
      <c r="AH690" s="176"/>
      <c r="AI690" s="176"/>
      <c r="AJ690" s="176"/>
      <c r="AK690" s="176"/>
      <c r="AL690" s="176"/>
      <c r="AM690" s="176"/>
      <c r="AN690" s="176"/>
      <c r="AO690" s="176"/>
      <c r="AP690" s="176"/>
      <c r="AQ690" s="176"/>
      <c r="AR690" s="176"/>
      <c r="AS690" s="176"/>
      <c r="AT690" s="176"/>
      <c r="AU690" s="176"/>
      <c r="AV690" s="176"/>
      <c r="AW690" s="176"/>
      <c r="AX690" s="176"/>
      <c r="AY690" s="176"/>
      <c r="AZ690" s="176"/>
      <c r="BA690" s="176"/>
      <c r="BB690" s="176"/>
      <c r="BC690" s="176"/>
      <c r="BD690" s="176"/>
      <c r="BE690" s="176"/>
      <c r="BF690" s="176"/>
      <c r="BG690" s="176"/>
      <c r="BH690" s="176"/>
      <c r="BI690" s="176"/>
      <c r="BJ690" s="176"/>
    </row>
    <row r="691" spans="2:62" x14ac:dyDescent="0.3">
      <c r="B691" s="3"/>
      <c r="C691" s="2"/>
      <c r="D691" s="2"/>
      <c r="E691" s="3"/>
      <c r="O691" s="176"/>
      <c r="P691" s="176"/>
      <c r="Q691" s="176"/>
      <c r="R691" s="176"/>
      <c r="S691" s="176"/>
      <c r="T691" s="176"/>
      <c r="U691" s="176"/>
      <c r="V691" s="176"/>
      <c r="W691" s="176"/>
      <c r="X691" s="176"/>
      <c r="Y691" s="176"/>
      <c r="Z691" s="176"/>
      <c r="AA691" s="176"/>
      <c r="AB691" s="176"/>
      <c r="AC691" s="176"/>
      <c r="AD691" s="176"/>
      <c r="AE691" s="176"/>
      <c r="AF691" s="176"/>
      <c r="AG691" s="176"/>
      <c r="AH691" s="176"/>
      <c r="AI691" s="176"/>
      <c r="AJ691" s="176"/>
      <c r="AK691" s="176"/>
      <c r="AL691" s="176"/>
      <c r="AM691" s="176"/>
      <c r="AN691" s="176"/>
      <c r="AO691" s="176"/>
      <c r="AP691" s="176"/>
      <c r="AQ691" s="176"/>
      <c r="AR691" s="176"/>
      <c r="AS691" s="176"/>
      <c r="AT691" s="176"/>
      <c r="AU691" s="176"/>
      <c r="AV691" s="176"/>
      <c r="AW691" s="176"/>
      <c r="AX691" s="176"/>
      <c r="AY691" s="176"/>
      <c r="AZ691" s="176"/>
      <c r="BA691" s="176"/>
      <c r="BB691" s="176"/>
      <c r="BC691" s="176"/>
      <c r="BD691" s="176"/>
      <c r="BE691" s="176"/>
      <c r="BF691" s="176"/>
      <c r="BG691" s="176"/>
      <c r="BH691" s="176"/>
      <c r="BI691" s="176"/>
      <c r="BJ691" s="176"/>
    </row>
    <row r="692" spans="2:62" x14ac:dyDescent="0.3">
      <c r="B692" s="3"/>
      <c r="C692" s="2"/>
      <c r="D692" s="2"/>
      <c r="E692" s="3"/>
      <c r="O692" s="176"/>
      <c r="P692" s="176"/>
      <c r="Q692" s="176"/>
      <c r="R692" s="176"/>
      <c r="S692" s="176"/>
      <c r="T692" s="176"/>
      <c r="U692" s="176"/>
      <c r="V692" s="176"/>
      <c r="W692" s="176"/>
      <c r="X692" s="176"/>
      <c r="Y692" s="176"/>
      <c r="Z692" s="176"/>
      <c r="AA692" s="176"/>
      <c r="AB692" s="176"/>
      <c r="AC692" s="176"/>
      <c r="AD692" s="176"/>
      <c r="AE692" s="176"/>
      <c r="AF692" s="176"/>
      <c r="AG692" s="176"/>
      <c r="AH692" s="176"/>
      <c r="AI692" s="176"/>
      <c r="AJ692" s="176"/>
      <c r="AK692" s="176"/>
      <c r="AL692" s="176"/>
      <c r="AM692" s="176"/>
      <c r="AN692" s="176"/>
      <c r="AO692" s="176"/>
      <c r="AP692" s="176"/>
      <c r="AQ692" s="176"/>
      <c r="AR692" s="176"/>
      <c r="AS692" s="176"/>
      <c r="AT692" s="176"/>
      <c r="AU692" s="176"/>
      <c r="AV692" s="176"/>
      <c r="AW692" s="176"/>
      <c r="AX692" s="176"/>
      <c r="AY692" s="176"/>
      <c r="AZ692" s="176"/>
      <c r="BA692" s="176"/>
      <c r="BB692" s="176"/>
      <c r="BC692" s="176"/>
      <c r="BD692" s="176"/>
      <c r="BE692" s="176"/>
      <c r="BF692" s="176"/>
      <c r="BG692" s="176"/>
      <c r="BH692" s="176"/>
      <c r="BI692" s="176"/>
      <c r="BJ692" s="176"/>
    </row>
    <row r="693" spans="2:62" x14ac:dyDescent="0.3">
      <c r="B693" s="3"/>
      <c r="C693" s="2"/>
      <c r="D693" s="2"/>
      <c r="E693" s="3"/>
      <c r="O693" s="176"/>
      <c r="P693" s="176"/>
      <c r="Q693" s="176"/>
      <c r="R693" s="176"/>
      <c r="S693" s="176"/>
      <c r="T693" s="176"/>
      <c r="U693" s="176"/>
      <c r="V693" s="176"/>
      <c r="W693" s="176"/>
      <c r="X693" s="176"/>
      <c r="Y693" s="176"/>
      <c r="Z693" s="176"/>
      <c r="AA693" s="176"/>
      <c r="AB693" s="176"/>
      <c r="AC693" s="176"/>
      <c r="AD693" s="176"/>
      <c r="AE693" s="176"/>
      <c r="AF693" s="176"/>
      <c r="AG693" s="176"/>
      <c r="AH693" s="176"/>
      <c r="AI693" s="176"/>
      <c r="AJ693" s="176"/>
      <c r="AK693" s="176"/>
      <c r="AL693" s="176"/>
      <c r="AM693" s="176"/>
      <c r="AN693" s="176"/>
      <c r="AO693" s="176"/>
      <c r="AP693" s="176"/>
      <c r="AQ693" s="176"/>
      <c r="AR693" s="176"/>
      <c r="AS693" s="176"/>
      <c r="AT693" s="176"/>
      <c r="AU693" s="176"/>
      <c r="AV693" s="176"/>
      <c r="AW693" s="176"/>
      <c r="AX693" s="176"/>
      <c r="AY693" s="176"/>
      <c r="AZ693" s="176"/>
      <c r="BA693" s="176"/>
      <c r="BB693" s="176"/>
      <c r="BC693" s="176"/>
      <c r="BD693" s="176"/>
      <c r="BE693" s="176"/>
      <c r="BF693" s="176"/>
      <c r="BG693" s="176"/>
      <c r="BH693" s="176"/>
      <c r="BI693" s="176"/>
      <c r="BJ693" s="176"/>
    </row>
    <row r="694" spans="2:62" x14ac:dyDescent="0.3">
      <c r="B694" s="3"/>
      <c r="C694" s="2"/>
      <c r="D694" s="2"/>
      <c r="E694" s="3"/>
      <c r="O694" s="176"/>
      <c r="P694" s="176"/>
      <c r="Q694" s="176"/>
      <c r="R694" s="176"/>
      <c r="S694" s="176"/>
      <c r="T694" s="176"/>
      <c r="U694" s="176"/>
      <c r="V694" s="176"/>
      <c r="W694" s="176"/>
      <c r="X694" s="176"/>
      <c r="Y694" s="176"/>
      <c r="Z694" s="176"/>
      <c r="AA694" s="176"/>
      <c r="AB694" s="176"/>
      <c r="AC694" s="176"/>
      <c r="AD694" s="176"/>
      <c r="AE694" s="176"/>
      <c r="AF694" s="176"/>
      <c r="AG694" s="176"/>
      <c r="AH694" s="176"/>
      <c r="AI694" s="176"/>
      <c r="AJ694" s="176"/>
      <c r="AK694" s="176"/>
      <c r="AL694" s="176"/>
      <c r="AM694" s="176"/>
      <c r="AN694" s="176"/>
      <c r="AO694" s="176"/>
      <c r="AP694" s="176"/>
      <c r="AQ694" s="176"/>
      <c r="AR694" s="176"/>
      <c r="AS694" s="176"/>
      <c r="AT694" s="176"/>
      <c r="AU694" s="176"/>
      <c r="AV694" s="176"/>
      <c r="AW694" s="176"/>
      <c r="AX694" s="176"/>
      <c r="AY694" s="176"/>
      <c r="AZ694" s="176"/>
      <c r="BA694" s="176"/>
      <c r="BB694" s="176"/>
      <c r="BC694" s="176"/>
      <c r="BD694" s="176"/>
      <c r="BE694" s="176"/>
      <c r="BF694" s="176"/>
      <c r="BG694" s="176"/>
      <c r="BH694" s="176"/>
      <c r="BI694" s="176"/>
      <c r="BJ694" s="176"/>
    </row>
    <row r="695" spans="2:62" x14ac:dyDescent="0.3">
      <c r="B695" s="3"/>
      <c r="C695" s="2"/>
      <c r="D695" s="2"/>
      <c r="E695" s="3"/>
      <c r="O695" s="176"/>
      <c r="P695" s="176"/>
      <c r="Q695" s="176"/>
      <c r="R695" s="176"/>
      <c r="S695" s="176"/>
      <c r="T695" s="176"/>
      <c r="U695" s="176"/>
      <c r="V695" s="176"/>
      <c r="W695" s="176"/>
      <c r="X695" s="176"/>
      <c r="Y695" s="176"/>
      <c r="Z695" s="176"/>
      <c r="AA695" s="176"/>
      <c r="AB695" s="176"/>
      <c r="AC695" s="176"/>
      <c r="AD695" s="176"/>
      <c r="AE695" s="176"/>
      <c r="AF695" s="176"/>
      <c r="AG695" s="176"/>
      <c r="AH695" s="176"/>
      <c r="AI695" s="176"/>
      <c r="AJ695" s="176"/>
      <c r="AK695" s="176"/>
      <c r="AL695" s="176"/>
      <c r="AM695" s="176"/>
      <c r="AN695" s="176"/>
      <c r="AO695" s="176"/>
      <c r="AP695" s="176"/>
      <c r="AQ695" s="176"/>
      <c r="AR695" s="176"/>
      <c r="AS695" s="176"/>
      <c r="AT695" s="176"/>
      <c r="AU695" s="176"/>
      <c r="AV695" s="176"/>
      <c r="AW695" s="176"/>
      <c r="AX695" s="176"/>
      <c r="AY695" s="176"/>
      <c r="AZ695" s="176"/>
      <c r="BA695" s="176"/>
      <c r="BB695" s="176"/>
      <c r="BC695" s="176"/>
      <c r="BD695" s="176"/>
      <c r="BE695" s="176"/>
      <c r="BF695" s="176"/>
      <c r="BG695" s="176"/>
      <c r="BH695" s="176"/>
      <c r="BI695" s="176"/>
      <c r="BJ695" s="176"/>
    </row>
    <row r="696" spans="2:62" x14ac:dyDescent="0.3">
      <c r="B696" s="3"/>
      <c r="C696" s="2"/>
      <c r="D696" s="2"/>
      <c r="E696" s="3"/>
      <c r="O696" s="176"/>
      <c r="P696" s="176"/>
      <c r="Q696" s="176"/>
      <c r="R696" s="176"/>
      <c r="S696" s="176"/>
      <c r="T696" s="176"/>
      <c r="U696" s="176"/>
      <c r="V696" s="176"/>
      <c r="W696" s="176"/>
      <c r="X696" s="176"/>
      <c r="Y696" s="176"/>
      <c r="Z696" s="176"/>
      <c r="AA696" s="176"/>
      <c r="AB696" s="176"/>
      <c r="AC696" s="176"/>
      <c r="AD696" s="176"/>
      <c r="AE696" s="176"/>
      <c r="AF696" s="176"/>
      <c r="AG696" s="176"/>
      <c r="AH696" s="176"/>
      <c r="AI696" s="176"/>
      <c r="AJ696" s="176"/>
      <c r="AK696" s="176"/>
      <c r="AL696" s="176"/>
      <c r="AM696" s="176"/>
      <c r="AN696" s="176"/>
      <c r="AO696" s="176"/>
      <c r="AP696" s="176"/>
      <c r="AQ696" s="176"/>
      <c r="AR696" s="176"/>
      <c r="AS696" s="176"/>
      <c r="AT696" s="176"/>
      <c r="AU696" s="176"/>
      <c r="AV696" s="176"/>
      <c r="AW696" s="176"/>
      <c r="AX696" s="176"/>
      <c r="AY696" s="176"/>
      <c r="AZ696" s="176"/>
      <c r="BA696" s="176"/>
      <c r="BB696" s="176"/>
      <c r="BC696" s="176"/>
      <c r="BD696" s="176"/>
      <c r="BE696" s="176"/>
      <c r="BF696" s="176"/>
      <c r="BG696" s="176"/>
      <c r="BH696" s="176"/>
      <c r="BI696" s="176"/>
      <c r="BJ696" s="176"/>
    </row>
    <row r="697" spans="2:62" x14ac:dyDescent="0.3">
      <c r="B697" s="3"/>
      <c r="C697" s="2"/>
      <c r="D697" s="2"/>
      <c r="E697" s="3"/>
      <c r="O697" s="176"/>
      <c r="P697" s="176"/>
      <c r="Q697" s="176"/>
      <c r="R697" s="176"/>
      <c r="S697" s="176"/>
      <c r="T697" s="176"/>
      <c r="U697" s="176"/>
      <c r="V697" s="176"/>
      <c r="W697" s="176"/>
      <c r="X697" s="176"/>
      <c r="Y697" s="176"/>
      <c r="Z697" s="176"/>
      <c r="AA697" s="176"/>
      <c r="AB697" s="176"/>
      <c r="AC697" s="176"/>
      <c r="AD697" s="176"/>
      <c r="AE697" s="176"/>
      <c r="AF697" s="176"/>
      <c r="AG697" s="176"/>
      <c r="AH697" s="176"/>
      <c r="AI697" s="176"/>
      <c r="AJ697" s="176"/>
      <c r="AK697" s="176"/>
      <c r="AL697" s="176"/>
      <c r="AM697" s="176"/>
      <c r="AN697" s="176"/>
      <c r="AO697" s="176"/>
      <c r="AP697" s="176"/>
      <c r="AQ697" s="176"/>
      <c r="AR697" s="176"/>
      <c r="AS697" s="176"/>
      <c r="AT697" s="176"/>
      <c r="AU697" s="176"/>
      <c r="AV697" s="176"/>
      <c r="AW697" s="176"/>
      <c r="AX697" s="176"/>
      <c r="AY697" s="176"/>
      <c r="AZ697" s="176"/>
      <c r="BA697" s="176"/>
      <c r="BB697" s="176"/>
      <c r="BC697" s="176"/>
      <c r="BD697" s="176"/>
      <c r="BE697" s="176"/>
      <c r="BF697" s="176"/>
      <c r="BG697" s="176"/>
      <c r="BH697" s="176"/>
      <c r="BI697" s="176"/>
      <c r="BJ697" s="176"/>
    </row>
    <row r="698" spans="2:62" x14ac:dyDescent="0.3">
      <c r="B698" s="3"/>
      <c r="C698" s="2"/>
      <c r="D698" s="2"/>
      <c r="E698" s="3"/>
      <c r="O698" s="176"/>
      <c r="P698" s="176"/>
      <c r="Q698" s="176"/>
      <c r="R698" s="176"/>
      <c r="S698" s="176"/>
      <c r="T698" s="176"/>
      <c r="U698" s="176"/>
      <c r="V698" s="176"/>
      <c r="W698" s="176"/>
      <c r="X698" s="176"/>
      <c r="Y698" s="176"/>
      <c r="Z698" s="176"/>
      <c r="AA698" s="176"/>
      <c r="AB698" s="176"/>
      <c r="AC698" s="176"/>
      <c r="AD698" s="176"/>
      <c r="AE698" s="176"/>
      <c r="AF698" s="176"/>
      <c r="AG698" s="176"/>
      <c r="AH698" s="176"/>
      <c r="AI698" s="176"/>
      <c r="AJ698" s="176"/>
      <c r="AK698" s="176"/>
      <c r="AL698" s="176"/>
      <c r="AM698" s="176"/>
      <c r="AN698" s="176"/>
      <c r="AO698" s="176"/>
      <c r="AP698" s="176"/>
      <c r="AQ698" s="176"/>
      <c r="AR698" s="176"/>
      <c r="AS698" s="176"/>
      <c r="AT698" s="176"/>
      <c r="AU698" s="176"/>
      <c r="AV698" s="176"/>
      <c r="AW698" s="176"/>
      <c r="AX698" s="176"/>
      <c r="AY698" s="176"/>
      <c r="AZ698" s="176"/>
      <c r="BA698" s="176"/>
      <c r="BB698" s="176"/>
      <c r="BC698" s="176"/>
      <c r="BD698" s="176"/>
      <c r="BE698" s="176"/>
      <c r="BF698" s="176"/>
      <c r="BG698" s="176"/>
      <c r="BH698" s="176"/>
      <c r="BI698" s="176"/>
      <c r="BJ698" s="176"/>
    </row>
    <row r="699" spans="2:62" x14ac:dyDescent="0.3">
      <c r="B699" s="3"/>
      <c r="C699" s="2"/>
      <c r="D699" s="2"/>
      <c r="E699" s="3"/>
      <c r="O699" s="176"/>
      <c r="P699" s="176"/>
      <c r="Q699" s="176"/>
      <c r="R699" s="176"/>
      <c r="S699" s="176"/>
      <c r="T699" s="176"/>
      <c r="U699" s="176"/>
      <c r="V699" s="176"/>
      <c r="W699" s="176"/>
      <c r="X699" s="176"/>
      <c r="Y699" s="176"/>
      <c r="Z699" s="176"/>
      <c r="AA699" s="176"/>
      <c r="AB699" s="176"/>
      <c r="AC699" s="176"/>
      <c r="AD699" s="176"/>
      <c r="AE699" s="176"/>
      <c r="AF699" s="176"/>
      <c r="AG699" s="176"/>
      <c r="AH699" s="176"/>
      <c r="AI699" s="176"/>
      <c r="AJ699" s="176"/>
      <c r="AK699" s="176"/>
      <c r="AL699" s="176"/>
      <c r="AM699" s="176"/>
      <c r="AN699" s="176"/>
      <c r="AO699" s="176"/>
      <c r="AP699" s="176"/>
      <c r="AQ699" s="176"/>
      <c r="AR699" s="176"/>
      <c r="AS699" s="176"/>
      <c r="AT699" s="176"/>
      <c r="AU699" s="176"/>
      <c r="AV699" s="176"/>
      <c r="AW699" s="176"/>
      <c r="AX699" s="176"/>
      <c r="AY699" s="176"/>
      <c r="AZ699" s="176"/>
      <c r="BA699" s="176"/>
      <c r="BB699" s="176"/>
      <c r="BC699" s="176"/>
      <c r="BD699" s="176"/>
      <c r="BE699" s="176"/>
      <c r="BF699" s="176"/>
      <c r="BG699" s="176"/>
      <c r="BH699" s="176"/>
      <c r="BI699" s="176"/>
      <c r="BJ699" s="176"/>
    </row>
    <row r="700" spans="2:62" x14ac:dyDescent="0.3">
      <c r="B700" s="3"/>
      <c r="C700" s="2"/>
      <c r="D700" s="2"/>
      <c r="E700" s="3"/>
      <c r="O700" s="176"/>
      <c r="P700" s="176"/>
      <c r="Q700" s="176"/>
      <c r="R700" s="176"/>
      <c r="S700" s="176"/>
      <c r="T700" s="176"/>
      <c r="U700" s="176"/>
      <c r="V700" s="176"/>
      <c r="W700" s="176"/>
      <c r="X700" s="176"/>
      <c r="Y700" s="176"/>
      <c r="Z700" s="176"/>
      <c r="AA700" s="176"/>
      <c r="AB700" s="176"/>
      <c r="AC700" s="176"/>
      <c r="AD700" s="176"/>
      <c r="AE700" s="176"/>
      <c r="AF700" s="176"/>
      <c r="AG700" s="176"/>
      <c r="AH700" s="176"/>
      <c r="AI700" s="176"/>
      <c r="AJ700" s="176"/>
      <c r="AK700" s="176"/>
      <c r="AL700" s="176"/>
      <c r="AM700" s="176"/>
      <c r="AN700" s="176"/>
      <c r="AO700" s="176"/>
      <c r="AP700" s="176"/>
      <c r="AQ700" s="176"/>
      <c r="AR700" s="176"/>
      <c r="AS700" s="176"/>
      <c r="AT700" s="176"/>
      <c r="AU700" s="176"/>
      <c r="AV700" s="176"/>
      <c r="AW700" s="176"/>
      <c r="AX700" s="176"/>
      <c r="AY700" s="176"/>
      <c r="AZ700" s="176"/>
      <c r="BA700" s="176"/>
      <c r="BB700" s="176"/>
      <c r="BC700" s="176"/>
      <c r="BD700" s="176"/>
      <c r="BE700" s="176"/>
      <c r="BF700" s="176"/>
      <c r="BG700" s="176"/>
      <c r="BH700" s="176"/>
      <c r="BI700" s="176"/>
      <c r="BJ700" s="176"/>
    </row>
    <row r="701" spans="2:62" x14ac:dyDescent="0.3">
      <c r="B701" s="3"/>
      <c r="C701" s="2"/>
      <c r="D701" s="2"/>
      <c r="E701" s="3"/>
      <c r="O701" s="176"/>
      <c r="P701" s="176"/>
      <c r="Q701" s="176"/>
      <c r="R701" s="176"/>
      <c r="S701" s="176"/>
      <c r="T701" s="176"/>
      <c r="U701" s="176"/>
      <c r="V701" s="176"/>
      <c r="W701" s="176"/>
      <c r="X701" s="176"/>
      <c r="Y701" s="176"/>
      <c r="Z701" s="176"/>
      <c r="AA701" s="176"/>
      <c r="AB701" s="176"/>
      <c r="AC701" s="176"/>
      <c r="AD701" s="176"/>
      <c r="AE701" s="176"/>
      <c r="AF701" s="176"/>
      <c r="AG701" s="176"/>
      <c r="AH701" s="176"/>
      <c r="AI701" s="176"/>
      <c r="AJ701" s="176"/>
      <c r="AK701" s="176"/>
      <c r="AL701" s="176"/>
      <c r="AM701" s="176"/>
      <c r="AN701" s="176"/>
      <c r="AO701" s="176"/>
      <c r="AP701" s="176"/>
      <c r="AQ701" s="176"/>
      <c r="AR701" s="176"/>
      <c r="AS701" s="176"/>
      <c r="AT701" s="176"/>
      <c r="AU701" s="176"/>
      <c r="AV701" s="176"/>
      <c r="AW701" s="176"/>
      <c r="AX701" s="176"/>
      <c r="AY701" s="176"/>
      <c r="AZ701" s="176"/>
      <c r="BA701" s="176"/>
      <c r="BB701" s="176"/>
      <c r="BC701" s="176"/>
      <c r="BD701" s="176"/>
      <c r="BE701" s="176"/>
      <c r="BF701" s="176"/>
      <c r="BG701" s="176"/>
      <c r="BH701" s="176"/>
      <c r="BI701" s="176"/>
      <c r="BJ701" s="176"/>
    </row>
    <row r="702" spans="2:62" x14ac:dyDescent="0.3">
      <c r="B702" s="3"/>
      <c r="C702" s="2"/>
      <c r="D702" s="2"/>
      <c r="E702" s="3"/>
      <c r="O702" s="176"/>
      <c r="P702" s="176"/>
      <c r="Q702" s="176"/>
      <c r="R702" s="176"/>
      <c r="S702" s="176"/>
      <c r="T702" s="176"/>
      <c r="U702" s="176"/>
      <c r="V702" s="176"/>
      <c r="W702" s="176"/>
      <c r="X702" s="176"/>
      <c r="Y702" s="176"/>
      <c r="Z702" s="176"/>
      <c r="AA702" s="176"/>
      <c r="AB702" s="176"/>
      <c r="AC702" s="176"/>
      <c r="AD702" s="176"/>
      <c r="AE702" s="176"/>
      <c r="AF702" s="176"/>
      <c r="AG702" s="176"/>
      <c r="AH702" s="176"/>
      <c r="AI702" s="176"/>
      <c r="AJ702" s="176"/>
      <c r="AK702" s="176"/>
      <c r="AL702" s="176"/>
      <c r="AM702" s="176"/>
      <c r="AN702" s="176"/>
      <c r="AO702" s="176"/>
      <c r="AP702" s="176"/>
      <c r="AQ702" s="176"/>
      <c r="AR702" s="176"/>
      <c r="AS702" s="176"/>
      <c r="AT702" s="176"/>
      <c r="AU702" s="176"/>
      <c r="AV702" s="176"/>
      <c r="AW702" s="176"/>
      <c r="AX702" s="176"/>
      <c r="AY702" s="176"/>
      <c r="AZ702" s="176"/>
      <c r="BA702" s="176"/>
      <c r="BB702" s="176"/>
      <c r="BC702" s="176"/>
      <c r="BD702" s="176"/>
      <c r="BE702" s="176"/>
      <c r="BF702" s="176"/>
      <c r="BG702" s="176"/>
      <c r="BH702" s="176"/>
      <c r="BI702" s="176"/>
      <c r="BJ702" s="176"/>
    </row>
    <row r="703" spans="2:62" x14ac:dyDescent="0.3">
      <c r="B703" s="3"/>
      <c r="C703" s="2"/>
      <c r="D703" s="2"/>
      <c r="E703" s="3"/>
      <c r="O703" s="176"/>
      <c r="P703" s="176"/>
      <c r="Q703" s="176"/>
      <c r="R703" s="176"/>
      <c r="S703" s="176"/>
      <c r="T703" s="176"/>
      <c r="U703" s="176"/>
      <c r="V703" s="176"/>
      <c r="W703" s="176"/>
      <c r="X703" s="176"/>
      <c r="Y703" s="176"/>
      <c r="Z703" s="176"/>
      <c r="AA703" s="176"/>
      <c r="AB703" s="176"/>
      <c r="AC703" s="176"/>
      <c r="AD703" s="176"/>
      <c r="AE703" s="176"/>
      <c r="AF703" s="176"/>
      <c r="AG703" s="176"/>
      <c r="AH703" s="176"/>
      <c r="AI703" s="176"/>
      <c r="AJ703" s="176"/>
      <c r="AK703" s="176"/>
      <c r="AL703" s="176"/>
      <c r="AM703" s="176"/>
      <c r="AN703" s="176"/>
      <c r="AO703" s="176"/>
      <c r="AP703" s="176"/>
      <c r="AQ703" s="176"/>
      <c r="AR703" s="176"/>
      <c r="AS703" s="176"/>
      <c r="AT703" s="176"/>
      <c r="AU703" s="176"/>
      <c r="AV703" s="176"/>
      <c r="AW703" s="176"/>
      <c r="AX703" s="176"/>
      <c r="AY703" s="176"/>
      <c r="AZ703" s="176"/>
      <c r="BA703" s="176"/>
      <c r="BB703" s="176"/>
      <c r="BC703" s="176"/>
      <c r="BD703" s="176"/>
      <c r="BE703" s="176"/>
      <c r="BF703" s="176"/>
      <c r="BG703" s="176"/>
      <c r="BH703" s="176"/>
      <c r="BI703" s="176"/>
      <c r="BJ703" s="176"/>
    </row>
    <row r="704" spans="2:62" x14ac:dyDescent="0.3">
      <c r="B704" s="3"/>
      <c r="C704" s="2"/>
      <c r="D704" s="2"/>
      <c r="E704" s="3"/>
      <c r="O704" s="176"/>
      <c r="P704" s="176"/>
      <c r="Q704" s="176"/>
      <c r="R704" s="176"/>
      <c r="S704" s="176"/>
      <c r="T704" s="176"/>
      <c r="U704" s="176"/>
      <c r="V704" s="176"/>
      <c r="W704" s="176"/>
      <c r="X704" s="176"/>
      <c r="Y704" s="176"/>
      <c r="Z704" s="176"/>
      <c r="AA704" s="176"/>
      <c r="AB704" s="176"/>
      <c r="AC704" s="176"/>
      <c r="AD704" s="176"/>
      <c r="AE704" s="176"/>
      <c r="AF704" s="176"/>
      <c r="AG704" s="176"/>
      <c r="AH704" s="176"/>
      <c r="AI704" s="176"/>
      <c r="AJ704" s="176"/>
      <c r="AK704" s="176"/>
      <c r="AL704" s="176"/>
      <c r="AM704" s="176"/>
      <c r="AN704" s="176"/>
      <c r="AO704" s="176"/>
      <c r="AP704" s="176"/>
      <c r="AQ704" s="176"/>
      <c r="AR704" s="176"/>
      <c r="AS704" s="176"/>
      <c r="AT704" s="176"/>
      <c r="AU704" s="176"/>
      <c r="AV704" s="176"/>
      <c r="AW704" s="176"/>
      <c r="AX704" s="176"/>
      <c r="AY704" s="176"/>
      <c r="AZ704" s="176"/>
      <c r="BA704" s="176"/>
      <c r="BB704" s="176"/>
      <c r="BC704" s="176"/>
      <c r="BD704" s="176"/>
      <c r="BE704" s="176"/>
      <c r="BF704" s="176"/>
      <c r="BG704" s="176"/>
      <c r="BH704" s="176"/>
      <c r="BI704" s="176"/>
      <c r="BJ704" s="176"/>
    </row>
    <row r="705" spans="2:62" x14ac:dyDescent="0.3">
      <c r="B705" s="3"/>
      <c r="C705" s="2"/>
      <c r="D705" s="2"/>
      <c r="E705" s="3"/>
      <c r="O705" s="176"/>
      <c r="P705" s="176"/>
      <c r="Q705" s="176"/>
      <c r="R705" s="176"/>
      <c r="S705" s="176"/>
      <c r="T705" s="176"/>
      <c r="U705" s="176"/>
      <c r="V705" s="176"/>
      <c r="W705" s="176"/>
      <c r="X705" s="176"/>
      <c r="Y705" s="176"/>
      <c r="Z705" s="176"/>
      <c r="AA705" s="176"/>
      <c r="AB705" s="176"/>
      <c r="AC705" s="176"/>
      <c r="AD705" s="176"/>
      <c r="AE705" s="176"/>
      <c r="AF705" s="176"/>
      <c r="AG705" s="176"/>
      <c r="AH705" s="176"/>
      <c r="AI705" s="176"/>
      <c r="AJ705" s="176"/>
      <c r="AK705" s="176"/>
      <c r="AL705" s="176"/>
      <c r="AM705" s="176"/>
      <c r="AN705" s="176"/>
      <c r="AO705" s="176"/>
      <c r="AP705" s="176"/>
      <c r="AQ705" s="176"/>
      <c r="AR705" s="176"/>
      <c r="AS705" s="176"/>
      <c r="AT705" s="176"/>
      <c r="AU705" s="176"/>
      <c r="AV705" s="176"/>
      <c r="AW705" s="176"/>
      <c r="AX705" s="176"/>
      <c r="AY705" s="176"/>
      <c r="AZ705" s="176"/>
      <c r="BA705" s="176"/>
      <c r="BB705" s="176"/>
      <c r="BC705" s="176"/>
      <c r="BD705" s="176"/>
      <c r="BE705" s="176"/>
      <c r="BF705" s="176"/>
      <c r="BG705" s="176"/>
      <c r="BH705" s="176"/>
      <c r="BI705" s="176"/>
      <c r="BJ705" s="176"/>
    </row>
    <row r="706" spans="2:62" x14ac:dyDescent="0.3">
      <c r="B706" s="3"/>
      <c r="C706" s="2"/>
      <c r="D706" s="2"/>
      <c r="E706" s="3"/>
      <c r="O706" s="176"/>
      <c r="P706" s="176"/>
      <c r="Q706" s="176"/>
      <c r="R706" s="176"/>
      <c r="S706" s="176"/>
      <c r="T706" s="176"/>
      <c r="U706" s="176"/>
      <c r="V706" s="176"/>
      <c r="W706" s="176"/>
      <c r="X706" s="176"/>
      <c r="Y706" s="176"/>
      <c r="Z706" s="176"/>
      <c r="AA706" s="176"/>
      <c r="AB706" s="176"/>
      <c r="AC706" s="176"/>
      <c r="AD706" s="176"/>
      <c r="AE706" s="176"/>
      <c r="AF706" s="176"/>
      <c r="AG706" s="176"/>
      <c r="AH706" s="176"/>
      <c r="AI706" s="176"/>
      <c r="AJ706" s="176"/>
      <c r="AK706" s="176"/>
      <c r="AL706" s="176"/>
      <c r="AM706" s="176"/>
      <c r="AN706" s="176"/>
      <c r="AO706" s="176"/>
      <c r="AP706" s="176"/>
      <c r="AQ706" s="176"/>
      <c r="AR706" s="176"/>
      <c r="AS706" s="176"/>
      <c r="AT706" s="176"/>
      <c r="AU706" s="176"/>
      <c r="AV706" s="176"/>
      <c r="AW706" s="176"/>
      <c r="AX706" s="176"/>
      <c r="AY706" s="176"/>
      <c r="AZ706" s="176"/>
      <c r="BA706" s="176"/>
      <c r="BB706" s="176"/>
      <c r="BC706" s="176"/>
      <c r="BD706" s="176"/>
      <c r="BE706" s="176"/>
      <c r="BF706" s="176"/>
      <c r="BG706" s="176"/>
      <c r="BH706" s="176"/>
      <c r="BI706" s="176"/>
      <c r="BJ706" s="176"/>
    </row>
    <row r="707" spans="2:62" x14ac:dyDescent="0.3">
      <c r="B707" s="3"/>
      <c r="C707" s="2"/>
      <c r="D707" s="2"/>
      <c r="E707" s="3"/>
      <c r="O707" s="176"/>
      <c r="P707" s="176"/>
      <c r="Q707" s="176"/>
      <c r="R707" s="176"/>
      <c r="S707" s="176"/>
      <c r="T707" s="176"/>
      <c r="U707" s="176"/>
      <c r="V707" s="176"/>
      <c r="W707" s="176"/>
      <c r="X707" s="176"/>
      <c r="Y707" s="176"/>
      <c r="Z707" s="176"/>
      <c r="AA707" s="176"/>
      <c r="AB707" s="176"/>
      <c r="AC707" s="176"/>
      <c r="AD707" s="176"/>
      <c r="AE707" s="176"/>
      <c r="AF707" s="176"/>
      <c r="AG707" s="176"/>
      <c r="AH707" s="176"/>
      <c r="AI707" s="176"/>
      <c r="AJ707" s="176"/>
      <c r="AK707" s="176"/>
      <c r="AL707" s="176"/>
      <c r="AM707" s="176"/>
      <c r="AN707" s="176"/>
      <c r="AO707" s="176"/>
      <c r="AP707" s="176"/>
      <c r="AQ707" s="176"/>
      <c r="AR707" s="176"/>
      <c r="AS707" s="176"/>
      <c r="AT707" s="176"/>
      <c r="AU707" s="176"/>
      <c r="AV707" s="176"/>
      <c r="AW707" s="176"/>
      <c r="AX707" s="176"/>
      <c r="AY707" s="176"/>
      <c r="AZ707" s="176"/>
      <c r="BA707" s="176"/>
      <c r="BB707" s="176"/>
      <c r="BC707" s="176"/>
      <c r="BD707" s="176"/>
      <c r="BE707" s="176"/>
      <c r="BF707" s="176"/>
      <c r="BG707" s="176"/>
      <c r="BH707" s="176"/>
      <c r="BI707" s="176"/>
      <c r="BJ707" s="176"/>
    </row>
    <row r="708" spans="2:62" x14ac:dyDescent="0.3">
      <c r="B708" s="3"/>
      <c r="C708" s="2"/>
      <c r="D708" s="2"/>
      <c r="E708" s="3"/>
      <c r="O708" s="176"/>
      <c r="P708" s="176"/>
      <c r="Q708" s="176"/>
      <c r="R708" s="176"/>
      <c r="S708" s="176"/>
      <c r="T708" s="176"/>
      <c r="U708" s="176"/>
      <c r="V708" s="176"/>
      <c r="W708" s="176"/>
      <c r="X708" s="176"/>
      <c r="Y708" s="176"/>
      <c r="Z708" s="176"/>
      <c r="AA708" s="176"/>
      <c r="AB708" s="176"/>
      <c r="AC708" s="176"/>
      <c r="AD708" s="176"/>
      <c r="AE708" s="176"/>
      <c r="AF708" s="176"/>
      <c r="AG708" s="176"/>
      <c r="AH708" s="176"/>
      <c r="AI708" s="176"/>
      <c r="AJ708" s="176"/>
      <c r="AK708" s="176"/>
      <c r="AL708" s="176"/>
      <c r="AM708" s="176"/>
      <c r="AN708" s="176"/>
      <c r="AO708" s="176"/>
      <c r="AP708" s="176"/>
      <c r="AQ708" s="176"/>
      <c r="AR708" s="176"/>
      <c r="AS708" s="176"/>
      <c r="AT708" s="176"/>
      <c r="AU708" s="176"/>
      <c r="AV708" s="176"/>
      <c r="AW708" s="176"/>
      <c r="AX708" s="176"/>
      <c r="AY708" s="176"/>
      <c r="AZ708" s="176"/>
      <c r="BA708" s="176"/>
      <c r="BB708" s="176"/>
      <c r="BC708" s="176"/>
      <c r="BD708" s="176"/>
      <c r="BE708" s="176"/>
      <c r="BF708" s="176"/>
      <c r="BG708" s="176"/>
      <c r="BH708" s="176"/>
      <c r="BI708" s="176"/>
      <c r="BJ708" s="176"/>
    </row>
    <row r="709" spans="2:62" x14ac:dyDescent="0.3">
      <c r="B709" s="3"/>
      <c r="C709" s="2"/>
      <c r="D709" s="2"/>
      <c r="E709" s="3"/>
      <c r="O709" s="176"/>
      <c r="P709" s="176"/>
      <c r="Q709" s="176"/>
      <c r="R709" s="176"/>
      <c r="S709" s="176"/>
      <c r="T709" s="176"/>
      <c r="U709" s="176"/>
      <c r="V709" s="176"/>
      <c r="W709" s="176"/>
      <c r="X709" s="176"/>
      <c r="Y709" s="176"/>
      <c r="Z709" s="176"/>
      <c r="AA709" s="176"/>
      <c r="AB709" s="176"/>
      <c r="AC709" s="176"/>
      <c r="AD709" s="176"/>
      <c r="AE709" s="176"/>
      <c r="AF709" s="176"/>
      <c r="AG709" s="176"/>
      <c r="AH709" s="176"/>
      <c r="AI709" s="176"/>
      <c r="AJ709" s="176"/>
      <c r="AK709" s="176"/>
      <c r="AL709" s="176"/>
      <c r="AM709" s="176"/>
      <c r="AN709" s="176"/>
      <c r="AO709" s="176"/>
      <c r="AP709" s="176"/>
      <c r="AQ709" s="176"/>
      <c r="AR709" s="176"/>
      <c r="AS709" s="176"/>
      <c r="AT709" s="176"/>
      <c r="AU709" s="176"/>
      <c r="AV709" s="176"/>
      <c r="AW709" s="176"/>
      <c r="AX709" s="176"/>
      <c r="AY709" s="176"/>
      <c r="AZ709" s="176"/>
      <c r="BA709" s="176"/>
      <c r="BB709" s="176"/>
      <c r="BC709" s="176"/>
      <c r="BD709" s="176"/>
      <c r="BE709" s="176"/>
      <c r="BF709" s="176"/>
      <c r="BG709" s="176"/>
      <c r="BH709" s="176"/>
      <c r="BI709" s="176"/>
      <c r="BJ709" s="176"/>
    </row>
    <row r="710" spans="2:62" x14ac:dyDescent="0.3">
      <c r="B710" s="3"/>
      <c r="C710" s="2"/>
      <c r="D710" s="2"/>
      <c r="E710" s="3"/>
      <c r="O710" s="176"/>
      <c r="P710" s="176"/>
      <c r="Q710" s="176"/>
      <c r="R710" s="176"/>
      <c r="S710" s="176"/>
      <c r="T710" s="176"/>
      <c r="U710" s="176"/>
      <c r="V710" s="176"/>
      <c r="W710" s="176"/>
      <c r="X710" s="176"/>
      <c r="Y710" s="176"/>
      <c r="Z710" s="176"/>
      <c r="AA710" s="176"/>
      <c r="AB710" s="176"/>
      <c r="AC710" s="176"/>
      <c r="AD710" s="176"/>
      <c r="AE710" s="176"/>
      <c r="AF710" s="176"/>
      <c r="AG710" s="176"/>
      <c r="AH710" s="176"/>
      <c r="AI710" s="176"/>
      <c r="AJ710" s="176"/>
      <c r="AK710" s="176"/>
      <c r="AL710" s="176"/>
      <c r="AM710" s="176"/>
      <c r="AN710" s="176"/>
      <c r="AO710" s="176"/>
      <c r="AP710" s="176"/>
      <c r="AQ710" s="176"/>
      <c r="AR710" s="176"/>
      <c r="AS710" s="176"/>
      <c r="AT710" s="176"/>
      <c r="AU710" s="176"/>
      <c r="AV710" s="176"/>
      <c r="AW710" s="176"/>
      <c r="AX710" s="176"/>
      <c r="AY710" s="176"/>
      <c r="AZ710" s="176"/>
      <c r="BA710" s="176"/>
      <c r="BB710" s="176"/>
      <c r="BC710" s="176"/>
      <c r="BD710" s="176"/>
      <c r="BE710" s="176"/>
      <c r="BF710" s="176"/>
      <c r="BG710" s="176"/>
      <c r="BH710" s="176"/>
      <c r="BI710" s="176"/>
      <c r="BJ710" s="176"/>
    </row>
    <row r="711" spans="2:62" x14ac:dyDescent="0.3">
      <c r="B711" s="3"/>
      <c r="C711" s="2"/>
      <c r="D711" s="2"/>
      <c r="E711" s="3"/>
      <c r="O711" s="176"/>
      <c r="P711" s="176"/>
      <c r="Q711" s="176"/>
      <c r="R711" s="176"/>
      <c r="S711" s="176"/>
      <c r="T711" s="176"/>
      <c r="U711" s="176"/>
      <c r="V711" s="176"/>
      <c r="W711" s="176"/>
      <c r="X711" s="176"/>
      <c r="Y711" s="176"/>
      <c r="Z711" s="176"/>
      <c r="AA711" s="176"/>
      <c r="AB711" s="176"/>
      <c r="AC711" s="176"/>
      <c r="AD711" s="176"/>
      <c r="AE711" s="176"/>
      <c r="AF711" s="176"/>
      <c r="AG711" s="176"/>
      <c r="AH711" s="176"/>
      <c r="AI711" s="176"/>
      <c r="AJ711" s="176"/>
      <c r="AK711" s="176"/>
      <c r="AL711" s="176"/>
      <c r="AM711" s="176"/>
      <c r="AN711" s="176"/>
      <c r="AO711" s="176"/>
      <c r="AP711" s="176"/>
      <c r="AQ711" s="176"/>
      <c r="AR711" s="176"/>
      <c r="AS711" s="176"/>
      <c r="AT711" s="176"/>
      <c r="AU711" s="176"/>
      <c r="AV711" s="176"/>
      <c r="AW711" s="176"/>
      <c r="AX711" s="176"/>
      <c r="AY711" s="176"/>
      <c r="AZ711" s="176"/>
      <c r="BA711" s="176"/>
      <c r="BB711" s="176"/>
      <c r="BC711" s="176"/>
      <c r="BD711" s="176"/>
      <c r="BE711" s="176"/>
      <c r="BF711" s="176"/>
      <c r="BG711" s="176"/>
      <c r="BH711" s="176"/>
      <c r="BI711" s="176"/>
      <c r="BJ711" s="176"/>
    </row>
    <row r="712" spans="2:62" x14ac:dyDescent="0.3">
      <c r="B712" s="3"/>
      <c r="C712" s="2"/>
      <c r="D712" s="2"/>
      <c r="E712" s="3"/>
      <c r="O712" s="176"/>
      <c r="P712" s="176"/>
      <c r="Q712" s="176"/>
      <c r="R712" s="176"/>
      <c r="S712" s="176"/>
      <c r="T712" s="176"/>
      <c r="U712" s="176"/>
      <c r="V712" s="176"/>
      <c r="W712" s="176"/>
      <c r="X712" s="176"/>
      <c r="Y712" s="176"/>
      <c r="Z712" s="176"/>
      <c r="AA712" s="176"/>
      <c r="AB712" s="176"/>
      <c r="AC712" s="176"/>
      <c r="AD712" s="176"/>
      <c r="AE712" s="176"/>
      <c r="AF712" s="176"/>
      <c r="AG712" s="176"/>
      <c r="AH712" s="176"/>
      <c r="AI712" s="176"/>
      <c r="AJ712" s="176"/>
      <c r="AK712" s="176"/>
      <c r="AL712" s="176"/>
      <c r="AM712" s="176"/>
      <c r="AN712" s="176"/>
      <c r="AO712" s="176"/>
      <c r="AP712" s="176"/>
      <c r="AQ712" s="176"/>
      <c r="AR712" s="176"/>
      <c r="AS712" s="176"/>
      <c r="AT712" s="176"/>
      <c r="AU712" s="176"/>
      <c r="AV712" s="176"/>
      <c r="AW712" s="176"/>
      <c r="AX712" s="176"/>
      <c r="AY712" s="176"/>
      <c r="AZ712" s="176"/>
      <c r="BA712" s="176"/>
      <c r="BB712" s="176"/>
      <c r="BC712" s="176"/>
      <c r="BD712" s="176"/>
      <c r="BE712" s="176"/>
      <c r="BF712" s="176"/>
      <c r="BG712" s="176"/>
      <c r="BH712" s="176"/>
      <c r="BI712" s="176"/>
      <c r="BJ712" s="176"/>
    </row>
    <row r="713" spans="2:62" x14ac:dyDescent="0.3">
      <c r="B713" s="3"/>
      <c r="C713" s="2"/>
      <c r="D713" s="2"/>
      <c r="E713" s="3"/>
      <c r="O713" s="176"/>
      <c r="P713" s="176"/>
      <c r="Q713" s="176"/>
      <c r="R713" s="176"/>
      <c r="S713" s="176"/>
      <c r="T713" s="176"/>
      <c r="U713" s="176"/>
      <c r="V713" s="176"/>
      <c r="W713" s="176"/>
      <c r="X713" s="176"/>
      <c r="Y713" s="176"/>
      <c r="Z713" s="176"/>
      <c r="AA713" s="176"/>
      <c r="AB713" s="176"/>
      <c r="AC713" s="176"/>
      <c r="AD713" s="176"/>
      <c r="AE713" s="176"/>
      <c r="AF713" s="176"/>
      <c r="AG713" s="176"/>
      <c r="AH713" s="176"/>
      <c r="AI713" s="176"/>
      <c r="AJ713" s="176"/>
      <c r="AK713" s="176"/>
      <c r="AL713" s="176"/>
      <c r="AM713" s="176"/>
      <c r="AN713" s="176"/>
      <c r="AO713" s="176"/>
      <c r="AP713" s="176"/>
      <c r="AQ713" s="176"/>
      <c r="AR713" s="176"/>
      <c r="AS713" s="176"/>
      <c r="AT713" s="176"/>
      <c r="AU713" s="176"/>
      <c r="AV713" s="176"/>
      <c r="AW713" s="176"/>
      <c r="AX713" s="176"/>
      <c r="AY713" s="176"/>
      <c r="AZ713" s="176"/>
      <c r="BA713" s="176"/>
      <c r="BB713" s="176"/>
      <c r="BC713" s="176"/>
      <c r="BD713" s="176"/>
      <c r="BE713" s="176"/>
      <c r="BF713" s="176"/>
      <c r="BG713" s="176"/>
      <c r="BH713" s="176"/>
      <c r="BI713" s="176"/>
      <c r="BJ713" s="176"/>
    </row>
    <row r="714" spans="2:62" x14ac:dyDescent="0.3">
      <c r="B714" s="3"/>
      <c r="C714" s="2"/>
      <c r="D714" s="2"/>
      <c r="E714" s="3"/>
      <c r="O714" s="176"/>
      <c r="P714" s="176"/>
      <c r="Q714" s="176"/>
      <c r="R714" s="176"/>
      <c r="S714" s="176"/>
      <c r="T714" s="176"/>
      <c r="U714" s="176"/>
      <c r="V714" s="176"/>
      <c r="W714" s="176"/>
      <c r="X714" s="176"/>
      <c r="Y714" s="176"/>
      <c r="Z714" s="176"/>
      <c r="AA714" s="176"/>
      <c r="AB714" s="176"/>
      <c r="AC714" s="176"/>
      <c r="AD714" s="176"/>
      <c r="AE714" s="176"/>
      <c r="AF714" s="176"/>
      <c r="AG714" s="176"/>
      <c r="AH714" s="176"/>
      <c r="AI714" s="176"/>
      <c r="AJ714" s="176"/>
      <c r="AK714" s="176"/>
      <c r="AL714" s="176"/>
      <c r="AM714" s="176"/>
      <c r="AN714" s="176"/>
      <c r="AO714" s="176"/>
      <c r="AP714" s="176"/>
      <c r="AQ714" s="176"/>
      <c r="AR714" s="176"/>
      <c r="AS714" s="176"/>
      <c r="AT714" s="176"/>
      <c r="AU714" s="176"/>
      <c r="AV714" s="176"/>
      <c r="AW714" s="176"/>
      <c r="AX714" s="176"/>
      <c r="AY714" s="176"/>
      <c r="AZ714" s="176"/>
      <c r="BA714" s="176"/>
      <c r="BB714" s="176"/>
      <c r="BC714" s="176"/>
      <c r="BD714" s="176"/>
      <c r="BE714" s="176"/>
      <c r="BF714" s="176"/>
      <c r="BG714" s="176"/>
      <c r="BH714" s="176"/>
      <c r="BI714" s="176"/>
      <c r="BJ714" s="176"/>
    </row>
    <row r="715" spans="2:62" x14ac:dyDescent="0.3">
      <c r="B715" s="3"/>
      <c r="C715" s="2"/>
      <c r="D715" s="2"/>
      <c r="E715" s="3"/>
      <c r="O715" s="176"/>
      <c r="P715" s="176"/>
      <c r="Q715" s="176"/>
      <c r="R715" s="176"/>
      <c r="S715" s="176"/>
      <c r="T715" s="176"/>
      <c r="U715" s="176"/>
      <c r="V715" s="176"/>
      <c r="W715" s="176"/>
      <c r="X715" s="176"/>
      <c r="Y715" s="176"/>
      <c r="Z715" s="176"/>
      <c r="AA715" s="176"/>
      <c r="AB715" s="176"/>
      <c r="AC715" s="176"/>
      <c r="AD715" s="176"/>
      <c r="AE715" s="176"/>
      <c r="AF715" s="176"/>
      <c r="AG715" s="176"/>
      <c r="AH715" s="176"/>
      <c r="AI715" s="176"/>
      <c r="AJ715" s="176"/>
      <c r="AK715" s="176"/>
      <c r="AL715" s="176"/>
      <c r="AM715" s="176"/>
      <c r="AN715" s="176"/>
      <c r="AO715" s="176"/>
      <c r="AP715" s="176"/>
      <c r="AQ715" s="176"/>
      <c r="AR715" s="176"/>
      <c r="AS715" s="176"/>
      <c r="AT715" s="176"/>
      <c r="AU715" s="176"/>
      <c r="AV715" s="176"/>
      <c r="AW715" s="176"/>
      <c r="AX715" s="176"/>
      <c r="AY715" s="176"/>
      <c r="AZ715" s="176"/>
      <c r="BA715" s="176"/>
      <c r="BB715" s="176"/>
      <c r="BC715" s="176"/>
      <c r="BD715" s="176"/>
      <c r="BE715" s="176"/>
      <c r="BF715" s="176"/>
      <c r="BG715" s="176"/>
      <c r="BH715" s="176"/>
      <c r="BI715" s="176"/>
      <c r="BJ715" s="176"/>
    </row>
    <row r="716" spans="2:62" x14ac:dyDescent="0.3">
      <c r="B716" s="3"/>
      <c r="C716" s="2"/>
      <c r="D716" s="2"/>
      <c r="E716" s="3"/>
      <c r="O716" s="176"/>
      <c r="P716" s="176"/>
      <c r="Q716" s="176"/>
      <c r="R716" s="176"/>
      <c r="S716" s="176"/>
      <c r="T716" s="176"/>
      <c r="U716" s="176"/>
      <c r="V716" s="176"/>
      <c r="W716" s="176"/>
      <c r="X716" s="176"/>
      <c r="Y716" s="176"/>
      <c r="Z716" s="176"/>
      <c r="AA716" s="176"/>
      <c r="AB716" s="176"/>
      <c r="AC716" s="176"/>
      <c r="AD716" s="176"/>
      <c r="AE716" s="176"/>
      <c r="AF716" s="176"/>
      <c r="AG716" s="176"/>
      <c r="AH716" s="176"/>
      <c r="AI716" s="176"/>
      <c r="AJ716" s="176"/>
      <c r="AK716" s="176"/>
      <c r="AL716" s="176"/>
      <c r="AM716" s="176"/>
      <c r="AN716" s="176"/>
      <c r="AO716" s="176"/>
      <c r="AP716" s="176"/>
      <c r="AQ716" s="176"/>
      <c r="AR716" s="176"/>
      <c r="AS716" s="176"/>
      <c r="AT716" s="176"/>
      <c r="AU716" s="176"/>
      <c r="AV716" s="176"/>
      <c r="AW716" s="176"/>
      <c r="AX716" s="176"/>
      <c r="AY716" s="176"/>
      <c r="AZ716" s="176"/>
      <c r="BA716" s="176"/>
      <c r="BB716" s="176"/>
      <c r="BC716" s="176"/>
      <c r="BD716" s="176"/>
      <c r="BE716" s="176"/>
      <c r="BF716" s="176"/>
      <c r="BG716" s="176"/>
      <c r="BH716" s="176"/>
      <c r="BI716" s="176"/>
      <c r="BJ716" s="176"/>
    </row>
    <row r="717" spans="2:62" x14ac:dyDescent="0.3">
      <c r="B717" s="3"/>
      <c r="C717" s="2"/>
      <c r="D717" s="2"/>
      <c r="E717" s="3"/>
      <c r="O717" s="176"/>
      <c r="P717" s="176"/>
      <c r="Q717" s="176"/>
      <c r="R717" s="176"/>
      <c r="S717" s="176"/>
      <c r="T717" s="176"/>
      <c r="U717" s="176"/>
      <c r="V717" s="176"/>
      <c r="W717" s="176"/>
      <c r="X717" s="176"/>
      <c r="Y717" s="176"/>
      <c r="Z717" s="176"/>
      <c r="AA717" s="176"/>
      <c r="AB717" s="176"/>
      <c r="AC717" s="176"/>
      <c r="AD717" s="176"/>
      <c r="AE717" s="176"/>
      <c r="AF717" s="176"/>
      <c r="AG717" s="176"/>
      <c r="AH717" s="176"/>
      <c r="AI717" s="176"/>
      <c r="AJ717" s="176"/>
      <c r="AK717" s="176"/>
      <c r="AL717" s="176"/>
      <c r="AM717" s="176"/>
      <c r="AN717" s="176"/>
      <c r="AO717" s="176"/>
      <c r="AP717" s="176"/>
      <c r="AQ717" s="176"/>
      <c r="AR717" s="176"/>
      <c r="AS717" s="176"/>
      <c r="AT717" s="176"/>
      <c r="AU717" s="176"/>
      <c r="AV717" s="176"/>
      <c r="AW717" s="176"/>
      <c r="AX717" s="176"/>
      <c r="AY717" s="176"/>
      <c r="AZ717" s="176"/>
      <c r="BA717" s="176"/>
      <c r="BB717" s="176"/>
      <c r="BC717" s="176"/>
      <c r="BD717" s="176"/>
      <c r="BE717" s="176"/>
      <c r="BF717" s="176"/>
      <c r="BG717" s="176"/>
      <c r="BH717" s="176"/>
      <c r="BI717" s="176"/>
      <c r="BJ717" s="176"/>
    </row>
    <row r="718" spans="2:62" x14ac:dyDescent="0.3">
      <c r="B718" s="3"/>
      <c r="C718" s="2"/>
      <c r="D718" s="2"/>
      <c r="E718" s="3"/>
      <c r="O718" s="176"/>
      <c r="P718" s="176"/>
      <c r="Q718" s="176"/>
      <c r="R718" s="176"/>
      <c r="S718" s="176"/>
      <c r="T718" s="176"/>
      <c r="U718" s="176"/>
      <c r="V718" s="176"/>
      <c r="W718" s="176"/>
      <c r="X718" s="176"/>
      <c r="Y718" s="176"/>
      <c r="Z718" s="176"/>
      <c r="AA718" s="176"/>
      <c r="AB718" s="176"/>
      <c r="AC718" s="176"/>
      <c r="AD718" s="176"/>
      <c r="AE718" s="176"/>
      <c r="AF718" s="176"/>
      <c r="AG718" s="176"/>
      <c r="AH718" s="176"/>
      <c r="AI718" s="176"/>
      <c r="AJ718" s="176"/>
      <c r="AK718" s="176"/>
      <c r="AL718" s="176"/>
      <c r="AM718" s="176"/>
      <c r="AN718" s="176"/>
      <c r="AO718" s="176"/>
      <c r="AP718" s="176"/>
      <c r="AQ718" s="176"/>
      <c r="AR718" s="176"/>
      <c r="AS718" s="176"/>
      <c r="AT718" s="176"/>
      <c r="AU718" s="176"/>
      <c r="AV718" s="176"/>
      <c r="AW718" s="176"/>
      <c r="AX718" s="176"/>
      <c r="AY718" s="176"/>
      <c r="AZ718" s="176"/>
      <c r="BA718" s="176"/>
      <c r="BB718" s="176"/>
      <c r="BC718" s="176"/>
      <c r="BD718" s="176"/>
      <c r="BE718" s="176"/>
      <c r="BF718" s="176"/>
      <c r="BG718" s="176"/>
      <c r="BH718" s="176"/>
      <c r="BI718" s="176"/>
      <c r="BJ718" s="176"/>
    </row>
    <row r="719" spans="2:62" x14ac:dyDescent="0.3">
      <c r="B719" s="3"/>
      <c r="C719" s="2"/>
      <c r="D719" s="2"/>
      <c r="E719" s="3"/>
      <c r="O719" s="176"/>
      <c r="P719" s="176"/>
      <c r="Q719" s="176"/>
      <c r="R719" s="176"/>
      <c r="S719" s="176"/>
      <c r="T719" s="176"/>
      <c r="U719" s="176"/>
      <c r="V719" s="176"/>
      <c r="W719" s="176"/>
      <c r="X719" s="176"/>
      <c r="Y719" s="176"/>
      <c r="Z719" s="176"/>
      <c r="AA719" s="176"/>
      <c r="AB719" s="176"/>
      <c r="AC719" s="176"/>
      <c r="AD719" s="176"/>
      <c r="AE719" s="176"/>
      <c r="AF719" s="176"/>
      <c r="AG719" s="176"/>
      <c r="AH719" s="176"/>
      <c r="AI719" s="176"/>
      <c r="AJ719" s="176"/>
      <c r="AK719" s="176"/>
      <c r="AL719" s="176"/>
      <c r="AM719" s="176"/>
      <c r="AN719" s="176"/>
      <c r="AO719" s="176"/>
      <c r="AP719" s="176"/>
      <c r="AQ719" s="176"/>
      <c r="AR719" s="176"/>
      <c r="AS719" s="176"/>
      <c r="AT719" s="176"/>
      <c r="AU719" s="176"/>
      <c r="AV719" s="176"/>
      <c r="AW719" s="176"/>
      <c r="AX719" s="176"/>
      <c r="AY719" s="176"/>
      <c r="AZ719" s="176"/>
      <c r="BA719" s="176"/>
      <c r="BB719" s="176"/>
      <c r="BC719" s="176"/>
      <c r="BD719" s="176"/>
      <c r="BE719" s="176"/>
      <c r="BF719" s="176"/>
      <c r="BG719" s="176"/>
      <c r="BH719" s="176"/>
      <c r="BI719" s="176"/>
      <c r="BJ719" s="176"/>
    </row>
    <row r="720" spans="2:62" x14ac:dyDescent="0.3">
      <c r="B720" s="3"/>
      <c r="C720" s="2"/>
      <c r="D720" s="2"/>
      <c r="E720" s="3"/>
      <c r="O720" s="176"/>
      <c r="P720" s="176"/>
      <c r="Q720" s="176"/>
      <c r="R720" s="176"/>
      <c r="S720" s="176"/>
      <c r="T720" s="176"/>
      <c r="U720" s="176"/>
      <c r="V720" s="176"/>
      <c r="W720" s="176"/>
      <c r="X720" s="176"/>
      <c r="Y720" s="176"/>
      <c r="Z720" s="176"/>
      <c r="AA720" s="176"/>
      <c r="AB720" s="176"/>
      <c r="AC720" s="176"/>
      <c r="AD720" s="176"/>
      <c r="AE720" s="176"/>
      <c r="AF720" s="176"/>
      <c r="AG720" s="176"/>
      <c r="AH720" s="176"/>
      <c r="AI720" s="176"/>
      <c r="AJ720" s="176"/>
      <c r="AK720" s="176"/>
      <c r="AL720" s="176"/>
      <c r="AM720" s="176"/>
      <c r="AN720" s="176"/>
      <c r="AO720" s="176"/>
      <c r="AP720" s="176"/>
      <c r="AQ720" s="176"/>
      <c r="AR720" s="176"/>
      <c r="AS720" s="176"/>
      <c r="AT720" s="176"/>
      <c r="AU720" s="176"/>
      <c r="AV720" s="176"/>
      <c r="AW720" s="176"/>
      <c r="AX720" s="176"/>
      <c r="AY720" s="176"/>
      <c r="AZ720" s="176"/>
      <c r="BA720" s="176"/>
      <c r="BB720" s="176"/>
      <c r="BC720" s="176"/>
      <c r="BD720" s="176"/>
      <c r="BE720" s="176"/>
      <c r="BF720" s="176"/>
      <c r="BG720" s="176"/>
      <c r="BH720" s="176"/>
      <c r="BI720" s="176"/>
      <c r="BJ720" s="176"/>
    </row>
    <row r="721" spans="2:62" x14ac:dyDescent="0.3">
      <c r="B721" s="3"/>
      <c r="C721" s="2"/>
      <c r="D721" s="2"/>
      <c r="E721" s="3"/>
      <c r="O721" s="176"/>
      <c r="P721" s="176"/>
      <c r="Q721" s="176"/>
      <c r="R721" s="176"/>
      <c r="S721" s="176"/>
      <c r="T721" s="176"/>
      <c r="U721" s="176"/>
      <c r="V721" s="176"/>
      <c r="W721" s="176"/>
      <c r="X721" s="176"/>
      <c r="Y721" s="176"/>
      <c r="Z721" s="176"/>
      <c r="AA721" s="176"/>
      <c r="AB721" s="176"/>
      <c r="AC721" s="176"/>
      <c r="AD721" s="176"/>
      <c r="AE721" s="176"/>
      <c r="AF721" s="176"/>
      <c r="AG721" s="176"/>
      <c r="AH721" s="176"/>
      <c r="AI721" s="176"/>
      <c r="AJ721" s="176"/>
      <c r="AK721" s="176"/>
      <c r="AL721" s="176"/>
      <c r="AM721" s="176"/>
      <c r="AN721" s="176"/>
      <c r="AO721" s="176"/>
      <c r="AP721" s="176"/>
      <c r="AQ721" s="176"/>
      <c r="AR721" s="176"/>
      <c r="AS721" s="176"/>
      <c r="AT721" s="176"/>
      <c r="AU721" s="176"/>
      <c r="AV721" s="176"/>
      <c r="AW721" s="176"/>
      <c r="AX721" s="176"/>
      <c r="AY721" s="176"/>
      <c r="AZ721" s="176"/>
      <c r="BA721" s="176"/>
      <c r="BB721" s="176"/>
      <c r="BC721" s="176"/>
      <c r="BD721" s="176"/>
      <c r="BE721" s="176"/>
      <c r="BF721" s="176"/>
      <c r="BG721" s="176"/>
      <c r="BH721" s="176"/>
      <c r="BI721" s="176"/>
      <c r="BJ721" s="176"/>
    </row>
    <row r="722" spans="2:62" x14ac:dyDescent="0.3">
      <c r="B722" s="3"/>
      <c r="C722" s="2"/>
      <c r="D722" s="2"/>
      <c r="E722" s="3"/>
      <c r="O722" s="176"/>
      <c r="P722" s="176"/>
      <c r="Q722" s="176"/>
      <c r="R722" s="176"/>
      <c r="S722" s="176"/>
      <c r="T722" s="176"/>
      <c r="U722" s="176"/>
      <c r="V722" s="176"/>
      <c r="W722" s="176"/>
      <c r="X722" s="176"/>
      <c r="Y722" s="176"/>
      <c r="Z722" s="176"/>
      <c r="AA722" s="176"/>
      <c r="AB722" s="176"/>
      <c r="AC722" s="176"/>
      <c r="AD722" s="176"/>
      <c r="AE722" s="176"/>
      <c r="AF722" s="176"/>
      <c r="AG722" s="176"/>
      <c r="AH722" s="176"/>
      <c r="AI722" s="176"/>
      <c r="AJ722" s="176"/>
      <c r="AK722" s="176"/>
      <c r="AL722" s="176"/>
      <c r="AM722" s="176"/>
      <c r="AN722" s="176"/>
      <c r="AO722" s="176"/>
      <c r="AP722" s="176"/>
      <c r="AQ722" s="176"/>
      <c r="AR722" s="176"/>
      <c r="AS722" s="176"/>
      <c r="AT722" s="176"/>
      <c r="AU722" s="176"/>
      <c r="AV722" s="176"/>
      <c r="AW722" s="176"/>
      <c r="AX722" s="176"/>
      <c r="AY722" s="176"/>
      <c r="AZ722" s="176"/>
      <c r="BA722" s="176"/>
      <c r="BB722" s="176"/>
      <c r="BC722" s="176"/>
      <c r="BD722" s="176"/>
      <c r="BE722" s="176"/>
      <c r="BF722" s="176"/>
      <c r="BG722" s="176"/>
      <c r="BH722" s="176"/>
      <c r="BI722" s="176"/>
      <c r="BJ722" s="176"/>
    </row>
    <row r="723" spans="2:62" x14ac:dyDescent="0.3">
      <c r="B723" s="3"/>
      <c r="C723" s="2"/>
      <c r="D723" s="2"/>
      <c r="E723" s="3"/>
      <c r="O723" s="176"/>
      <c r="P723" s="176"/>
      <c r="Q723" s="176"/>
      <c r="R723" s="176"/>
      <c r="S723" s="176"/>
      <c r="T723" s="176"/>
      <c r="U723" s="176"/>
      <c r="V723" s="176"/>
      <c r="W723" s="176"/>
      <c r="X723" s="176"/>
      <c r="Y723" s="176"/>
      <c r="Z723" s="176"/>
      <c r="AA723" s="176"/>
      <c r="AB723" s="176"/>
      <c r="AC723" s="176"/>
      <c r="AD723" s="176"/>
      <c r="AE723" s="176"/>
      <c r="AF723" s="176"/>
      <c r="AG723" s="176"/>
      <c r="AH723" s="176"/>
      <c r="AI723" s="176"/>
      <c r="AJ723" s="176"/>
      <c r="AK723" s="176"/>
      <c r="AL723" s="176"/>
      <c r="AM723" s="176"/>
      <c r="AN723" s="176"/>
      <c r="AO723" s="176"/>
      <c r="AP723" s="176"/>
      <c r="AQ723" s="176"/>
      <c r="AR723" s="176"/>
      <c r="AS723" s="176"/>
      <c r="AT723" s="176"/>
      <c r="AU723" s="176"/>
      <c r="AV723" s="176"/>
      <c r="AW723" s="176"/>
      <c r="AX723" s="176"/>
      <c r="AY723" s="176"/>
      <c r="AZ723" s="176"/>
      <c r="BA723" s="176"/>
      <c r="BB723" s="176"/>
      <c r="BC723" s="176"/>
      <c r="BD723" s="176"/>
      <c r="BE723" s="176"/>
      <c r="BF723" s="176"/>
      <c r="BG723" s="176"/>
      <c r="BH723" s="176"/>
      <c r="BI723" s="176"/>
      <c r="BJ723" s="176"/>
    </row>
    <row r="724" spans="2:62" x14ac:dyDescent="0.3">
      <c r="B724" s="3"/>
      <c r="C724" s="2"/>
      <c r="D724" s="2"/>
      <c r="E724" s="3"/>
      <c r="O724" s="176"/>
      <c r="P724" s="176"/>
      <c r="Q724" s="176"/>
      <c r="R724" s="176"/>
      <c r="S724" s="176"/>
      <c r="T724" s="176"/>
      <c r="U724" s="176"/>
      <c r="V724" s="176"/>
      <c r="W724" s="176"/>
      <c r="X724" s="176"/>
      <c r="Y724" s="176"/>
      <c r="Z724" s="176"/>
      <c r="AA724" s="176"/>
      <c r="AB724" s="176"/>
      <c r="AC724" s="176"/>
      <c r="AD724" s="176"/>
      <c r="AE724" s="176"/>
      <c r="AF724" s="176"/>
      <c r="AG724" s="176"/>
      <c r="AH724" s="176"/>
      <c r="AI724" s="176"/>
      <c r="AJ724" s="176"/>
      <c r="AK724" s="176"/>
      <c r="AL724" s="176"/>
      <c r="AM724" s="176"/>
      <c r="AN724" s="176"/>
      <c r="AO724" s="176"/>
      <c r="AP724" s="176"/>
      <c r="AQ724" s="176"/>
      <c r="AR724" s="176"/>
      <c r="AS724" s="176"/>
      <c r="AT724" s="176"/>
      <c r="AU724" s="176"/>
      <c r="AV724" s="176"/>
      <c r="AW724" s="176"/>
      <c r="AX724" s="176"/>
      <c r="AY724" s="176"/>
      <c r="AZ724" s="176"/>
      <c r="BA724" s="176"/>
      <c r="BB724" s="176"/>
      <c r="BC724" s="176"/>
      <c r="BD724" s="176"/>
      <c r="BE724" s="176"/>
      <c r="BF724" s="176"/>
      <c r="BG724" s="176"/>
      <c r="BH724" s="176"/>
      <c r="BI724" s="176"/>
      <c r="BJ724" s="176"/>
    </row>
    <row r="725" spans="2:62" x14ac:dyDescent="0.3">
      <c r="B725" s="3"/>
      <c r="C725" s="2"/>
      <c r="D725" s="2"/>
      <c r="E725" s="3"/>
      <c r="O725" s="176"/>
      <c r="P725" s="176"/>
      <c r="Q725" s="176"/>
      <c r="R725" s="176"/>
      <c r="S725" s="176"/>
      <c r="T725" s="176"/>
      <c r="U725" s="176"/>
      <c r="V725" s="176"/>
      <c r="W725" s="176"/>
      <c r="X725" s="176"/>
      <c r="Y725" s="176"/>
      <c r="Z725" s="176"/>
      <c r="AA725" s="176"/>
      <c r="AB725" s="176"/>
      <c r="AC725" s="176"/>
      <c r="AD725" s="176"/>
      <c r="AE725" s="176"/>
      <c r="AF725" s="176"/>
      <c r="AG725" s="176"/>
      <c r="AH725" s="176"/>
      <c r="AI725" s="176"/>
      <c r="AJ725" s="176"/>
      <c r="AK725" s="176"/>
      <c r="AL725" s="176"/>
      <c r="AM725" s="176"/>
      <c r="AN725" s="176"/>
      <c r="AO725" s="176"/>
      <c r="AP725" s="176"/>
      <c r="AQ725" s="176"/>
      <c r="AR725" s="176"/>
      <c r="AS725" s="176"/>
      <c r="AT725" s="176"/>
      <c r="AU725" s="176"/>
      <c r="AV725" s="176"/>
      <c r="AW725" s="176"/>
      <c r="AX725" s="176"/>
      <c r="AY725" s="176"/>
      <c r="AZ725" s="176"/>
      <c r="BA725" s="176"/>
      <c r="BB725" s="176"/>
      <c r="BC725" s="176"/>
      <c r="BD725" s="176"/>
      <c r="BE725" s="176"/>
      <c r="BF725" s="176"/>
      <c r="BG725" s="176"/>
      <c r="BH725" s="176"/>
      <c r="BI725" s="176"/>
      <c r="BJ725" s="176"/>
    </row>
    <row r="726" spans="2:62" x14ac:dyDescent="0.3">
      <c r="B726" s="3"/>
      <c r="C726" s="2"/>
      <c r="D726" s="2"/>
      <c r="E726" s="3"/>
      <c r="O726" s="176"/>
      <c r="P726" s="176"/>
      <c r="Q726" s="176"/>
      <c r="R726" s="176"/>
      <c r="S726" s="176"/>
      <c r="T726" s="176"/>
      <c r="U726" s="176"/>
      <c r="V726" s="176"/>
      <c r="W726" s="176"/>
      <c r="X726" s="176"/>
      <c r="Y726" s="176"/>
      <c r="Z726" s="176"/>
      <c r="AA726" s="176"/>
      <c r="AB726" s="176"/>
      <c r="AC726" s="176"/>
      <c r="AD726" s="176"/>
      <c r="AE726" s="176"/>
      <c r="AF726" s="176"/>
      <c r="AG726" s="176"/>
      <c r="AH726" s="176"/>
      <c r="AI726" s="176"/>
      <c r="AJ726" s="176"/>
      <c r="AK726" s="176"/>
      <c r="AL726" s="176"/>
      <c r="AM726" s="176"/>
      <c r="AN726" s="176"/>
      <c r="AO726" s="176"/>
      <c r="AP726" s="176"/>
      <c r="AQ726" s="176"/>
      <c r="AR726" s="176"/>
      <c r="AS726" s="176"/>
      <c r="AT726" s="176"/>
      <c r="AU726" s="176"/>
      <c r="AV726" s="176"/>
      <c r="AW726" s="176"/>
      <c r="AX726" s="176"/>
      <c r="AY726" s="176"/>
      <c r="AZ726" s="176"/>
      <c r="BA726" s="176"/>
      <c r="BB726" s="176"/>
      <c r="BC726" s="176"/>
      <c r="BD726" s="176"/>
      <c r="BE726" s="176"/>
      <c r="BF726" s="176"/>
      <c r="BG726" s="176"/>
      <c r="BH726" s="176"/>
      <c r="BI726" s="176"/>
      <c r="BJ726" s="176"/>
    </row>
    <row r="727" spans="2:62" x14ac:dyDescent="0.3">
      <c r="B727" s="3"/>
      <c r="C727" s="2"/>
      <c r="D727" s="2"/>
      <c r="E727" s="3"/>
      <c r="O727" s="176"/>
      <c r="P727" s="176"/>
      <c r="Q727" s="176"/>
      <c r="R727" s="176"/>
      <c r="S727" s="176"/>
      <c r="T727" s="176"/>
      <c r="U727" s="176"/>
      <c r="V727" s="176"/>
      <c r="W727" s="176"/>
      <c r="X727" s="176"/>
      <c r="Y727" s="176"/>
      <c r="Z727" s="176"/>
      <c r="AA727" s="176"/>
      <c r="AB727" s="176"/>
      <c r="AC727" s="176"/>
      <c r="AD727" s="176"/>
      <c r="AE727" s="176"/>
      <c r="AF727" s="176"/>
      <c r="AG727" s="176"/>
      <c r="AH727" s="176"/>
      <c r="AI727" s="176"/>
      <c r="AJ727" s="176"/>
      <c r="AK727" s="176"/>
      <c r="AL727" s="176"/>
      <c r="AM727" s="176"/>
      <c r="AN727" s="176"/>
      <c r="AO727" s="176"/>
      <c r="AP727" s="176"/>
      <c r="AQ727" s="176"/>
      <c r="AR727" s="176"/>
      <c r="AS727" s="176"/>
      <c r="AT727" s="176"/>
      <c r="AU727" s="176"/>
      <c r="AV727" s="176"/>
      <c r="AW727" s="176"/>
      <c r="AX727" s="176"/>
      <c r="AY727" s="176"/>
      <c r="AZ727" s="176"/>
      <c r="BA727" s="176"/>
      <c r="BB727" s="176"/>
      <c r="BC727" s="176"/>
      <c r="BD727" s="176"/>
      <c r="BE727" s="176"/>
      <c r="BF727" s="176"/>
      <c r="BG727" s="176"/>
      <c r="BH727" s="176"/>
      <c r="BI727" s="176"/>
      <c r="BJ727" s="176"/>
    </row>
    <row r="728" spans="2:62" x14ac:dyDescent="0.3">
      <c r="B728" s="3"/>
      <c r="C728" s="2"/>
      <c r="D728" s="2"/>
      <c r="E728" s="3"/>
      <c r="O728" s="176"/>
      <c r="P728" s="176"/>
      <c r="Q728" s="176"/>
      <c r="R728" s="176"/>
      <c r="S728" s="176"/>
      <c r="T728" s="176"/>
      <c r="U728" s="176"/>
      <c r="V728" s="176"/>
      <c r="W728" s="176"/>
      <c r="X728" s="176"/>
      <c r="Y728" s="176"/>
      <c r="Z728" s="176"/>
      <c r="AA728" s="176"/>
      <c r="AB728" s="176"/>
      <c r="AC728" s="176"/>
      <c r="AD728" s="176"/>
      <c r="AE728" s="176"/>
      <c r="AF728" s="176"/>
      <c r="AG728" s="176"/>
      <c r="AH728" s="176"/>
      <c r="AI728" s="176"/>
      <c r="AJ728" s="176"/>
      <c r="AK728" s="176"/>
      <c r="AL728" s="176"/>
      <c r="AM728" s="176"/>
      <c r="AN728" s="176"/>
      <c r="AO728" s="176"/>
      <c r="AP728" s="176"/>
      <c r="AQ728" s="176"/>
      <c r="AR728" s="176"/>
      <c r="AS728" s="176"/>
      <c r="AT728" s="176"/>
      <c r="AU728" s="176"/>
      <c r="AV728" s="176"/>
      <c r="AW728" s="176"/>
      <c r="AX728" s="176"/>
      <c r="AY728" s="176"/>
      <c r="AZ728" s="176"/>
      <c r="BA728" s="176"/>
      <c r="BB728" s="176"/>
      <c r="BC728" s="176"/>
      <c r="BD728" s="176"/>
      <c r="BE728" s="176"/>
      <c r="BF728" s="176"/>
      <c r="BG728" s="176"/>
      <c r="BH728" s="176"/>
      <c r="BI728" s="176"/>
      <c r="BJ728" s="176"/>
    </row>
    <row r="729" spans="2:62" x14ac:dyDescent="0.3">
      <c r="B729" s="3"/>
      <c r="C729" s="2"/>
      <c r="D729" s="2"/>
      <c r="E729" s="3"/>
      <c r="O729" s="176"/>
      <c r="P729" s="176"/>
      <c r="Q729" s="176"/>
      <c r="R729" s="176"/>
      <c r="S729" s="176"/>
      <c r="T729" s="176"/>
      <c r="U729" s="176"/>
      <c r="V729" s="176"/>
      <c r="W729" s="176"/>
      <c r="X729" s="176"/>
      <c r="Y729" s="176"/>
      <c r="Z729" s="176"/>
      <c r="AA729" s="176"/>
      <c r="AB729" s="176"/>
      <c r="AC729" s="176"/>
      <c r="AD729" s="176"/>
      <c r="AE729" s="176"/>
      <c r="AF729" s="176"/>
      <c r="AG729" s="176"/>
      <c r="AH729" s="176"/>
      <c r="AI729" s="176"/>
      <c r="AJ729" s="176"/>
      <c r="AK729" s="176"/>
      <c r="AL729" s="176"/>
      <c r="AM729" s="176"/>
      <c r="AN729" s="176"/>
      <c r="AO729" s="176"/>
      <c r="AP729" s="176"/>
      <c r="AQ729" s="176"/>
      <c r="AR729" s="176"/>
      <c r="AS729" s="176"/>
      <c r="AT729" s="176"/>
      <c r="AU729" s="176"/>
      <c r="AV729" s="176"/>
      <c r="AW729" s="176"/>
      <c r="AX729" s="176"/>
      <c r="AY729" s="176"/>
      <c r="AZ729" s="176"/>
      <c r="BA729" s="176"/>
      <c r="BB729" s="176"/>
      <c r="BC729" s="176"/>
      <c r="BD729" s="176"/>
      <c r="BE729" s="176"/>
      <c r="BF729" s="176"/>
      <c r="BG729" s="176"/>
      <c r="BH729" s="176"/>
      <c r="BI729" s="176"/>
      <c r="BJ729" s="176"/>
    </row>
    <row r="730" spans="2:62" x14ac:dyDescent="0.3">
      <c r="B730" s="3"/>
      <c r="C730" s="2"/>
      <c r="D730" s="2"/>
      <c r="E730" s="3"/>
      <c r="O730" s="176"/>
      <c r="P730" s="176"/>
      <c r="Q730" s="176"/>
      <c r="R730" s="176"/>
      <c r="S730" s="176"/>
      <c r="T730" s="176"/>
      <c r="U730" s="176"/>
      <c r="V730" s="176"/>
      <c r="W730" s="176"/>
      <c r="X730" s="176"/>
      <c r="Y730" s="176"/>
      <c r="Z730" s="176"/>
      <c r="AA730" s="176"/>
      <c r="AB730" s="176"/>
      <c r="AC730" s="176"/>
      <c r="AD730" s="176"/>
      <c r="AE730" s="176"/>
      <c r="AF730" s="176"/>
      <c r="AG730" s="176"/>
      <c r="AH730" s="176"/>
      <c r="AI730" s="176"/>
      <c r="AJ730" s="176"/>
      <c r="AK730" s="176"/>
      <c r="AL730" s="176"/>
      <c r="AM730" s="176"/>
      <c r="AN730" s="176"/>
      <c r="AO730" s="176"/>
      <c r="AP730" s="176"/>
      <c r="AQ730" s="176"/>
      <c r="AR730" s="176"/>
      <c r="AS730" s="176"/>
      <c r="AT730" s="176"/>
      <c r="AU730" s="176"/>
      <c r="AV730" s="176"/>
      <c r="AW730" s="176"/>
      <c r="AX730" s="176"/>
      <c r="AY730" s="176"/>
      <c r="AZ730" s="176"/>
      <c r="BA730" s="176"/>
      <c r="BB730" s="176"/>
      <c r="BC730" s="176"/>
      <c r="BD730" s="176"/>
      <c r="BE730" s="176"/>
      <c r="BF730" s="176"/>
      <c r="BG730" s="176"/>
      <c r="BH730" s="176"/>
      <c r="BI730" s="176"/>
      <c r="BJ730" s="176"/>
    </row>
    <row r="731" spans="2:62" x14ac:dyDescent="0.3">
      <c r="B731" s="3"/>
      <c r="C731" s="2"/>
      <c r="D731" s="2"/>
      <c r="E731" s="3"/>
      <c r="O731" s="176"/>
      <c r="P731" s="176"/>
      <c r="Q731" s="176"/>
      <c r="R731" s="176"/>
      <c r="S731" s="176"/>
      <c r="T731" s="176"/>
      <c r="U731" s="176"/>
      <c r="V731" s="176"/>
      <c r="W731" s="176"/>
      <c r="X731" s="176"/>
      <c r="Y731" s="176"/>
      <c r="Z731" s="176"/>
      <c r="AA731" s="176"/>
      <c r="AB731" s="176"/>
      <c r="AC731" s="176"/>
      <c r="AD731" s="176"/>
      <c r="AE731" s="176"/>
      <c r="AF731" s="176"/>
      <c r="AG731" s="176"/>
      <c r="AH731" s="176"/>
      <c r="AI731" s="176"/>
      <c r="AJ731" s="176"/>
      <c r="AK731" s="176"/>
      <c r="AL731" s="176"/>
      <c r="AM731" s="176"/>
      <c r="AN731" s="176"/>
      <c r="AO731" s="176"/>
      <c r="AP731" s="176"/>
      <c r="AQ731" s="176"/>
      <c r="AR731" s="176"/>
      <c r="AS731" s="176"/>
      <c r="AT731" s="176"/>
      <c r="AU731" s="176"/>
      <c r="AV731" s="176"/>
      <c r="AW731" s="176"/>
      <c r="AX731" s="176"/>
      <c r="AY731" s="176"/>
      <c r="AZ731" s="176"/>
      <c r="BA731" s="176"/>
      <c r="BB731" s="176"/>
      <c r="BC731" s="176"/>
      <c r="BD731" s="176"/>
      <c r="BE731" s="176"/>
      <c r="BF731" s="176"/>
      <c r="BG731" s="176"/>
      <c r="BH731" s="176"/>
      <c r="BI731" s="176"/>
      <c r="BJ731" s="176"/>
    </row>
    <row r="732" spans="2:62" x14ac:dyDescent="0.3">
      <c r="B732" s="3"/>
      <c r="C732" s="2"/>
      <c r="D732" s="2"/>
      <c r="E732" s="3"/>
      <c r="O732" s="176"/>
      <c r="P732" s="176"/>
      <c r="Q732" s="176"/>
      <c r="R732" s="176"/>
      <c r="S732" s="176"/>
      <c r="T732" s="176"/>
      <c r="U732" s="176"/>
      <c r="V732" s="176"/>
      <c r="W732" s="176"/>
      <c r="X732" s="176"/>
      <c r="Y732" s="176"/>
      <c r="Z732" s="176"/>
      <c r="AA732" s="176"/>
      <c r="AB732" s="176"/>
      <c r="AC732" s="176"/>
      <c r="AD732" s="176"/>
      <c r="AE732" s="176"/>
      <c r="AF732" s="176"/>
      <c r="AG732" s="176"/>
      <c r="AH732" s="176"/>
      <c r="AI732" s="176"/>
      <c r="AJ732" s="176"/>
      <c r="AK732" s="176"/>
      <c r="AL732" s="176"/>
      <c r="AM732" s="176"/>
      <c r="AN732" s="176"/>
      <c r="AO732" s="176"/>
      <c r="AP732" s="176"/>
      <c r="AQ732" s="176"/>
      <c r="AR732" s="176"/>
      <c r="AS732" s="176"/>
      <c r="AT732" s="176"/>
      <c r="AU732" s="176"/>
      <c r="AV732" s="176"/>
      <c r="AW732" s="176"/>
      <c r="AX732" s="176"/>
      <c r="AY732" s="176"/>
      <c r="AZ732" s="176"/>
      <c r="BA732" s="176"/>
      <c r="BB732" s="176"/>
      <c r="BC732" s="176"/>
      <c r="BD732" s="176"/>
      <c r="BE732" s="176"/>
      <c r="BF732" s="176"/>
      <c r="BG732" s="176"/>
      <c r="BH732" s="176"/>
      <c r="BI732" s="176"/>
      <c r="BJ732" s="176"/>
    </row>
    <row r="733" spans="2:62" x14ac:dyDescent="0.3">
      <c r="B733" s="3"/>
      <c r="C733" s="2"/>
      <c r="D733" s="2"/>
      <c r="E733" s="3"/>
      <c r="O733" s="176"/>
      <c r="P733" s="176"/>
      <c r="Q733" s="176"/>
      <c r="R733" s="176"/>
      <c r="S733" s="176"/>
      <c r="T733" s="176"/>
      <c r="U733" s="176"/>
      <c r="V733" s="176"/>
      <c r="W733" s="176"/>
      <c r="X733" s="176"/>
      <c r="Y733" s="176"/>
      <c r="Z733" s="176"/>
      <c r="AA733" s="176"/>
      <c r="AB733" s="176"/>
      <c r="AC733" s="176"/>
      <c r="AD733" s="176"/>
      <c r="AE733" s="176"/>
      <c r="AF733" s="176"/>
      <c r="AG733" s="176"/>
      <c r="AH733" s="176"/>
      <c r="AI733" s="176"/>
      <c r="AJ733" s="176"/>
      <c r="AK733" s="176"/>
      <c r="AL733" s="176"/>
      <c r="AM733" s="176"/>
      <c r="AN733" s="176"/>
      <c r="AO733" s="176"/>
      <c r="AP733" s="176"/>
      <c r="AQ733" s="176"/>
      <c r="AR733" s="176"/>
      <c r="AS733" s="176"/>
      <c r="AT733" s="176"/>
      <c r="AU733" s="176"/>
      <c r="AV733" s="176"/>
      <c r="AW733" s="176"/>
      <c r="AX733" s="176"/>
      <c r="AY733" s="176"/>
      <c r="AZ733" s="176"/>
      <c r="BA733" s="176"/>
      <c r="BB733" s="176"/>
      <c r="BC733" s="176"/>
      <c r="BD733" s="176"/>
      <c r="BE733" s="176"/>
      <c r="BF733" s="176"/>
      <c r="BG733" s="176"/>
      <c r="BH733" s="176"/>
      <c r="BI733" s="176"/>
      <c r="BJ733" s="176"/>
    </row>
    <row r="734" spans="2:62" x14ac:dyDescent="0.3">
      <c r="B734" s="3"/>
      <c r="C734" s="2"/>
      <c r="D734" s="2"/>
      <c r="E734" s="3"/>
      <c r="O734" s="176"/>
      <c r="P734" s="176"/>
      <c r="Q734" s="176"/>
      <c r="R734" s="176"/>
      <c r="S734" s="176"/>
      <c r="T734" s="176"/>
      <c r="U734" s="176"/>
      <c r="V734" s="176"/>
      <c r="W734" s="176"/>
      <c r="X734" s="176"/>
      <c r="Y734" s="176"/>
      <c r="Z734" s="176"/>
      <c r="AA734" s="176"/>
      <c r="AB734" s="176"/>
      <c r="AC734" s="176"/>
      <c r="AD734" s="176"/>
      <c r="AE734" s="176"/>
      <c r="AF734" s="176"/>
      <c r="AG734" s="176"/>
      <c r="AH734" s="176"/>
      <c r="AI734" s="176"/>
      <c r="AJ734" s="176"/>
      <c r="AK734" s="176"/>
      <c r="AL734" s="176"/>
      <c r="AM734" s="176"/>
      <c r="AN734" s="176"/>
      <c r="AO734" s="176"/>
      <c r="AP734" s="176"/>
      <c r="AQ734" s="176"/>
      <c r="AR734" s="176"/>
      <c r="AS734" s="176"/>
      <c r="AT734" s="176"/>
      <c r="AU734" s="176"/>
      <c r="AV734" s="176"/>
      <c r="AW734" s="176"/>
      <c r="AX734" s="176"/>
      <c r="AY734" s="176"/>
      <c r="AZ734" s="176"/>
      <c r="BA734" s="176"/>
      <c r="BB734" s="176"/>
      <c r="BC734" s="176"/>
      <c r="BD734" s="176"/>
      <c r="BE734" s="176"/>
      <c r="BF734" s="176"/>
      <c r="BG734" s="176"/>
      <c r="BH734" s="176"/>
      <c r="BI734" s="176"/>
      <c r="BJ734" s="176"/>
    </row>
    <row r="735" spans="2:62" x14ac:dyDescent="0.3">
      <c r="B735" s="3"/>
      <c r="C735" s="2"/>
      <c r="D735" s="2"/>
      <c r="E735" s="3"/>
      <c r="O735" s="176"/>
      <c r="P735" s="176"/>
      <c r="Q735" s="176"/>
      <c r="R735" s="176"/>
      <c r="S735" s="176"/>
      <c r="T735" s="176"/>
      <c r="U735" s="176"/>
      <c r="V735" s="176"/>
      <c r="W735" s="176"/>
      <c r="X735" s="176"/>
      <c r="Y735" s="176"/>
      <c r="Z735" s="176"/>
      <c r="AA735" s="176"/>
      <c r="AB735" s="176"/>
      <c r="AC735" s="176"/>
      <c r="AD735" s="176"/>
      <c r="AE735" s="176"/>
      <c r="AF735" s="176"/>
      <c r="AG735" s="176"/>
      <c r="AH735" s="176"/>
      <c r="AI735" s="176"/>
      <c r="AJ735" s="176"/>
      <c r="AK735" s="176"/>
      <c r="AL735" s="176"/>
      <c r="AM735" s="176"/>
      <c r="AN735" s="176"/>
      <c r="AO735" s="176"/>
      <c r="AP735" s="176"/>
      <c r="AQ735" s="176"/>
      <c r="AR735" s="176"/>
      <c r="AS735" s="176"/>
      <c r="AT735" s="176"/>
      <c r="AU735" s="176"/>
      <c r="AV735" s="176"/>
      <c r="AW735" s="176"/>
      <c r="AX735" s="176"/>
      <c r="AY735" s="176"/>
      <c r="AZ735" s="176"/>
      <c r="BA735" s="176"/>
      <c r="BB735" s="176"/>
      <c r="BC735" s="176"/>
      <c r="BD735" s="176"/>
      <c r="BE735" s="176"/>
      <c r="BF735" s="176"/>
      <c r="BG735" s="176"/>
      <c r="BH735" s="176"/>
      <c r="BI735" s="176"/>
      <c r="BJ735" s="176"/>
    </row>
    <row r="736" spans="2:62" x14ac:dyDescent="0.3">
      <c r="B736" s="3"/>
      <c r="C736" s="2"/>
      <c r="D736" s="2"/>
      <c r="E736" s="3"/>
      <c r="O736" s="176"/>
      <c r="P736" s="176"/>
      <c r="Q736" s="176"/>
      <c r="R736" s="176"/>
      <c r="S736" s="176"/>
      <c r="T736" s="176"/>
      <c r="U736" s="176"/>
      <c r="V736" s="176"/>
      <c r="W736" s="176"/>
      <c r="X736" s="176"/>
      <c r="Y736" s="176"/>
      <c r="Z736" s="176"/>
      <c r="AA736" s="176"/>
      <c r="AB736" s="176"/>
      <c r="AC736" s="176"/>
      <c r="AD736" s="176"/>
      <c r="AE736" s="176"/>
      <c r="AF736" s="176"/>
      <c r="AG736" s="176"/>
      <c r="AH736" s="176"/>
      <c r="AI736" s="176"/>
      <c r="AJ736" s="176"/>
      <c r="AK736" s="176"/>
      <c r="AL736" s="176"/>
      <c r="AM736" s="176"/>
      <c r="AN736" s="176"/>
      <c r="AO736" s="176"/>
      <c r="AP736" s="176"/>
      <c r="AQ736" s="176"/>
      <c r="AR736" s="176"/>
      <c r="AS736" s="176"/>
      <c r="AT736" s="176"/>
      <c r="AU736" s="176"/>
      <c r="AV736" s="176"/>
      <c r="AW736" s="176"/>
      <c r="AX736" s="176"/>
      <c r="AY736" s="176"/>
      <c r="AZ736" s="176"/>
      <c r="BA736" s="176"/>
      <c r="BB736" s="176"/>
      <c r="BC736" s="176"/>
      <c r="BD736" s="176"/>
      <c r="BE736" s="176"/>
      <c r="BF736" s="176"/>
      <c r="BG736" s="176"/>
      <c r="BH736" s="176"/>
      <c r="BI736" s="176"/>
      <c r="BJ736" s="176"/>
    </row>
    <row r="737" spans="2:62" x14ac:dyDescent="0.3">
      <c r="B737" s="3"/>
      <c r="C737" s="2"/>
      <c r="D737" s="2"/>
      <c r="E737" s="3"/>
      <c r="O737" s="176"/>
      <c r="P737" s="176"/>
      <c r="Q737" s="176"/>
      <c r="R737" s="176"/>
      <c r="S737" s="176"/>
      <c r="T737" s="176"/>
      <c r="U737" s="176"/>
      <c r="V737" s="176"/>
      <c r="W737" s="176"/>
      <c r="X737" s="176"/>
      <c r="Y737" s="176"/>
      <c r="Z737" s="176"/>
      <c r="AA737" s="176"/>
      <c r="AB737" s="176"/>
      <c r="AC737" s="176"/>
      <c r="AD737" s="176"/>
      <c r="AE737" s="176"/>
      <c r="AF737" s="176"/>
      <c r="AG737" s="176"/>
      <c r="AH737" s="176"/>
      <c r="AI737" s="176"/>
      <c r="AJ737" s="176"/>
      <c r="AK737" s="176"/>
      <c r="AL737" s="176"/>
      <c r="AM737" s="176"/>
      <c r="AN737" s="176"/>
      <c r="AO737" s="176"/>
      <c r="AP737" s="176"/>
      <c r="AQ737" s="176"/>
      <c r="AR737" s="176"/>
      <c r="AS737" s="176"/>
      <c r="AT737" s="176"/>
      <c r="AU737" s="176"/>
      <c r="AV737" s="176"/>
      <c r="AW737" s="176"/>
      <c r="AX737" s="176"/>
      <c r="AY737" s="176"/>
      <c r="AZ737" s="176"/>
      <c r="BA737" s="176"/>
      <c r="BB737" s="176"/>
      <c r="BC737" s="176"/>
      <c r="BD737" s="176"/>
      <c r="BE737" s="176"/>
      <c r="BF737" s="176"/>
      <c r="BG737" s="176"/>
      <c r="BH737" s="176"/>
      <c r="BI737" s="176"/>
      <c r="BJ737" s="176"/>
    </row>
    <row r="738" spans="2:62" x14ac:dyDescent="0.3">
      <c r="B738" s="3"/>
      <c r="C738" s="2"/>
      <c r="D738" s="2"/>
      <c r="E738" s="3"/>
      <c r="O738" s="176"/>
      <c r="P738" s="176"/>
      <c r="Q738" s="176"/>
      <c r="R738" s="176"/>
      <c r="S738" s="176"/>
      <c r="T738" s="176"/>
      <c r="U738" s="176"/>
      <c r="V738" s="176"/>
      <c r="W738" s="176"/>
      <c r="X738" s="176"/>
      <c r="Y738" s="176"/>
      <c r="Z738" s="176"/>
      <c r="AA738" s="176"/>
      <c r="AB738" s="176"/>
      <c r="AC738" s="176"/>
      <c r="AD738" s="176"/>
      <c r="AE738" s="176"/>
      <c r="AF738" s="176"/>
      <c r="AG738" s="176"/>
      <c r="AH738" s="176"/>
      <c r="AI738" s="176"/>
      <c r="AJ738" s="176"/>
      <c r="AK738" s="176"/>
      <c r="AL738" s="176"/>
      <c r="AM738" s="176"/>
      <c r="AN738" s="176"/>
      <c r="AO738" s="176"/>
      <c r="AP738" s="176"/>
      <c r="AQ738" s="176"/>
      <c r="AR738" s="176"/>
      <c r="AS738" s="176"/>
      <c r="AT738" s="176"/>
      <c r="AU738" s="176"/>
      <c r="AV738" s="176"/>
      <c r="AW738" s="176"/>
      <c r="AX738" s="176"/>
      <c r="AY738" s="176"/>
      <c r="AZ738" s="176"/>
      <c r="BA738" s="176"/>
      <c r="BB738" s="176"/>
      <c r="BC738" s="176"/>
      <c r="BD738" s="176"/>
      <c r="BE738" s="176"/>
      <c r="BF738" s="176"/>
      <c r="BG738" s="176"/>
      <c r="BH738" s="176"/>
      <c r="BI738" s="176"/>
      <c r="BJ738" s="176"/>
    </row>
    <row r="739" spans="2:62" x14ac:dyDescent="0.3">
      <c r="B739" s="3"/>
      <c r="C739" s="2"/>
      <c r="D739" s="2"/>
      <c r="E739" s="3"/>
      <c r="O739" s="176"/>
      <c r="P739" s="176"/>
      <c r="Q739" s="176"/>
      <c r="R739" s="176"/>
      <c r="S739" s="176"/>
      <c r="T739" s="176"/>
      <c r="U739" s="176"/>
      <c r="V739" s="176"/>
      <c r="W739" s="176"/>
      <c r="X739" s="176"/>
      <c r="Y739" s="176"/>
      <c r="Z739" s="176"/>
      <c r="AA739" s="176"/>
      <c r="AB739" s="176"/>
      <c r="AC739" s="176"/>
      <c r="AD739" s="176"/>
      <c r="AE739" s="176"/>
      <c r="AF739" s="176"/>
      <c r="AG739" s="176"/>
      <c r="AH739" s="176"/>
      <c r="AI739" s="176"/>
      <c r="AJ739" s="176"/>
      <c r="AK739" s="176"/>
      <c r="AL739" s="176"/>
      <c r="AM739" s="176"/>
      <c r="AN739" s="176"/>
      <c r="AO739" s="176"/>
      <c r="AP739" s="176"/>
      <c r="AQ739" s="176"/>
      <c r="AR739" s="176"/>
      <c r="AS739" s="176"/>
      <c r="AT739" s="176"/>
      <c r="AU739" s="176"/>
      <c r="AV739" s="176"/>
      <c r="AW739" s="176"/>
      <c r="AX739" s="176"/>
      <c r="AY739" s="176"/>
      <c r="AZ739" s="176"/>
      <c r="BA739" s="176"/>
      <c r="BB739" s="176"/>
      <c r="BC739" s="176"/>
      <c r="BD739" s="176"/>
      <c r="BE739" s="176"/>
      <c r="BF739" s="176"/>
      <c r="BG739" s="176"/>
      <c r="BH739" s="176"/>
      <c r="BI739" s="176"/>
      <c r="BJ739" s="176"/>
    </row>
    <row r="740" spans="2:62" x14ac:dyDescent="0.3">
      <c r="B740" s="3"/>
      <c r="C740" s="2"/>
      <c r="D740" s="2"/>
      <c r="E740" s="3"/>
      <c r="O740" s="176"/>
      <c r="P740" s="176"/>
      <c r="Q740" s="176"/>
      <c r="R740" s="176"/>
      <c r="S740" s="176"/>
      <c r="T740" s="176"/>
      <c r="U740" s="176"/>
      <c r="V740" s="176"/>
      <c r="W740" s="176"/>
      <c r="X740" s="176"/>
      <c r="Y740" s="176"/>
      <c r="Z740" s="176"/>
      <c r="AA740" s="176"/>
      <c r="AB740" s="176"/>
      <c r="AC740" s="176"/>
      <c r="AD740" s="176"/>
      <c r="AE740" s="176"/>
      <c r="AF740" s="176"/>
      <c r="AG740" s="176"/>
      <c r="AH740" s="176"/>
      <c r="AI740" s="176"/>
      <c r="AJ740" s="176"/>
      <c r="AK740" s="176"/>
      <c r="AL740" s="176"/>
      <c r="AM740" s="176"/>
      <c r="AN740" s="176"/>
      <c r="AO740" s="176"/>
      <c r="AP740" s="176"/>
      <c r="AQ740" s="176"/>
      <c r="AR740" s="176"/>
      <c r="AS740" s="176"/>
      <c r="AT740" s="176"/>
      <c r="AU740" s="176"/>
      <c r="AV740" s="176"/>
      <c r="AW740" s="176"/>
      <c r="AX740" s="176"/>
      <c r="AY740" s="176"/>
      <c r="AZ740" s="176"/>
      <c r="BA740" s="176"/>
      <c r="BB740" s="176"/>
      <c r="BC740" s="176"/>
      <c r="BD740" s="176"/>
      <c r="BE740" s="176"/>
      <c r="BF740" s="176"/>
      <c r="BG740" s="176"/>
      <c r="BH740" s="176"/>
      <c r="BI740" s="176"/>
      <c r="BJ740" s="176"/>
    </row>
    <row r="741" spans="2:62" x14ac:dyDescent="0.3">
      <c r="B741" s="3"/>
      <c r="C741" s="2"/>
      <c r="D741" s="2"/>
      <c r="E741" s="3"/>
      <c r="O741" s="176"/>
      <c r="P741" s="176"/>
      <c r="Q741" s="176"/>
      <c r="R741" s="176"/>
      <c r="S741" s="176"/>
      <c r="T741" s="176"/>
      <c r="U741" s="176"/>
      <c r="V741" s="176"/>
      <c r="W741" s="176"/>
      <c r="X741" s="176"/>
      <c r="Y741" s="176"/>
      <c r="Z741" s="176"/>
      <c r="AA741" s="176"/>
      <c r="AB741" s="176"/>
      <c r="AC741" s="176"/>
      <c r="AD741" s="176"/>
      <c r="AE741" s="176"/>
      <c r="AF741" s="176"/>
      <c r="AG741" s="176"/>
      <c r="AH741" s="176"/>
      <c r="AI741" s="176"/>
      <c r="AJ741" s="176"/>
      <c r="AK741" s="176"/>
      <c r="AL741" s="176"/>
      <c r="AM741" s="176"/>
      <c r="AN741" s="176"/>
      <c r="AO741" s="176"/>
      <c r="AP741" s="176"/>
      <c r="AQ741" s="176"/>
      <c r="AR741" s="176"/>
      <c r="AS741" s="176"/>
      <c r="AT741" s="176"/>
      <c r="AU741" s="176"/>
      <c r="AV741" s="176"/>
      <c r="AW741" s="176"/>
      <c r="AX741" s="176"/>
      <c r="AY741" s="176"/>
      <c r="AZ741" s="176"/>
      <c r="BA741" s="176"/>
      <c r="BB741" s="176"/>
      <c r="BC741" s="176"/>
      <c r="BD741" s="176"/>
      <c r="BE741" s="176"/>
      <c r="BF741" s="176"/>
      <c r="BG741" s="176"/>
      <c r="BH741" s="176"/>
      <c r="BI741" s="176"/>
      <c r="BJ741" s="176"/>
    </row>
    <row r="742" spans="2:62" x14ac:dyDescent="0.3">
      <c r="B742" s="3"/>
      <c r="C742" s="2"/>
      <c r="D742" s="2"/>
      <c r="E742" s="3"/>
      <c r="O742" s="176"/>
      <c r="P742" s="176"/>
      <c r="Q742" s="176"/>
      <c r="R742" s="176"/>
      <c r="S742" s="176"/>
      <c r="T742" s="176"/>
      <c r="U742" s="176"/>
      <c r="V742" s="176"/>
      <c r="W742" s="176"/>
      <c r="X742" s="176"/>
      <c r="Y742" s="176"/>
      <c r="Z742" s="176"/>
      <c r="AA742" s="176"/>
      <c r="AB742" s="176"/>
      <c r="AC742" s="176"/>
      <c r="AD742" s="176"/>
      <c r="AE742" s="176"/>
      <c r="AF742" s="176"/>
      <c r="AG742" s="176"/>
      <c r="AH742" s="176"/>
      <c r="AI742" s="176"/>
      <c r="AJ742" s="176"/>
      <c r="AK742" s="176"/>
      <c r="AL742" s="176"/>
      <c r="AM742" s="176"/>
      <c r="AN742" s="176"/>
      <c r="AO742" s="176"/>
      <c r="AP742" s="176"/>
      <c r="AQ742" s="176"/>
      <c r="AR742" s="176"/>
      <c r="AS742" s="176"/>
      <c r="AT742" s="176"/>
      <c r="AU742" s="176"/>
      <c r="AV742" s="176"/>
      <c r="AW742" s="176"/>
      <c r="AX742" s="176"/>
      <c r="AY742" s="176"/>
      <c r="AZ742" s="176"/>
      <c r="BA742" s="176"/>
      <c r="BB742" s="176"/>
      <c r="BC742" s="176"/>
      <c r="BD742" s="176"/>
      <c r="BE742" s="176"/>
      <c r="BF742" s="176"/>
      <c r="BG742" s="176"/>
      <c r="BH742" s="176"/>
      <c r="BI742" s="176"/>
      <c r="BJ742" s="176"/>
    </row>
    <row r="743" spans="2:62" x14ac:dyDescent="0.3">
      <c r="B743" s="3"/>
      <c r="C743" s="2"/>
      <c r="D743" s="2"/>
      <c r="E743" s="3"/>
      <c r="O743" s="176"/>
      <c r="P743" s="176"/>
      <c r="Q743" s="176"/>
      <c r="R743" s="176"/>
      <c r="S743" s="176"/>
      <c r="T743" s="176"/>
      <c r="U743" s="176"/>
      <c r="V743" s="176"/>
      <c r="W743" s="176"/>
      <c r="X743" s="176"/>
      <c r="Y743" s="176"/>
      <c r="Z743" s="176"/>
      <c r="AA743" s="176"/>
      <c r="AB743" s="176"/>
      <c r="AC743" s="176"/>
      <c r="AD743" s="176"/>
      <c r="AE743" s="176"/>
      <c r="AF743" s="176"/>
      <c r="AG743" s="176"/>
      <c r="AH743" s="176"/>
      <c r="AI743" s="176"/>
      <c r="AJ743" s="176"/>
      <c r="AK743" s="176"/>
      <c r="AL743" s="176"/>
      <c r="AM743" s="176"/>
      <c r="AN743" s="176"/>
      <c r="AO743" s="176"/>
      <c r="AP743" s="176"/>
      <c r="AQ743" s="176"/>
      <c r="AR743" s="176"/>
      <c r="AS743" s="176"/>
      <c r="AT743" s="176"/>
      <c r="AU743" s="176"/>
      <c r="AV743" s="176"/>
      <c r="AW743" s="176"/>
      <c r="AX743" s="176"/>
      <c r="AY743" s="176"/>
      <c r="AZ743" s="176"/>
      <c r="BA743" s="176"/>
      <c r="BB743" s="176"/>
      <c r="BC743" s="176"/>
      <c r="BD743" s="176"/>
      <c r="BE743" s="176"/>
      <c r="BF743" s="176"/>
      <c r="BG743" s="176"/>
      <c r="BH743" s="176"/>
      <c r="BI743" s="176"/>
      <c r="BJ743" s="176"/>
    </row>
    <row r="744" spans="2:62" x14ac:dyDescent="0.3">
      <c r="B744" s="3"/>
      <c r="C744" s="2"/>
      <c r="D744" s="2"/>
      <c r="E744" s="3"/>
      <c r="O744" s="176"/>
      <c r="P744" s="176"/>
      <c r="Q744" s="176"/>
      <c r="R744" s="176"/>
      <c r="S744" s="176"/>
      <c r="T744" s="176"/>
      <c r="U744" s="176"/>
      <c r="V744" s="176"/>
      <c r="W744" s="176"/>
      <c r="X744" s="176"/>
      <c r="Y744" s="176"/>
      <c r="Z744" s="176"/>
      <c r="AA744" s="176"/>
      <c r="AB744" s="176"/>
      <c r="AC744" s="176"/>
      <c r="AD744" s="176"/>
      <c r="AE744" s="176"/>
      <c r="AF744" s="176"/>
      <c r="AG744" s="176"/>
      <c r="AH744" s="176"/>
      <c r="AI744" s="176"/>
      <c r="AJ744" s="176"/>
      <c r="AK744" s="176"/>
      <c r="AL744" s="176"/>
      <c r="AM744" s="176"/>
      <c r="AN744" s="176"/>
      <c r="AO744" s="176"/>
      <c r="AP744" s="176"/>
      <c r="AQ744" s="176"/>
      <c r="AR744" s="176"/>
      <c r="AS744" s="176"/>
      <c r="AT744" s="176"/>
      <c r="AU744" s="176"/>
      <c r="AV744" s="176"/>
      <c r="AW744" s="176"/>
      <c r="AX744" s="176"/>
      <c r="AY744" s="176"/>
      <c r="AZ744" s="176"/>
      <c r="BA744" s="176"/>
      <c r="BB744" s="176"/>
      <c r="BC744" s="176"/>
      <c r="BD744" s="176"/>
      <c r="BE744" s="176"/>
      <c r="BF744" s="176"/>
      <c r="BG744" s="176"/>
      <c r="BH744" s="176"/>
      <c r="BI744" s="176"/>
      <c r="BJ744" s="176"/>
    </row>
    <row r="745" spans="2:62" x14ac:dyDescent="0.3">
      <c r="B745" s="3"/>
      <c r="C745" s="2"/>
      <c r="D745" s="2"/>
      <c r="E745" s="3"/>
      <c r="O745" s="176"/>
      <c r="P745" s="176"/>
      <c r="Q745" s="176"/>
      <c r="R745" s="176"/>
      <c r="S745" s="176"/>
      <c r="T745" s="176"/>
      <c r="U745" s="176"/>
      <c r="V745" s="176"/>
      <c r="W745" s="176"/>
      <c r="X745" s="176"/>
      <c r="Y745" s="176"/>
      <c r="Z745" s="176"/>
      <c r="AA745" s="176"/>
      <c r="AB745" s="176"/>
      <c r="AC745" s="176"/>
      <c r="AD745" s="176"/>
      <c r="AE745" s="176"/>
      <c r="AF745" s="176"/>
      <c r="AG745" s="176"/>
      <c r="AH745" s="176"/>
      <c r="AI745" s="176"/>
      <c r="AJ745" s="176"/>
      <c r="AK745" s="176"/>
      <c r="AL745" s="176"/>
      <c r="AM745" s="176"/>
      <c r="AN745" s="176"/>
      <c r="AO745" s="176"/>
      <c r="AP745" s="176"/>
      <c r="AQ745" s="176"/>
      <c r="AR745" s="176"/>
      <c r="AS745" s="176"/>
      <c r="AT745" s="176"/>
      <c r="AU745" s="176"/>
      <c r="AV745" s="176"/>
      <c r="AW745" s="176"/>
      <c r="AX745" s="176"/>
      <c r="AY745" s="176"/>
      <c r="AZ745" s="176"/>
      <c r="BA745" s="176"/>
      <c r="BB745" s="176"/>
      <c r="BC745" s="176"/>
      <c r="BD745" s="176"/>
      <c r="BE745" s="176"/>
      <c r="BF745" s="176"/>
      <c r="BG745" s="176"/>
      <c r="BH745" s="176"/>
      <c r="BI745" s="176"/>
      <c r="BJ745" s="176"/>
    </row>
    <row r="746" spans="2:62" x14ac:dyDescent="0.3">
      <c r="B746" s="3"/>
      <c r="C746" s="2"/>
      <c r="D746" s="2"/>
      <c r="E746" s="3"/>
      <c r="O746" s="176"/>
      <c r="P746" s="176"/>
      <c r="Q746" s="176"/>
      <c r="R746" s="176"/>
      <c r="S746" s="176"/>
      <c r="T746" s="176"/>
      <c r="U746" s="176"/>
      <c r="V746" s="176"/>
      <c r="W746" s="176"/>
      <c r="X746" s="176"/>
      <c r="Y746" s="176"/>
      <c r="Z746" s="176"/>
      <c r="AA746" s="176"/>
      <c r="AB746" s="176"/>
      <c r="AC746" s="176"/>
      <c r="AD746" s="176"/>
      <c r="AE746" s="176"/>
      <c r="AF746" s="176"/>
      <c r="AG746" s="176"/>
      <c r="AH746" s="176"/>
      <c r="AI746" s="176"/>
      <c r="AJ746" s="176"/>
      <c r="AK746" s="176"/>
      <c r="AL746" s="176"/>
      <c r="AM746" s="176"/>
      <c r="AN746" s="176"/>
      <c r="AO746" s="176"/>
      <c r="AP746" s="176"/>
      <c r="AQ746" s="176"/>
      <c r="AR746" s="176"/>
      <c r="AS746" s="176"/>
      <c r="AT746" s="176"/>
      <c r="AU746" s="176"/>
      <c r="AV746" s="176"/>
      <c r="AW746" s="176"/>
      <c r="AX746" s="176"/>
      <c r="AY746" s="176"/>
      <c r="AZ746" s="176"/>
      <c r="BA746" s="176"/>
      <c r="BB746" s="176"/>
      <c r="BC746" s="176"/>
      <c r="BD746" s="176"/>
      <c r="BE746" s="176"/>
      <c r="BF746" s="176"/>
      <c r="BG746" s="176"/>
      <c r="BH746" s="176"/>
      <c r="BI746" s="176"/>
      <c r="BJ746" s="176"/>
    </row>
    <row r="747" spans="2:62" x14ac:dyDescent="0.3">
      <c r="B747" s="3"/>
      <c r="C747" s="2"/>
      <c r="D747" s="2"/>
      <c r="E747" s="3"/>
      <c r="O747" s="176"/>
      <c r="P747" s="176"/>
      <c r="Q747" s="176"/>
      <c r="R747" s="176"/>
      <c r="S747" s="176"/>
      <c r="T747" s="176"/>
      <c r="U747" s="176"/>
      <c r="V747" s="176"/>
      <c r="W747" s="176"/>
      <c r="X747" s="176"/>
      <c r="Y747" s="176"/>
      <c r="Z747" s="176"/>
      <c r="AA747" s="176"/>
      <c r="AB747" s="176"/>
      <c r="AC747" s="176"/>
      <c r="AD747" s="176"/>
      <c r="AE747" s="176"/>
      <c r="AF747" s="176"/>
      <c r="AG747" s="176"/>
      <c r="AH747" s="176"/>
      <c r="AI747" s="176"/>
      <c r="AJ747" s="176"/>
      <c r="AK747" s="176"/>
      <c r="AL747" s="176"/>
      <c r="AM747" s="176"/>
      <c r="AN747" s="176"/>
      <c r="AO747" s="176"/>
      <c r="AP747" s="176"/>
      <c r="AQ747" s="176"/>
      <c r="AR747" s="176"/>
      <c r="AS747" s="176"/>
      <c r="AT747" s="176"/>
      <c r="AU747" s="176"/>
      <c r="AV747" s="176"/>
      <c r="AW747" s="176"/>
      <c r="AX747" s="176"/>
      <c r="AY747" s="176"/>
      <c r="AZ747" s="176"/>
      <c r="BA747" s="176"/>
      <c r="BB747" s="176"/>
      <c r="BC747" s="176"/>
      <c r="BD747" s="176"/>
      <c r="BE747" s="176"/>
      <c r="BF747" s="176"/>
      <c r="BG747" s="176"/>
      <c r="BH747" s="176"/>
      <c r="BI747" s="176"/>
      <c r="BJ747" s="176"/>
    </row>
    <row r="748" spans="2:62" x14ac:dyDescent="0.3">
      <c r="B748" s="3"/>
      <c r="C748" s="2"/>
      <c r="D748" s="2"/>
      <c r="E748" s="3"/>
      <c r="O748" s="176"/>
      <c r="P748" s="176"/>
      <c r="Q748" s="176"/>
      <c r="R748" s="176"/>
      <c r="S748" s="176"/>
      <c r="T748" s="176"/>
      <c r="U748" s="176"/>
      <c r="V748" s="176"/>
      <c r="W748" s="176"/>
      <c r="X748" s="176"/>
      <c r="Y748" s="176"/>
      <c r="Z748" s="176"/>
      <c r="AA748" s="176"/>
      <c r="AB748" s="176"/>
      <c r="AC748" s="176"/>
      <c r="AD748" s="176"/>
      <c r="AE748" s="176"/>
      <c r="AF748" s="176"/>
      <c r="AG748" s="176"/>
      <c r="AH748" s="176"/>
      <c r="AI748" s="176"/>
      <c r="AJ748" s="176"/>
      <c r="AK748" s="176"/>
      <c r="AL748" s="176"/>
      <c r="AM748" s="176"/>
      <c r="AN748" s="176"/>
      <c r="AO748" s="176"/>
      <c r="AP748" s="176"/>
      <c r="AQ748" s="176"/>
      <c r="AR748" s="176"/>
      <c r="AS748" s="176"/>
      <c r="AT748" s="176"/>
      <c r="AU748" s="176"/>
      <c r="AV748" s="176"/>
      <c r="AW748" s="176"/>
      <c r="AX748" s="176"/>
      <c r="AY748" s="176"/>
      <c r="AZ748" s="176"/>
      <c r="BA748" s="176"/>
      <c r="BB748" s="176"/>
      <c r="BC748" s="176"/>
      <c r="BD748" s="176"/>
      <c r="BE748" s="176"/>
      <c r="BF748" s="176"/>
      <c r="BG748" s="176"/>
      <c r="BH748" s="176"/>
      <c r="BI748" s="176"/>
      <c r="BJ748" s="176"/>
    </row>
    <row r="749" spans="2:62" x14ac:dyDescent="0.3">
      <c r="B749" s="3"/>
      <c r="C749" s="2"/>
      <c r="D749" s="2"/>
      <c r="E749" s="3"/>
      <c r="O749" s="176"/>
      <c r="P749" s="176"/>
      <c r="Q749" s="176"/>
      <c r="R749" s="176"/>
      <c r="S749" s="176"/>
      <c r="T749" s="176"/>
      <c r="U749" s="176"/>
      <c r="V749" s="176"/>
      <c r="W749" s="176"/>
      <c r="X749" s="176"/>
      <c r="Y749" s="176"/>
      <c r="Z749" s="176"/>
      <c r="AA749" s="176"/>
      <c r="AB749" s="176"/>
      <c r="AC749" s="176"/>
      <c r="AD749" s="176"/>
      <c r="AE749" s="176"/>
      <c r="AF749" s="176"/>
      <c r="AG749" s="176"/>
      <c r="AH749" s="176"/>
      <c r="AI749" s="176"/>
      <c r="AJ749" s="176"/>
      <c r="AK749" s="176"/>
      <c r="AL749" s="176"/>
      <c r="AM749" s="176"/>
      <c r="AN749" s="176"/>
      <c r="AO749" s="176"/>
      <c r="AP749" s="176"/>
      <c r="AQ749" s="176"/>
      <c r="AR749" s="176"/>
      <c r="AS749" s="176"/>
      <c r="AT749" s="176"/>
      <c r="AU749" s="176"/>
      <c r="AV749" s="176"/>
      <c r="AW749" s="176"/>
      <c r="AX749" s="176"/>
      <c r="AY749" s="176"/>
      <c r="AZ749" s="176"/>
      <c r="BA749" s="176"/>
      <c r="BB749" s="176"/>
      <c r="BC749" s="176"/>
      <c r="BD749" s="176"/>
      <c r="BE749" s="176"/>
      <c r="BF749" s="176"/>
      <c r="BG749" s="176"/>
      <c r="BH749" s="176"/>
      <c r="BI749" s="176"/>
      <c r="BJ749" s="176"/>
    </row>
    <row r="750" spans="2:62" x14ac:dyDescent="0.3">
      <c r="B750" s="3"/>
      <c r="C750" s="2"/>
      <c r="D750" s="2"/>
      <c r="E750" s="3"/>
      <c r="O750" s="176"/>
      <c r="P750" s="176"/>
      <c r="Q750" s="176"/>
      <c r="R750" s="176"/>
      <c r="S750" s="176"/>
      <c r="T750" s="176"/>
      <c r="U750" s="176"/>
      <c r="V750" s="176"/>
      <c r="W750" s="176"/>
      <c r="X750" s="176"/>
      <c r="Y750" s="176"/>
      <c r="Z750" s="176"/>
      <c r="AA750" s="176"/>
      <c r="AB750" s="176"/>
      <c r="AC750" s="176"/>
      <c r="AD750" s="176"/>
      <c r="AE750" s="176"/>
      <c r="AF750" s="176"/>
      <c r="AG750" s="176"/>
      <c r="AH750" s="176"/>
      <c r="AI750" s="176"/>
      <c r="AJ750" s="176"/>
      <c r="AK750" s="176"/>
      <c r="AL750" s="176"/>
      <c r="AM750" s="176"/>
      <c r="AN750" s="176"/>
      <c r="AO750" s="176"/>
      <c r="AP750" s="176"/>
      <c r="AQ750" s="176"/>
      <c r="AR750" s="176"/>
      <c r="AS750" s="176"/>
      <c r="AT750" s="176"/>
      <c r="AU750" s="176"/>
      <c r="AV750" s="176"/>
      <c r="AW750" s="176"/>
      <c r="AX750" s="176"/>
      <c r="AY750" s="176"/>
      <c r="AZ750" s="176"/>
      <c r="BA750" s="176"/>
      <c r="BB750" s="176"/>
      <c r="BC750" s="176"/>
      <c r="BD750" s="176"/>
      <c r="BE750" s="176"/>
      <c r="BF750" s="176"/>
      <c r="BG750" s="176"/>
      <c r="BH750" s="176"/>
      <c r="BI750" s="176"/>
      <c r="BJ750" s="176"/>
    </row>
    <row r="751" spans="2:62" x14ac:dyDescent="0.3">
      <c r="B751" s="3"/>
      <c r="C751" s="2"/>
      <c r="D751" s="2"/>
      <c r="E751" s="3"/>
      <c r="O751" s="176"/>
      <c r="P751" s="176"/>
      <c r="Q751" s="176"/>
      <c r="R751" s="176"/>
      <c r="S751" s="176"/>
      <c r="T751" s="176"/>
      <c r="U751" s="176"/>
      <c r="V751" s="176"/>
      <c r="W751" s="176"/>
      <c r="X751" s="176"/>
      <c r="Y751" s="176"/>
      <c r="Z751" s="176"/>
      <c r="AA751" s="176"/>
      <c r="AB751" s="176"/>
      <c r="AC751" s="176"/>
      <c r="AD751" s="176"/>
      <c r="AE751" s="176"/>
      <c r="AF751" s="176"/>
      <c r="AG751" s="176"/>
      <c r="AH751" s="176"/>
      <c r="AI751" s="176"/>
      <c r="AJ751" s="176"/>
      <c r="AK751" s="176"/>
      <c r="AL751" s="176"/>
      <c r="AM751" s="176"/>
      <c r="AN751" s="176"/>
      <c r="AO751" s="176"/>
      <c r="AP751" s="176"/>
      <c r="AQ751" s="176"/>
      <c r="AR751" s="176"/>
      <c r="AS751" s="176"/>
      <c r="AT751" s="176"/>
      <c r="AU751" s="176"/>
      <c r="AV751" s="176"/>
      <c r="AW751" s="176"/>
      <c r="AX751" s="176"/>
      <c r="AY751" s="176"/>
      <c r="AZ751" s="176"/>
      <c r="BA751" s="176"/>
      <c r="BB751" s="176"/>
      <c r="BC751" s="176"/>
      <c r="BD751" s="176"/>
      <c r="BE751" s="176"/>
      <c r="BF751" s="176"/>
      <c r="BG751" s="176"/>
      <c r="BH751" s="176"/>
      <c r="BI751" s="176"/>
      <c r="BJ751" s="176"/>
    </row>
    <row r="752" spans="2:62" x14ac:dyDescent="0.3">
      <c r="B752" s="3"/>
      <c r="C752" s="2"/>
      <c r="D752" s="2"/>
      <c r="E752" s="3"/>
      <c r="O752" s="176"/>
      <c r="P752" s="176"/>
      <c r="Q752" s="176"/>
      <c r="R752" s="176"/>
      <c r="S752" s="176"/>
      <c r="T752" s="176"/>
      <c r="U752" s="176"/>
      <c r="V752" s="176"/>
      <c r="W752" s="176"/>
      <c r="X752" s="176"/>
      <c r="Y752" s="176"/>
      <c r="Z752" s="176"/>
      <c r="AA752" s="176"/>
      <c r="AB752" s="176"/>
      <c r="AC752" s="176"/>
      <c r="AD752" s="176"/>
      <c r="AE752" s="176"/>
      <c r="AF752" s="176"/>
      <c r="AG752" s="176"/>
      <c r="AH752" s="176"/>
      <c r="AI752" s="176"/>
      <c r="AJ752" s="176"/>
      <c r="AK752" s="176"/>
      <c r="AL752" s="176"/>
      <c r="AM752" s="176"/>
      <c r="AN752" s="176"/>
      <c r="AO752" s="176"/>
      <c r="AP752" s="176"/>
      <c r="AQ752" s="176"/>
      <c r="AR752" s="176"/>
      <c r="AS752" s="176"/>
      <c r="AT752" s="176"/>
      <c r="AU752" s="176"/>
      <c r="AV752" s="176"/>
      <c r="AW752" s="176"/>
      <c r="AX752" s="176"/>
      <c r="AY752" s="176"/>
      <c r="AZ752" s="176"/>
      <c r="BA752" s="176"/>
      <c r="BB752" s="176"/>
      <c r="BC752" s="176"/>
      <c r="BD752" s="176"/>
      <c r="BE752" s="176"/>
      <c r="BF752" s="176"/>
      <c r="BG752" s="176"/>
      <c r="BH752" s="176"/>
      <c r="BI752" s="176"/>
      <c r="BJ752" s="176"/>
    </row>
    <row r="753" spans="2:62" x14ac:dyDescent="0.3">
      <c r="B753" s="3"/>
      <c r="C753" s="2"/>
      <c r="D753" s="2"/>
      <c r="E753" s="3"/>
      <c r="O753" s="176"/>
      <c r="P753" s="176"/>
      <c r="Q753" s="176"/>
      <c r="R753" s="176"/>
      <c r="S753" s="176"/>
      <c r="T753" s="176"/>
      <c r="U753" s="176"/>
      <c r="V753" s="176"/>
      <c r="W753" s="176"/>
      <c r="X753" s="176"/>
      <c r="Y753" s="176"/>
      <c r="Z753" s="176"/>
      <c r="AA753" s="176"/>
      <c r="AB753" s="176"/>
      <c r="AC753" s="176"/>
      <c r="AD753" s="176"/>
      <c r="AE753" s="176"/>
      <c r="AF753" s="176"/>
      <c r="AG753" s="176"/>
      <c r="AH753" s="176"/>
      <c r="AI753" s="176"/>
      <c r="AJ753" s="176"/>
      <c r="AK753" s="176"/>
      <c r="AL753" s="176"/>
      <c r="AM753" s="176"/>
      <c r="AN753" s="176"/>
      <c r="AO753" s="176"/>
      <c r="AP753" s="176"/>
      <c r="AQ753" s="176"/>
      <c r="AR753" s="176"/>
      <c r="AS753" s="176"/>
      <c r="AT753" s="176"/>
      <c r="AU753" s="176"/>
      <c r="AV753" s="176"/>
      <c r="AW753" s="176"/>
      <c r="AX753" s="176"/>
      <c r="AY753" s="176"/>
      <c r="AZ753" s="176"/>
      <c r="BA753" s="176"/>
      <c r="BB753" s="176"/>
      <c r="BC753" s="176"/>
      <c r="BD753" s="176"/>
      <c r="BE753" s="176"/>
      <c r="BF753" s="176"/>
      <c r="BG753" s="176"/>
      <c r="BH753" s="176"/>
      <c r="BI753" s="176"/>
      <c r="BJ753" s="176"/>
    </row>
    <row r="754" spans="2:62" x14ac:dyDescent="0.3">
      <c r="B754" s="3"/>
      <c r="C754" s="2"/>
      <c r="D754" s="2"/>
      <c r="E754" s="3"/>
      <c r="O754" s="176"/>
      <c r="P754" s="176"/>
      <c r="Q754" s="176"/>
      <c r="R754" s="176"/>
      <c r="S754" s="176"/>
      <c r="T754" s="176"/>
      <c r="U754" s="176"/>
      <c r="V754" s="176"/>
      <c r="W754" s="176"/>
      <c r="X754" s="176"/>
      <c r="Y754" s="176"/>
      <c r="Z754" s="176"/>
      <c r="AA754" s="176"/>
      <c r="AB754" s="176"/>
      <c r="AC754" s="176"/>
      <c r="AD754" s="176"/>
      <c r="AE754" s="176"/>
      <c r="AF754" s="176"/>
      <c r="AG754" s="176"/>
      <c r="AH754" s="176"/>
      <c r="AI754" s="176"/>
      <c r="AJ754" s="176"/>
      <c r="AK754" s="176"/>
      <c r="AL754" s="176"/>
      <c r="AM754" s="176"/>
      <c r="AN754" s="176"/>
      <c r="AO754" s="176"/>
      <c r="AP754" s="176"/>
      <c r="AQ754" s="176"/>
      <c r="AR754" s="176"/>
      <c r="AS754" s="176"/>
      <c r="AT754" s="176"/>
      <c r="AU754" s="176"/>
      <c r="AV754" s="176"/>
      <c r="AW754" s="176"/>
      <c r="AX754" s="176"/>
      <c r="AY754" s="176"/>
      <c r="AZ754" s="176"/>
      <c r="BA754" s="176"/>
      <c r="BB754" s="176"/>
      <c r="BC754" s="176"/>
      <c r="BD754" s="176"/>
      <c r="BE754" s="176"/>
      <c r="BF754" s="176"/>
      <c r="BG754" s="176"/>
      <c r="BH754" s="176"/>
      <c r="BI754" s="176"/>
      <c r="BJ754" s="176"/>
    </row>
    <row r="755" spans="2:62" x14ac:dyDescent="0.3">
      <c r="B755" s="3"/>
      <c r="C755" s="2"/>
      <c r="D755" s="2"/>
      <c r="E755" s="3"/>
      <c r="O755" s="176"/>
      <c r="P755" s="176"/>
      <c r="Q755" s="176"/>
      <c r="R755" s="176"/>
      <c r="S755" s="176"/>
      <c r="T755" s="176"/>
      <c r="U755" s="176"/>
      <c r="V755" s="176"/>
      <c r="W755" s="176"/>
      <c r="X755" s="176"/>
      <c r="Y755" s="176"/>
      <c r="Z755" s="176"/>
      <c r="AA755" s="176"/>
      <c r="AB755" s="176"/>
      <c r="AC755" s="176"/>
      <c r="AD755" s="176"/>
      <c r="AE755" s="176"/>
      <c r="AF755" s="176"/>
      <c r="AG755" s="176"/>
      <c r="AH755" s="176"/>
      <c r="AI755" s="176"/>
      <c r="AJ755" s="176"/>
      <c r="AK755" s="176"/>
      <c r="AL755" s="176"/>
      <c r="AM755" s="176"/>
      <c r="AN755" s="176"/>
      <c r="AO755" s="176"/>
      <c r="AP755" s="176"/>
      <c r="AQ755" s="176"/>
      <c r="AR755" s="176"/>
      <c r="AS755" s="176"/>
      <c r="AT755" s="176"/>
      <c r="AU755" s="176"/>
      <c r="AV755" s="176"/>
      <c r="AW755" s="176"/>
      <c r="AX755" s="176"/>
      <c r="AY755" s="176"/>
      <c r="AZ755" s="176"/>
      <c r="BA755" s="176"/>
      <c r="BB755" s="176"/>
      <c r="BC755" s="176"/>
      <c r="BD755" s="176"/>
      <c r="BE755" s="176"/>
      <c r="BF755" s="176"/>
      <c r="BG755" s="176"/>
      <c r="BH755" s="176"/>
      <c r="BI755" s="176"/>
      <c r="BJ755" s="176"/>
    </row>
    <row r="756" spans="2:62" x14ac:dyDescent="0.3">
      <c r="B756" s="3"/>
      <c r="C756" s="2"/>
      <c r="D756" s="2"/>
      <c r="E756" s="3"/>
      <c r="O756" s="176"/>
      <c r="P756" s="176"/>
      <c r="Q756" s="176"/>
      <c r="R756" s="176"/>
      <c r="S756" s="176"/>
      <c r="T756" s="176"/>
      <c r="U756" s="176"/>
      <c r="V756" s="176"/>
      <c r="W756" s="176"/>
      <c r="X756" s="176"/>
      <c r="Y756" s="176"/>
      <c r="Z756" s="176"/>
      <c r="AA756" s="176"/>
      <c r="AB756" s="176"/>
      <c r="AC756" s="176"/>
      <c r="AD756" s="176"/>
      <c r="AE756" s="176"/>
      <c r="AF756" s="176"/>
      <c r="AG756" s="176"/>
      <c r="AH756" s="176"/>
      <c r="AI756" s="176"/>
      <c r="AJ756" s="176"/>
      <c r="AK756" s="176"/>
      <c r="AL756" s="176"/>
      <c r="AM756" s="176"/>
      <c r="AN756" s="176"/>
      <c r="AO756" s="176"/>
      <c r="AP756" s="176"/>
      <c r="AQ756" s="176"/>
      <c r="AR756" s="176"/>
      <c r="AS756" s="176"/>
      <c r="AT756" s="176"/>
      <c r="AU756" s="176"/>
      <c r="AV756" s="176"/>
      <c r="AW756" s="176"/>
      <c r="AX756" s="176"/>
      <c r="AY756" s="176"/>
      <c r="AZ756" s="176"/>
      <c r="BA756" s="176"/>
      <c r="BB756" s="176"/>
      <c r="BC756" s="176"/>
      <c r="BD756" s="176"/>
      <c r="BE756" s="176"/>
      <c r="BF756" s="176"/>
      <c r="BG756" s="176"/>
      <c r="BH756" s="176"/>
      <c r="BI756" s="176"/>
      <c r="BJ756" s="176"/>
    </row>
    <row r="757" spans="2:62" x14ac:dyDescent="0.3">
      <c r="B757" s="3"/>
      <c r="C757" s="2"/>
      <c r="D757" s="2"/>
      <c r="E757" s="3"/>
      <c r="O757" s="176"/>
      <c r="P757" s="176"/>
      <c r="Q757" s="176"/>
      <c r="R757" s="176"/>
      <c r="S757" s="176"/>
      <c r="T757" s="176"/>
      <c r="U757" s="176"/>
      <c r="V757" s="176"/>
      <c r="W757" s="176"/>
      <c r="X757" s="176"/>
      <c r="Y757" s="176"/>
      <c r="Z757" s="176"/>
      <c r="AA757" s="176"/>
      <c r="AB757" s="176"/>
      <c r="AC757" s="176"/>
      <c r="AD757" s="176"/>
      <c r="AE757" s="176"/>
      <c r="AF757" s="176"/>
      <c r="AG757" s="176"/>
      <c r="AH757" s="176"/>
      <c r="AI757" s="176"/>
      <c r="AJ757" s="176"/>
      <c r="AK757" s="176"/>
      <c r="AL757" s="176"/>
      <c r="AM757" s="176"/>
      <c r="AN757" s="176"/>
      <c r="AO757" s="176"/>
      <c r="AP757" s="176"/>
      <c r="AQ757" s="176"/>
      <c r="AR757" s="176"/>
      <c r="AS757" s="176"/>
      <c r="AT757" s="176"/>
      <c r="AU757" s="176"/>
      <c r="AV757" s="176"/>
      <c r="AW757" s="176"/>
      <c r="AX757" s="176"/>
      <c r="AY757" s="176"/>
      <c r="AZ757" s="176"/>
      <c r="BA757" s="176"/>
      <c r="BB757" s="176"/>
      <c r="BC757" s="176"/>
      <c r="BD757" s="176"/>
      <c r="BE757" s="176"/>
      <c r="BF757" s="176"/>
      <c r="BG757" s="176"/>
      <c r="BH757" s="176"/>
      <c r="BI757" s="176"/>
      <c r="BJ757" s="176"/>
    </row>
    <row r="758" spans="2:62" x14ac:dyDescent="0.3">
      <c r="B758" s="3"/>
      <c r="C758" s="2"/>
      <c r="D758" s="2"/>
      <c r="E758" s="3"/>
      <c r="O758" s="176"/>
      <c r="P758" s="176"/>
      <c r="Q758" s="176"/>
      <c r="R758" s="176"/>
      <c r="S758" s="176"/>
      <c r="T758" s="176"/>
      <c r="U758" s="176"/>
      <c r="V758" s="176"/>
      <c r="W758" s="176"/>
      <c r="X758" s="176"/>
      <c r="Y758" s="176"/>
      <c r="Z758" s="176"/>
      <c r="AA758" s="176"/>
      <c r="AB758" s="176"/>
      <c r="AC758" s="176"/>
      <c r="AD758" s="176"/>
      <c r="AE758" s="176"/>
      <c r="AF758" s="176"/>
      <c r="AG758" s="176"/>
      <c r="AH758" s="176"/>
      <c r="AI758" s="176"/>
      <c r="AJ758" s="176"/>
      <c r="AK758" s="176"/>
      <c r="AL758" s="176"/>
      <c r="AM758" s="176"/>
      <c r="AN758" s="176"/>
      <c r="AO758" s="176"/>
      <c r="AP758" s="176"/>
      <c r="AQ758" s="176"/>
      <c r="AR758" s="176"/>
      <c r="AS758" s="176"/>
      <c r="AT758" s="176"/>
      <c r="AU758" s="176"/>
      <c r="AV758" s="176"/>
      <c r="AW758" s="176"/>
      <c r="AX758" s="176"/>
      <c r="AY758" s="176"/>
      <c r="AZ758" s="176"/>
      <c r="BA758" s="176"/>
      <c r="BB758" s="176"/>
      <c r="BC758" s="176"/>
      <c r="BD758" s="176"/>
      <c r="BE758" s="176"/>
      <c r="BF758" s="176"/>
      <c r="BG758" s="176"/>
      <c r="BH758" s="176"/>
      <c r="BI758" s="176"/>
      <c r="BJ758" s="176"/>
    </row>
    <row r="759" spans="2:62" x14ac:dyDescent="0.3">
      <c r="B759" s="3"/>
      <c r="C759" s="2"/>
      <c r="D759" s="2"/>
      <c r="E759" s="3"/>
      <c r="O759" s="176"/>
      <c r="P759" s="176"/>
      <c r="Q759" s="176"/>
      <c r="R759" s="176"/>
      <c r="S759" s="176"/>
      <c r="T759" s="176"/>
      <c r="U759" s="176"/>
      <c r="V759" s="176"/>
      <c r="W759" s="176"/>
      <c r="X759" s="176"/>
      <c r="Y759" s="176"/>
      <c r="Z759" s="176"/>
      <c r="AA759" s="176"/>
      <c r="AB759" s="176"/>
      <c r="AC759" s="176"/>
      <c r="AD759" s="176"/>
      <c r="AE759" s="176"/>
      <c r="AF759" s="176"/>
      <c r="AG759" s="176"/>
      <c r="AH759" s="176"/>
      <c r="AI759" s="176"/>
      <c r="AJ759" s="176"/>
      <c r="AK759" s="176"/>
      <c r="AL759" s="176"/>
      <c r="AM759" s="176"/>
      <c r="AN759" s="176"/>
      <c r="AO759" s="176"/>
      <c r="AP759" s="176"/>
      <c r="AQ759" s="176"/>
      <c r="AR759" s="176"/>
      <c r="AS759" s="176"/>
      <c r="AT759" s="176"/>
      <c r="AU759" s="176"/>
      <c r="AV759" s="176"/>
      <c r="AW759" s="176"/>
      <c r="AX759" s="176"/>
      <c r="AY759" s="176"/>
      <c r="AZ759" s="176"/>
      <c r="BA759" s="176"/>
      <c r="BB759" s="176"/>
      <c r="BC759" s="176"/>
      <c r="BD759" s="176"/>
      <c r="BE759" s="176"/>
      <c r="BF759" s="176"/>
      <c r="BG759" s="176"/>
      <c r="BH759" s="176"/>
      <c r="BI759" s="176"/>
      <c r="BJ759" s="176"/>
    </row>
    <row r="760" spans="2:62" x14ac:dyDescent="0.3">
      <c r="B760" s="3"/>
      <c r="C760" s="2"/>
      <c r="D760" s="2"/>
      <c r="E760" s="3"/>
      <c r="O760" s="176"/>
      <c r="P760" s="176"/>
      <c r="Q760" s="176"/>
      <c r="R760" s="176"/>
      <c r="S760" s="176"/>
      <c r="T760" s="176"/>
      <c r="U760" s="176"/>
      <c r="V760" s="176"/>
      <c r="W760" s="176"/>
      <c r="X760" s="176"/>
      <c r="Y760" s="176"/>
      <c r="Z760" s="176"/>
      <c r="AA760" s="176"/>
      <c r="AB760" s="176"/>
      <c r="AC760" s="176"/>
      <c r="AD760" s="176"/>
      <c r="AE760" s="176"/>
      <c r="AF760" s="176"/>
      <c r="AG760" s="176"/>
      <c r="AH760" s="176"/>
      <c r="AI760" s="176"/>
      <c r="AJ760" s="176"/>
      <c r="AK760" s="176"/>
      <c r="AL760" s="176"/>
      <c r="AM760" s="176"/>
      <c r="AN760" s="176"/>
      <c r="AO760" s="176"/>
      <c r="AP760" s="176"/>
      <c r="AQ760" s="176"/>
      <c r="AR760" s="176"/>
      <c r="AS760" s="176"/>
      <c r="AT760" s="176"/>
      <c r="AU760" s="176"/>
      <c r="AV760" s="176"/>
      <c r="AW760" s="176"/>
      <c r="AX760" s="176"/>
      <c r="AY760" s="176"/>
      <c r="AZ760" s="176"/>
      <c r="BA760" s="176"/>
      <c r="BB760" s="176"/>
      <c r="BC760" s="176"/>
      <c r="BD760" s="176"/>
      <c r="BE760" s="176"/>
      <c r="BF760" s="176"/>
      <c r="BG760" s="176"/>
      <c r="BH760" s="176"/>
      <c r="BI760" s="176"/>
      <c r="BJ760" s="176"/>
    </row>
    <row r="761" spans="2:62" x14ac:dyDescent="0.3">
      <c r="B761" s="3"/>
      <c r="C761" s="2"/>
      <c r="D761" s="2"/>
      <c r="E761" s="3"/>
      <c r="O761" s="176"/>
      <c r="P761" s="176"/>
      <c r="Q761" s="176"/>
      <c r="R761" s="176"/>
      <c r="S761" s="176"/>
      <c r="T761" s="176"/>
      <c r="U761" s="176"/>
      <c r="V761" s="176"/>
      <c r="W761" s="176"/>
      <c r="X761" s="176"/>
      <c r="Y761" s="176"/>
      <c r="Z761" s="176"/>
      <c r="AA761" s="176"/>
      <c r="AB761" s="176"/>
      <c r="AC761" s="176"/>
      <c r="AD761" s="176"/>
      <c r="AE761" s="176"/>
      <c r="AF761" s="176"/>
      <c r="AG761" s="176"/>
      <c r="AH761" s="176"/>
      <c r="AI761" s="176"/>
      <c r="AJ761" s="176"/>
      <c r="AK761" s="176"/>
      <c r="AL761" s="176"/>
      <c r="AM761" s="176"/>
      <c r="AN761" s="176"/>
      <c r="AO761" s="176"/>
      <c r="AP761" s="176"/>
      <c r="AQ761" s="176"/>
      <c r="AR761" s="176"/>
      <c r="AS761" s="176"/>
      <c r="AT761" s="176"/>
      <c r="AU761" s="176"/>
      <c r="AV761" s="176"/>
      <c r="AW761" s="176"/>
      <c r="AX761" s="176"/>
      <c r="AY761" s="176"/>
      <c r="AZ761" s="176"/>
      <c r="BA761" s="176"/>
      <c r="BB761" s="176"/>
      <c r="BC761" s="176"/>
      <c r="BD761" s="176"/>
      <c r="BE761" s="176"/>
      <c r="BF761" s="176"/>
      <c r="BG761" s="176"/>
      <c r="BH761" s="176"/>
      <c r="BI761" s="176"/>
      <c r="BJ761" s="176"/>
    </row>
    <row r="762" spans="2:62" x14ac:dyDescent="0.3">
      <c r="B762" s="3"/>
      <c r="C762" s="2"/>
      <c r="D762" s="2"/>
      <c r="E762" s="3"/>
      <c r="O762" s="176"/>
      <c r="P762" s="176"/>
      <c r="Q762" s="176"/>
      <c r="R762" s="176"/>
      <c r="S762" s="176"/>
      <c r="T762" s="176"/>
      <c r="U762" s="176"/>
      <c r="V762" s="176"/>
      <c r="W762" s="176"/>
      <c r="X762" s="176"/>
      <c r="Y762" s="176"/>
      <c r="Z762" s="176"/>
      <c r="AA762" s="176"/>
      <c r="AB762" s="176"/>
      <c r="AC762" s="176"/>
      <c r="AD762" s="176"/>
      <c r="AE762" s="176"/>
      <c r="AF762" s="176"/>
      <c r="AG762" s="176"/>
      <c r="AH762" s="176"/>
      <c r="AI762" s="176"/>
      <c r="AJ762" s="176"/>
      <c r="AK762" s="176"/>
      <c r="AL762" s="176"/>
      <c r="AM762" s="176"/>
      <c r="AN762" s="176"/>
      <c r="AO762" s="176"/>
      <c r="AP762" s="176"/>
      <c r="AQ762" s="176"/>
      <c r="AR762" s="176"/>
      <c r="AS762" s="176"/>
      <c r="AT762" s="176"/>
      <c r="AU762" s="176"/>
      <c r="AV762" s="176"/>
      <c r="AW762" s="176"/>
      <c r="AX762" s="176"/>
      <c r="AY762" s="176"/>
      <c r="AZ762" s="176"/>
      <c r="BA762" s="176"/>
      <c r="BB762" s="176"/>
      <c r="BC762" s="176"/>
      <c r="BD762" s="176"/>
      <c r="BE762" s="176"/>
      <c r="BF762" s="176"/>
      <c r="BG762" s="176"/>
      <c r="BH762" s="176"/>
      <c r="BI762" s="176"/>
      <c r="BJ762" s="176"/>
    </row>
    <row r="763" spans="2:62" x14ac:dyDescent="0.3">
      <c r="B763" s="3"/>
      <c r="C763" s="2"/>
      <c r="D763" s="2"/>
      <c r="E763" s="3"/>
      <c r="O763" s="176"/>
      <c r="P763" s="176"/>
      <c r="Q763" s="176"/>
      <c r="R763" s="176"/>
      <c r="S763" s="176"/>
      <c r="T763" s="176"/>
      <c r="U763" s="176"/>
      <c r="V763" s="176"/>
      <c r="W763" s="176"/>
      <c r="X763" s="176"/>
      <c r="Y763" s="176"/>
      <c r="Z763" s="176"/>
      <c r="AA763" s="176"/>
      <c r="AB763" s="176"/>
      <c r="AC763" s="176"/>
      <c r="AD763" s="176"/>
      <c r="AE763" s="176"/>
      <c r="AF763" s="176"/>
      <c r="AG763" s="176"/>
      <c r="AH763" s="176"/>
      <c r="AI763" s="176"/>
      <c r="AJ763" s="176"/>
      <c r="AK763" s="176"/>
      <c r="AL763" s="176"/>
      <c r="AM763" s="176"/>
      <c r="AN763" s="176"/>
      <c r="AO763" s="176"/>
      <c r="AP763" s="176"/>
      <c r="AQ763" s="176"/>
      <c r="AR763" s="176"/>
      <c r="AS763" s="176"/>
      <c r="AT763" s="176"/>
      <c r="AU763" s="176"/>
      <c r="AV763" s="176"/>
      <c r="AW763" s="176"/>
      <c r="AX763" s="176"/>
      <c r="AY763" s="176"/>
      <c r="AZ763" s="176"/>
      <c r="BA763" s="176"/>
      <c r="BB763" s="176"/>
      <c r="BC763" s="176"/>
      <c r="BD763" s="176"/>
      <c r="BE763" s="176"/>
      <c r="BF763" s="176"/>
      <c r="BG763" s="176"/>
      <c r="BH763" s="176"/>
      <c r="BI763" s="176"/>
      <c r="BJ763" s="176"/>
    </row>
    <row r="764" spans="2:62" x14ac:dyDescent="0.3">
      <c r="B764" s="3"/>
      <c r="C764" s="2"/>
      <c r="D764" s="2"/>
      <c r="E764" s="3"/>
      <c r="O764" s="176"/>
      <c r="P764" s="176"/>
      <c r="Q764" s="176"/>
      <c r="R764" s="176"/>
      <c r="S764" s="176"/>
      <c r="T764" s="176"/>
      <c r="U764" s="176"/>
      <c r="V764" s="176"/>
      <c r="W764" s="176"/>
      <c r="X764" s="176"/>
      <c r="Y764" s="176"/>
      <c r="Z764" s="176"/>
      <c r="AA764" s="176"/>
      <c r="AB764" s="176"/>
      <c r="AC764" s="176"/>
      <c r="AD764" s="176"/>
      <c r="AE764" s="176"/>
      <c r="AF764" s="176"/>
      <c r="AG764" s="176"/>
      <c r="AH764" s="176"/>
      <c r="AI764" s="176"/>
      <c r="AJ764" s="176"/>
      <c r="AK764" s="176"/>
      <c r="AL764" s="176"/>
      <c r="AM764" s="176"/>
      <c r="AN764" s="176"/>
      <c r="AO764" s="176"/>
      <c r="AP764" s="176"/>
      <c r="AQ764" s="176"/>
      <c r="AR764" s="176"/>
      <c r="AS764" s="176"/>
      <c r="AT764" s="176"/>
      <c r="AU764" s="176"/>
      <c r="AV764" s="176"/>
      <c r="AW764" s="176"/>
      <c r="AX764" s="176"/>
      <c r="AY764" s="176"/>
      <c r="AZ764" s="176"/>
      <c r="BA764" s="176"/>
      <c r="BB764" s="176"/>
      <c r="BC764" s="176"/>
      <c r="BD764" s="176"/>
      <c r="BE764" s="176"/>
      <c r="BF764" s="176"/>
      <c r="BG764" s="176"/>
      <c r="BH764" s="176"/>
      <c r="BI764" s="176"/>
      <c r="BJ764" s="176"/>
    </row>
    <row r="765" spans="2:62" x14ac:dyDescent="0.3">
      <c r="B765" s="3"/>
      <c r="C765" s="2"/>
      <c r="D765" s="2"/>
      <c r="E765" s="3"/>
      <c r="O765" s="176"/>
      <c r="P765" s="176"/>
      <c r="Q765" s="176"/>
      <c r="R765" s="176"/>
      <c r="S765" s="176"/>
      <c r="T765" s="176"/>
      <c r="U765" s="176"/>
      <c r="V765" s="176"/>
      <c r="W765" s="176"/>
      <c r="X765" s="176"/>
      <c r="Y765" s="176"/>
      <c r="Z765" s="176"/>
      <c r="AA765" s="176"/>
      <c r="AB765" s="176"/>
      <c r="AC765" s="176"/>
      <c r="AD765" s="176"/>
      <c r="AE765" s="176"/>
      <c r="AF765" s="176"/>
      <c r="AG765" s="176"/>
      <c r="AH765" s="176"/>
      <c r="AI765" s="176"/>
      <c r="AJ765" s="176"/>
      <c r="AK765" s="176"/>
      <c r="AL765" s="176"/>
      <c r="AM765" s="176"/>
      <c r="AN765" s="176"/>
      <c r="AO765" s="176"/>
      <c r="AP765" s="176"/>
      <c r="AQ765" s="176"/>
      <c r="AR765" s="176"/>
      <c r="AS765" s="176"/>
      <c r="AT765" s="176"/>
      <c r="AU765" s="176"/>
      <c r="AV765" s="176"/>
      <c r="AW765" s="176"/>
      <c r="AX765" s="176"/>
      <c r="AY765" s="176"/>
      <c r="AZ765" s="176"/>
      <c r="BA765" s="176"/>
      <c r="BB765" s="176"/>
      <c r="BC765" s="176"/>
      <c r="BD765" s="176"/>
      <c r="BE765" s="176"/>
      <c r="BF765" s="176"/>
      <c r="BG765" s="176"/>
      <c r="BH765" s="176"/>
      <c r="BI765" s="176"/>
      <c r="BJ765" s="176"/>
    </row>
    <row r="766" spans="2:62" x14ac:dyDescent="0.3">
      <c r="B766" s="3"/>
      <c r="C766" s="2"/>
      <c r="D766" s="2"/>
      <c r="E766" s="3"/>
      <c r="O766" s="176"/>
      <c r="P766" s="176"/>
      <c r="Q766" s="176"/>
      <c r="R766" s="176"/>
      <c r="S766" s="176"/>
      <c r="T766" s="176"/>
      <c r="U766" s="176"/>
      <c r="V766" s="176"/>
      <c r="W766" s="176"/>
      <c r="X766" s="176"/>
      <c r="Y766" s="176"/>
      <c r="Z766" s="176"/>
      <c r="AA766" s="176"/>
      <c r="AB766" s="176"/>
      <c r="AC766" s="176"/>
      <c r="AD766" s="176"/>
      <c r="AE766" s="176"/>
      <c r="AF766" s="176"/>
      <c r="AG766" s="176"/>
      <c r="AH766" s="176"/>
      <c r="AI766" s="176"/>
      <c r="AJ766" s="176"/>
      <c r="AK766" s="176"/>
      <c r="AL766" s="176"/>
      <c r="AM766" s="176"/>
      <c r="AN766" s="176"/>
      <c r="AO766" s="176"/>
      <c r="AP766" s="176"/>
      <c r="AQ766" s="176"/>
      <c r="AR766" s="176"/>
      <c r="AS766" s="176"/>
      <c r="AT766" s="176"/>
      <c r="AU766" s="176"/>
      <c r="AV766" s="176"/>
      <c r="AW766" s="176"/>
      <c r="AX766" s="176"/>
      <c r="AY766" s="176"/>
      <c r="AZ766" s="176"/>
      <c r="BA766" s="176"/>
      <c r="BB766" s="176"/>
      <c r="BC766" s="176"/>
      <c r="BD766" s="176"/>
      <c r="BE766" s="176"/>
      <c r="BF766" s="176"/>
      <c r="BG766" s="176"/>
      <c r="BH766" s="176"/>
      <c r="BI766" s="176"/>
      <c r="BJ766" s="176"/>
    </row>
    <row r="767" spans="2:62" x14ac:dyDescent="0.3">
      <c r="B767" s="3"/>
      <c r="C767" s="2"/>
      <c r="D767" s="2"/>
      <c r="E767" s="3"/>
      <c r="O767" s="176"/>
      <c r="P767" s="176"/>
      <c r="Q767" s="176"/>
      <c r="R767" s="176"/>
      <c r="S767" s="176"/>
      <c r="T767" s="176"/>
      <c r="U767" s="176"/>
      <c r="V767" s="176"/>
      <c r="W767" s="176"/>
      <c r="X767" s="176"/>
      <c r="Y767" s="176"/>
      <c r="Z767" s="176"/>
      <c r="AA767" s="176"/>
      <c r="AB767" s="176"/>
      <c r="AC767" s="176"/>
      <c r="AD767" s="176"/>
      <c r="AE767" s="176"/>
      <c r="AF767" s="176"/>
      <c r="AG767" s="176"/>
      <c r="AH767" s="176"/>
      <c r="AI767" s="176"/>
      <c r="AJ767" s="176"/>
      <c r="AK767" s="176"/>
      <c r="AL767" s="176"/>
      <c r="AM767" s="176"/>
      <c r="AN767" s="176"/>
      <c r="AO767" s="176"/>
      <c r="AP767" s="176"/>
      <c r="AQ767" s="176"/>
      <c r="AR767" s="176"/>
      <c r="AS767" s="176"/>
      <c r="AT767" s="176"/>
      <c r="AU767" s="176"/>
      <c r="AV767" s="176"/>
      <c r="AW767" s="176"/>
      <c r="AX767" s="176"/>
      <c r="AY767" s="176"/>
      <c r="AZ767" s="176"/>
      <c r="BA767" s="176"/>
      <c r="BB767" s="176"/>
      <c r="BC767" s="176"/>
      <c r="BD767" s="176"/>
      <c r="BE767" s="176"/>
      <c r="BF767" s="176"/>
      <c r="BG767" s="176"/>
      <c r="BH767" s="176"/>
      <c r="BI767" s="176"/>
      <c r="BJ767" s="176"/>
    </row>
    <row r="768" spans="2:62" x14ac:dyDescent="0.3">
      <c r="B768" s="3"/>
      <c r="C768" s="2"/>
      <c r="D768" s="2"/>
      <c r="E768" s="3"/>
      <c r="O768" s="176"/>
      <c r="P768" s="176"/>
      <c r="Q768" s="176"/>
      <c r="R768" s="176"/>
      <c r="S768" s="176"/>
      <c r="T768" s="176"/>
      <c r="U768" s="176"/>
      <c r="V768" s="176"/>
      <c r="W768" s="176"/>
      <c r="X768" s="176"/>
      <c r="Y768" s="176"/>
      <c r="Z768" s="176"/>
      <c r="AA768" s="176"/>
      <c r="AB768" s="176"/>
      <c r="AC768" s="176"/>
      <c r="AD768" s="176"/>
      <c r="AE768" s="176"/>
      <c r="AF768" s="176"/>
      <c r="AG768" s="176"/>
      <c r="AH768" s="176"/>
      <c r="AI768" s="176"/>
      <c r="AJ768" s="176"/>
      <c r="AK768" s="176"/>
      <c r="AL768" s="176"/>
      <c r="AM768" s="176"/>
      <c r="AN768" s="176"/>
      <c r="AO768" s="176"/>
      <c r="AP768" s="176"/>
      <c r="AQ768" s="176"/>
      <c r="AR768" s="176"/>
      <c r="AS768" s="176"/>
      <c r="AT768" s="176"/>
      <c r="AU768" s="176"/>
      <c r="AV768" s="176"/>
      <c r="AW768" s="176"/>
      <c r="AX768" s="176"/>
      <c r="AY768" s="176"/>
      <c r="AZ768" s="176"/>
      <c r="BA768" s="176"/>
      <c r="BB768" s="176"/>
      <c r="BC768" s="176"/>
      <c r="BD768" s="176"/>
      <c r="BE768" s="176"/>
      <c r="BF768" s="176"/>
      <c r="BG768" s="176"/>
      <c r="BH768" s="176"/>
      <c r="BI768" s="176"/>
      <c r="BJ768" s="176"/>
    </row>
    <row r="769" spans="2:62" x14ac:dyDescent="0.3">
      <c r="B769" s="3"/>
      <c r="C769" s="2"/>
      <c r="D769" s="2"/>
      <c r="E769" s="3"/>
      <c r="O769" s="176"/>
      <c r="P769" s="176"/>
      <c r="Q769" s="176"/>
      <c r="R769" s="176"/>
      <c r="S769" s="176"/>
      <c r="T769" s="176"/>
      <c r="U769" s="176"/>
      <c r="V769" s="176"/>
      <c r="W769" s="176"/>
      <c r="X769" s="176"/>
      <c r="Y769" s="176"/>
      <c r="Z769" s="176"/>
      <c r="AA769" s="176"/>
      <c r="AB769" s="176"/>
      <c r="AC769" s="176"/>
      <c r="AD769" s="176"/>
      <c r="AE769" s="176"/>
      <c r="AF769" s="176"/>
      <c r="AG769" s="176"/>
      <c r="AH769" s="176"/>
      <c r="AI769" s="176"/>
      <c r="AJ769" s="176"/>
      <c r="AK769" s="176"/>
      <c r="AL769" s="176"/>
      <c r="AM769" s="176"/>
      <c r="AN769" s="176"/>
      <c r="AO769" s="176"/>
      <c r="AP769" s="176"/>
      <c r="AQ769" s="176"/>
      <c r="AR769" s="176"/>
      <c r="AS769" s="176"/>
      <c r="AT769" s="176"/>
      <c r="AU769" s="176"/>
      <c r="AV769" s="176"/>
      <c r="AW769" s="176"/>
      <c r="AX769" s="176"/>
      <c r="AY769" s="176"/>
      <c r="AZ769" s="176"/>
      <c r="BA769" s="176"/>
      <c r="BB769" s="176"/>
      <c r="BC769" s="176"/>
      <c r="BD769" s="176"/>
      <c r="BE769" s="176"/>
      <c r="BF769" s="176"/>
      <c r="BG769" s="176"/>
      <c r="BH769" s="176"/>
      <c r="BI769" s="176"/>
      <c r="BJ769" s="176"/>
    </row>
    <row r="770" spans="2:62" x14ac:dyDescent="0.3">
      <c r="B770" s="3"/>
      <c r="C770" s="2"/>
      <c r="D770" s="2"/>
      <c r="E770" s="3"/>
      <c r="O770" s="176"/>
      <c r="P770" s="176"/>
      <c r="Q770" s="176"/>
      <c r="R770" s="176"/>
      <c r="S770" s="176"/>
      <c r="T770" s="176"/>
      <c r="U770" s="176"/>
      <c r="V770" s="176"/>
      <c r="W770" s="176"/>
      <c r="X770" s="176"/>
      <c r="Y770" s="176"/>
      <c r="Z770" s="176"/>
      <c r="AA770" s="176"/>
      <c r="AB770" s="176"/>
      <c r="AC770" s="176"/>
      <c r="AD770" s="176"/>
      <c r="AE770" s="176"/>
      <c r="AF770" s="176"/>
      <c r="AG770" s="176"/>
      <c r="AH770" s="176"/>
      <c r="AI770" s="176"/>
      <c r="AJ770" s="176"/>
      <c r="AK770" s="176"/>
      <c r="AL770" s="176"/>
      <c r="AM770" s="176"/>
      <c r="AN770" s="176"/>
      <c r="AO770" s="176"/>
      <c r="AP770" s="176"/>
      <c r="AQ770" s="176"/>
      <c r="AR770" s="176"/>
      <c r="AS770" s="176"/>
      <c r="AT770" s="176"/>
      <c r="AU770" s="176"/>
      <c r="AV770" s="176"/>
      <c r="AW770" s="176"/>
      <c r="AX770" s="176"/>
      <c r="AY770" s="176"/>
      <c r="AZ770" s="176"/>
      <c r="BA770" s="176"/>
      <c r="BB770" s="176"/>
      <c r="BC770" s="176"/>
      <c r="BD770" s="176"/>
      <c r="BE770" s="176"/>
      <c r="BF770" s="176"/>
      <c r="BG770" s="176"/>
      <c r="BH770" s="176"/>
      <c r="BI770" s="176"/>
      <c r="BJ770" s="176"/>
    </row>
    <row r="771" spans="2:62" x14ac:dyDescent="0.3">
      <c r="B771" s="3"/>
      <c r="C771" s="2"/>
      <c r="D771" s="2"/>
      <c r="E771" s="3"/>
      <c r="O771" s="176"/>
      <c r="P771" s="176"/>
      <c r="Q771" s="176"/>
      <c r="R771" s="176"/>
      <c r="S771" s="176"/>
      <c r="T771" s="176"/>
      <c r="U771" s="176"/>
      <c r="V771" s="176"/>
      <c r="W771" s="176"/>
      <c r="X771" s="176"/>
      <c r="Y771" s="176"/>
      <c r="Z771" s="176"/>
      <c r="AA771" s="176"/>
      <c r="AB771" s="176"/>
      <c r="AC771" s="176"/>
      <c r="AD771" s="176"/>
      <c r="AE771" s="176"/>
      <c r="AF771" s="176"/>
      <c r="AG771" s="176"/>
      <c r="AH771" s="176"/>
      <c r="AI771" s="176"/>
      <c r="AJ771" s="176"/>
      <c r="AK771" s="176"/>
      <c r="AL771" s="176"/>
      <c r="AM771" s="176"/>
      <c r="AN771" s="176"/>
      <c r="AO771" s="176"/>
      <c r="AP771" s="176"/>
      <c r="AQ771" s="176"/>
      <c r="AR771" s="176"/>
      <c r="AS771" s="176"/>
      <c r="AT771" s="176"/>
      <c r="AU771" s="176"/>
      <c r="AV771" s="176"/>
      <c r="AW771" s="176"/>
      <c r="AX771" s="176"/>
      <c r="AY771" s="176"/>
      <c r="AZ771" s="176"/>
      <c r="BA771" s="176"/>
      <c r="BB771" s="176"/>
      <c r="BC771" s="176"/>
      <c r="BD771" s="176"/>
      <c r="BE771" s="176"/>
      <c r="BF771" s="176"/>
      <c r="BG771" s="176"/>
      <c r="BH771" s="176"/>
      <c r="BI771" s="176"/>
      <c r="BJ771" s="176"/>
    </row>
    <row r="772" spans="2:62" x14ac:dyDescent="0.3">
      <c r="B772" s="3"/>
      <c r="C772" s="2"/>
      <c r="D772" s="2"/>
      <c r="E772" s="3"/>
      <c r="O772" s="176"/>
      <c r="P772" s="176"/>
      <c r="Q772" s="176"/>
      <c r="R772" s="176"/>
      <c r="S772" s="176"/>
      <c r="T772" s="176"/>
      <c r="U772" s="176"/>
      <c r="V772" s="176"/>
      <c r="W772" s="176"/>
      <c r="X772" s="176"/>
      <c r="Y772" s="176"/>
      <c r="Z772" s="176"/>
      <c r="AA772" s="176"/>
      <c r="AB772" s="176"/>
      <c r="AC772" s="176"/>
      <c r="AD772" s="176"/>
      <c r="AE772" s="176"/>
      <c r="AF772" s="176"/>
      <c r="AG772" s="176"/>
      <c r="AH772" s="176"/>
      <c r="AI772" s="176"/>
      <c r="AJ772" s="176"/>
      <c r="AK772" s="176"/>
      <c r="AL772" s="176"/>
      <c r="AM772" s="176"/>
      <c r="AN772" s="176"/>
      <c r="AO772" s="176"/>
      <c r="AP772" s="176"/>
      <c r="AQ772" s="176"/>
      <c r="AR772" s="176"/>
      <c r="AS772" s="176"/>
      <c r="AT772" s="176"/>
      <c r="AU772" s="176"/>
      <c r="AV772" s="176"/>
      <c r="AW772" s="176"/>
      <c r="AX772" s="176"/>
      <c r="AY772" s="176"/>
      <c r="AZ772" s="176"/>
      <c r="BA772" s="176"/>
      <c r="BB772" s="176"/>
      <c r="BC772" s="176"/>
      <c r="BD772" s="176"/>
      <c r="BE772" s="176"/>
      <c r="BF772" s="176"/>
      <c r="BG772" s="176"/>
      <c r="BH772" s="176"/>
      <c r="BI772" s="176"/>
      <c r="BJ772" s="176"/>
    </row>
    <row r="773" spans="2:62" x14ac:dyDescent="0.3">
      <c r="B773" s="3"/>
      <c r="C773" s="2"/>
      <c r="D773" s="2"/>
      <c r="E773" s="3"/>
      <c r="O773" s="176"/>
      <c r="P773" s="176"/>
      <c r="Q773" s="176"/>
      <c r="R773" s="176"/>
      <c r="S773" s="176"/>
      <c r="T773" s="176"/>
      <c r="U773" s="176"/>
      <c r="V773" s="176"/>
      <c r="W773" s="176"/>
      <c r="X773" s="176"/>
      <c r="Y773" s="176"/>
      <c r="Z773" s="176"/>
      <c r="AA773" s="176"/>
      <c r="AB773" s="176"/>
      <c r="AC773" s="176"/>
      <c r="AD773" s="176"/>
      <c r="AE773" s="176"/>
      <c r="AF773" s="176"/>
      <c r="AG773" s="176"/>
      <c r="AH773" s="176"/>
      <c r="AI773" s="176"/>
      <c r="AJ773" s="176"/>
      <c r="AK773" s="176"/>
      <c r="AL773" s="176"/>
      <c r="AM773" s="176"/>
      <c r="AN773" s="176"/>
      <c r="AO773" s="176"/>
      <c r="AP773" s="176"/>
      <c r="AQ773" s="176"/>
      <c r="AR773" s="176"/>
      <c r="AS773" s="176"/>
      <c r="AT773" s="176"/>
      <c r="AU773" s="176"/>
      <c r="AV773" s="176"/>
      <c r="AW773" s="176"/>
      <c r="AX773" s="176"/>
      <c r="AY773" s="176"/>
      <c r="AZ773" s="176"/>
      <c r="BA773" s="176"/>
      <c r="BB773" s="176"/>
      <c r="BC773" s="176"/>
      <c r="BD773" s="176"/>
      <c r="BE773" s="176"/>
      <c r="BF773" s="176"/>
      <c r="BG773" s="176"/>
      <c r="BH773" s="176"/>
      <c r="BI773" s="176"/>
      <c r="BJ773" s="176"/>
    </row>
    <row r="774" spans="2:62" x14ac:dyDescent="0.3">
      <c r="B774" s="3"/>
      <c r="C774" s="2"/>
      <c r="D774" s="2"/>
      <c r="E774" s="3"/>
      <c r="O774" s="176"/>
      <c r="P774" s="176"/>
      <c r="Q774" s="176"/>
      <c r="R774" s="176"/>
      <c r="S774" s="176"/>
      <c r="T774" s="176"/>
      <c r="U774" s="176"/>
      <c r="V774" s="176"/>
      <c r="W774" s="176"/>
      <c r="X774" s="176"/>
      <c r="Y774" s="176"/>
      <c r="Z774" s="176"/>
      <c r="AA774" s="176"/>
      <c r="AB774" s="176"/>
      <c r="AC774" s="176"/>
      <c r="AD774" s="176"/>
      <c r="AE774" s="176"/>
      <c r="AF774" s="176"/>
      <c r="AG774" s="176"/>
      <c r="AH774" s="176"/>
      <c r="AI774" s="176"/>
      <c r="AJ774" s="176"/>
      <c r="AK774" s="176"/>
      <c r="AL774" s="176"/>
      <c r="AM774" s="176"/>
      <c r="AN774" s="176"/>
      <c r="AO774" s="176"/>
      <c r="AP774" s="176"/>
      <c r="AQ774" s="176"/>
      <c r="AR774" s="176"/>
      <c r="AS774" s="176"/>
      <c r="AT774" s="176"/>
      <c r="AU774" s="176"/>
      <c r="AV774" s="176"/>
      <c r="AW774" s="176"/>
      <c r="AX774" s="176"/>
      <c r="AY774" s="176"/>
      <c r="AZ774" s="176"/>
      <c r="BA774" s="176"/>
      <c r="BB774" s="176"/>
      <c r="BC774" s="176"/>
      <c r="BD774" s="176"/>
      <c r="BE774" s="176"/>
      <c r="BF774" s="176"/>
      <c r="BG774" s="176"/>
      <c r="BH774" s="176"/>
      <c r="BI774" s="176"/>
      <c r="BJ774" s="176"/>
    </row>
    <row r="775" spans="2:62" x14ac:dyDescent="0.3">
      <c r="B775" s="3"/>
      <c r="C775" s="2"/>
      <c r="D775" s="2"/>
      <c r="E775" s="3"/>
      <c r="O775" s="176"/>
      <c r="P775" s="176"/>
      <c r="Q775" s="176"/>
      <c r="R775" s="176"/>
      <c r="S775" s="176"/>
      <c r="T775" s="176"/>
      <c r="U775" s="176"/>
      <c r="V775" s="176"/>
      <c r="W775" s="176"/>
      <c r="X775" s="176"/>
      <c r="Y775" s="176"/>
      <c r="Z775" s="176"/>
      <c r="AA775" s="176"/>
      <c r="AB775" s="176"/>
      <c r="AC775" s="176"/>
      <c r="AD775" s="176"/>
      <c r="AE775" s="176"/>
      <c r="AF775" s="176"/>
      <c r="AG775" s="176"/>
      <c r="AH775" s="176"/>
      <c r="AI775" s="176"/>
      <c r="AJ775" s="176"/>
      <c r="AK775" s="176"/>
      <c r="AL775" s="176"/>
      <c r="AM775" s="176"/>
      <c r="AN775" s="176"/>
      <c r="AO775" s="176"/>
      <c r="AP775" s="176"/>
      <c r="AQ775" s="176"/>
      <c r="AR775" s="176"/>
      <c r="AS775" s="176"/>
      <c r="AT775" s="176"/>
      <c r="AU775" s="176"/>
      <c r="AV775" s="176"/>
      <c r="AW775" s="176"/>
      <c r="AX775" s="176"/>
      <c r="AY775" s="176"/>
      <c r="AZ775" s="176"/>
      <c r="BA775" s="176"/>
      <c r="BB775" s="176"/>
      <c r="BC775" s="176"/>
      <c r="BD775" s="176"/>
      <c r="BE775" s="176"/>
      <c r="BF775" s="176"/>
      <c r="BG775" s="176"/>
      <c r="BH775" s="176"/>
      <c r="BI775" s="176"/>
      <c r="BJ775" s="176"/>
    </row>
    <row r="776" spans="2:62" x14ac:dyDescent="0.3">
      <c r="B776" s="3"/>
      <c r="C776" s="2"/>
      <c r="D776" s="2"/>
      <c r="E776" s="3"/>
      <c r="O776" s="176"/>
      <c r="P776" s="176"/>
      <c r="Q776" s="176"/>
      <c r="R776" s="176"/>
      <c r="S776" s="176"/>
      <c r="T776" s="176"/>
      <c r="U776" s="176"/>
      <c r="V776" s="176"/>
      <c r="W776" s="176"/>
      <c r="X776" s="176"/>
      <c r="Y776" s="176"/>
      <c r="Z776" s="176"/>
      <c r="AA776" s="176"/>
      <c r="AB776" s="176"/>
      <c r="AC776" s="176"/>
      <c r="AD776" s="176"/>
      <c r="AE776" s="176"/>
      <c r="AF776" s="176"/>
      <c r="AG776" s="176"/>
      <c r="AH776" s="176"/>
      <c r="AI776" s="176"/>
      <c r="AJ776" s="176"/>
      <c r="AK776" s="176"/>
      <c r="AL776" s="176"/>
      <c r="AM776" s="176"/>
      <c r="AN776" s="176"/>
      <c r="AO776" s="176"/>
      <c r="AP776" s="176"/>
      <c r="AQ776" s="176"/>
      <c r="AR776" s="176"/>
      <c r="AS776" s="176"/>
      <c r="AT776" s="176"/>
      <c r="AU776" s="176"/>
      <c r="AV776" s="176"/>
      <c r="AW776" s="176"/>
      <c r="AX776" s="176"/>
      <c r="AY776" s="176"/>
      <c r="AZ776" s="176"/>
      <c r="BA776" s="176"/>
      <c r="BB776" s="176"/>
      <c r="BC776" s="176"/>
      <c r="BD776" s="176"/>
      <c r="BE776" s="176"/>
      <c r="BF776" s="176"/>
      <c r="BG776" s="176"/>
      <c r="BH776" s="176"/>
      <c r="BI776" s="176"/>
      <c r="BJ776" s="176"/>
    </row>
    <row r="777" spans="2:62" x14ac:dyDescent="0.3">
      <c r="B777" s="3"/>
      <c r="C777" s="2"/>
      <c r="D777" s="2"/>
      <c r="E777" s="3"/>
      <c r="O777" s="176"/>
      <c r="P777" s="176"/>
      <c r="Q777" s="176"/>
      <c r="R777" s="176"/>
      <c r="S777" s="176"/>
      <c r="T777" s="176"/>
      <c r="U777" s="176"/>
      <c r="V777" s="176"/>
      <c r="W777" s="176"/>
      <c r="X777" s="176"/>
      <c r="Y777" s="176"/>
      <c r="Z777" s="176"/>
      <c r="AA777" s="176"/>
      <c r="AB777" s="176"/>
      <c r="AC777" s="176"/>
      <c r="AD777" s="176"/>
      <c r="AE777" s="176"/>
      <c r="AF777" s="176"/>
      <c r="AG777" s="176"/>
      <c r="AH777" s="176"/>
      <c r="AI777" s="176"/>
      <c r="AJ777" s="176"/>
      <c r="AK777" s="176"/>
      <c r="AL777" s="176"/>
      <c r="AM777" s="176"/>
      <c r="AN777" s="176"/>
      <c r="AO777" s="176"/>
      <c r="AP777" s="176"/>
      <c r="AQ777" s="176"/>
      <c r="AR777" s="176"/>
      <c r="AS777" s="176"/>
      <c r="AT777" s="176"/>
      <c r="AU777" s="176"/>
      <c r="AV777" s="176"/>
      <c r="AW777" s="176"/>
      <c r="AX777" s="176"/>
      <c r="AY777" s="176"/>
      <c r="AZ777" s="176"/>
      <c r="BA777" s="176"/>
      <c r="BB777" s="176"/>
      <c r="BC777" s="176"/>
      <c r="BD777" s="176"/>
      <c r="BE777" s="176"/>
      <c r="BF777" s="176"/>
      <c r="BG777" s="176"/>
      <c r="BH777" s="176"/>
      <c r="BI777" s="176"/>
      <c r="BJ777" s="176"/>
    </row>
    <row r="778" spans="2:62" x14ac:dyDescent="0.3">
      <c r="B778" s="3"/>
      <c r="C778" s="2"/>
      <c r="D778" s="2"/>
      <c r="E778" s="3"/>
      <c r="O778" s="176"/>
      <c r="P778" s="176"/>
      <c r="Q778" s="176"/>
      <c r="R778" s="176"/>
      <c r="S778" s="176"/>
      <c r="T778" s="176"/>
      <c r="U778" s="176"/>
      <c r="V778" s="176"/>
      <c r="W778" s="176"/>
      <c r="X778" s="176"/>
      <c r="Y778" s="176"/>
      <c r="Z778" s="176"/>
      <c r="AA778" s="176"/>
      <c r="AB778" s="176"/>
      <c r="AC778" s="176"/>
      <c r="AD778" s="176"/>
      <c r="AE778" s="176"/>
      <c r="AF778" s="176"/>
      <c r="AG778" s="176"/>
      <c r="AH778" s="176"/>
      <c r="AI778" s="176"/>
      <c r="AJ778" s="176"/>
      <c r="AK778" s="176"/>
      <c r="AL778" s="176"/>
      <c r="AM778" s="176"/>
      <c r="AN778" s="176"/>
      <c r="AO778" s="176"/>
      <c r="AP778" s="176"/>
      <c r="AQ778" s="176"/>
      <c r="AR778" s="176"/>
      <c r="AS778" s="176"/>
      <c r="AT778" s="176"/>
      <c r="AU778" s="176"/>
      <c r="AV778" s="176"/>
      <c r="AW778" s="176"/>
      <c r="AX778" s="176"/>
      <c r="AY778" s="176"/>
      <c r="AZ778" s="176"/>
      <c r="BA778" s="176"/>
      <c r="BB778" s="176"/>
      <c r="BC778" s="176"/>
      <c r="BD778" s="176"/>
      <c r="BE778" s="176"/>
      <c r="BF778" s="176"/>
      <c r="BG778" s="176"/>
      <c r="BH778" s="176"/>
      <c r="BI778" s="176"/>
      <c r="BJ778" s="176"/>
    </row>
    <row r="779" spans="2:62" x14ac:dyDescent="0.3">
      <c r="B779" s="3"/>
      <c r="C779" s="2"/>
      <c r="D779" s="2"/>
      <c r="E779" s="3"/>
      <c r="O779" s="176"/>
      <c r="P779" s="176"/>
      <c r="Q779" s="176"/>
      <c r="R779" s="176"/>
      <c r="S779" s="176"/>
      <c r="T779" s="176"/>
      <c r="U779" s="176"/>
      <c r="V779" s="176"/>
      <c r="W779" s="176"/>
      <c r="X779" s="176"/>
      <c r="Y779" s="176"/>
      <c r="Z779" s="176"/>
      <c r="AA779" s="176"/>
      <c r="AB779" s="176"/>
      <c r="AC779" s="176"/>
      <c r="AD779" s="176"/>
      <c r="AE779" s="176"/>
      <c r="AF779" s="176"/>
      <c r="AG779" s="176"/>
      <c r="AH779" s="176"/>
      <c r="AI779" s="176"/>
      <c r="AJ779" s="176"/>
      <c r="AK779" s="176"/>
      <c r="AL779" s="176"/>
      <c r="AM779" s="176"/>
      <c r="AN779" s="176"/>
      <c r="AO779" s="176"/>
      <c r="AP779" s="176"/>
      <c r="AQ779" s="176"/>
      <c r="AR779" s="176"/>
      <c r="AS779" s="176"/>
      <c r="AT779" s="176"/>
      <c r="AU779" s="176"/>
      <c r="AV779" s="176"/>
      <c r="AW779" s="176"/>
      <c r="AX779" s="176"/>
      <c r="AY779" s="176"/>
      <c r="AZ779" s="176"/>
      <c r="BA779" s="176"/>
      <c r="BB779" s="176"/>
      <c r="BC779" s="176"/>
      <c r="BD779" s="176"/>
      <c r="BE779" s="176"/>
      <c r="BF779" s="176"/>
      <c r="BG779" s="176"/>
      <c r="BH779" s="176"/>
      <c r="BI779" s="176"/>
      <c r="BJ779" s="176"/>
    </row>
    <row r="780" spans="2:62" x14ac:dyDescent="0.3">
      <c r="B780" s="3"/>
      <c r="C780" s="2"/>
      <c r="D780" s="2"/>
      <c r="E780" s="3"/>
      <c r="O780" s="176"/>
      <c r="P780" s="176"/>
      <c r="Q780" s="176"/>
      <c r="R780" s="176"/>
      <c r="S780" s="176"/>
      <c r="T780" s="176"/>
      <c r="U780" s="176"/>
      <c r="V780" s="176"/>
      <c r="W780" s="176"/>
      <c r="X780" s="176"/>
      <c r="Y780" s="176"/>
      <c r="Z780" s="176"/>
      <c r="AA780" s="176"/>
      <c r="AB780" s="176"/>
      <c r="AC780" s="176"/>
      <c r="AD780" s="176"/>
      <c r="AE780" s="176"/>
      <c r="AF780" s="176"/>
      <c r="AG780" s="176"/>
      <c r="AH780" s="176"/>
      <c r="AI780" s="176"/>
      <c r="AJ780" s="176"/>
      <c r="AK780" s="176"/>
      <c r="AL780" s="176"/>
      <c r="AM780" s="176"/>
      <c r="AN780" s="176"/>
      <c r="AO780" s="176"/>
      <c r="AP780" s="176"/>
      <c r="AQ780" s="176"/>
      <c r="AR780" s="176"/>
      <c r="AS780" s="176"/>
      <c r="AT780" s="176"/>
      <c r="AU780" s="176"/>
      <c r="AV780" s="176"/>
      <c r="AW780" s="176"/>
      <c r="AX780" s="176"/>
      <c r="AY780" s="176"/>
      <c r="AZ780" s="176"/>
      <c r="BA780" s="176"/>
      <c r="BB780" s="176"/>
      <c r="BC780" s="176"/>
      <c r="BD780" s="176"/>
      <c r="BE780" s="176"/>
      <c r="BF780" s="176"/>
      <c r="BG780" s="176"/>
      <c r="BH780" s="176"/>
      <c r="BI780" s="176"/>
      <c r="BJ780" s="176"/>
    </row>
    <row r="781" spans="2:62" x14ac:dyDescent="0.3">
      <c r="B781" s="3"/>
      <c r="C781" s="2"/>
      <c r="D781" s="2"/>
      <c r="E781" s="3"/>
      <c r="O781" s="176"/>
      <c r="P781" s="176"/>
      <c r="Q781" s="176"/>
      <c r="R781" s="176"/>
      <c r="S781" s="176"/>
      <c r="T781" s="176"/>
      <c r="U781" s="176"/>
      <c r="V781" s="176"/>
      <c r="W781" s="176"/>
      <c r="X781" s="176"/>
      <c r="Y781" s="176"/>
      <c r="Z781" s="176"/>
      <c r="AA781" s="176"/>
      <c r="AB781" s="176"/>
      <c r="AC781" s="176"/>
      <c r="AD781" s="176"/>
      <c r="AE781" s="176"/>
      <c r="AF781" s="176"/>
      <c r="AG781" s="176"/>
      <c r="AH781" s="176"/>
      <c r="AI781" s="176"/>
      <c r="AJ781" s="176"/>
      <c r="AK781" s="176"/>
      <c r="AL781" s="176"/>
      <c r="AM781" s="176"/>
      <c r="AN781" s="176"/>
      <c r="AO781" s="176"/>
      <c r="AP781" s="176"/>
      <c r="AQ781" s="176"/>
      <c r="AR781" s="176"/>
      <c r="AS781" s="176"/>
      <c r="AT781" s="176"/>
      <c r="AU781" s="176"/>
      <c r="AV781" s="176"/>
      <c r="AW781" s="176"/>
      <c r="AX781" s="176"/>
      <c r="AY781" s="176"/>
      <c r="AZ781" s="176"/>
      <c r="BA781" s="176"/>
      <c r="BB781" s="176"/>
      <c r="BC781" s="176"/>
      <c r="BD781" s="176"/>
      <c r="BE781" s="176"/>
      <c r="BF781" s="176"/>
      <c r="BG781" s="176"/>
      <c r="BH781" s="176"/>
      <c r="BI781" s="176"/>
      <c r="BJ781" s="176"/>
    </row>
    <row r="782" spans="2:62" x14ac:dyDescent="0.3">
      <c r="B782" s="3"/>
      <c r="C782" s="2"/>
      <c r="D782" s="2"/>
      <c r="E782" s="3"/>
      <c r="O782" s="176"/>
      <c r="P782" s="176"/>
      <c r="Q782" s="176"/>
      <c r="R782" s="176"/>
      <c r="S782" s="176"/>
      <c r="T782" s="176"/>
      <c r="U782" s="176"/>
      <c r="V782" s="176"/>
      <c r="W782" s="176"/>
      <c r="X782" s="176"/>
      <c r="Y782" s="176"/>
      <c r="Z782" s="176"/>
      <c r="AA782" s="176"/>
      <c r="AB782" s="176"/>
      <c r="AC782" s="176"/>
      <c r="AD782" s="176"/>
      <c r="AE782" s="176"/>
      <c r="AF782" s="176"/>
      <c r="AG782" s="176"/>
      <c r="AH782" s="176"/>
      <c r="AI782" s="176"/>
      <c r="AJ782" s="176"/>
      <c r="AK782" s="176"/>
      <c r="AL782" s="176"/>
      <c r="AM782" s="176"/>
      <c r="AN782" s="176"/>
      <c r="AO782" s="176"/>
      <c r="AP782" s="176"/>
      <c r="AQ782" s="176"/>
      <c r="AR782" s="176"/>
      <c r="AS782" s="176"/>
      <c r="AT782" s="176"/>
      <c r="AU782" s="176"/>
      <c r="AV782" s="176"/>
      <c r="AW782" s="176"/>
      <c r="AX782" s="176"/>
      <c r="AY782" s="176"/>
      <c r="AZ782" s="176"/>
      <c r="BA782" s="176"/>
      <c r="BB782" s="176"/>
      <c r="BC782" s="176"/>
      <c r="BD782" s="176"/>
      <c r="BE782" s="176"/>
      <c r="BF782" s="176"/>
      <c r="BG782" s="176"/>
      <c r="BH782" s="176"/>
      <c r="BI782" s="176"/>
      <c r="BJ782" s="176"/>
    </row>
    <row r="783" spans="2:62" x14ac:dyDescent="0.3">
      <c r="B783" s="3"/>
      <c r="C783" s="2"/>
      <c r="D783" s="2"/>
      <c r="E783" s="3"/>
      <c r="O783" s="176"/>
      <c r="P783" s="176"/>
      <c r="Q783" s="176"/>
      <c r="R783" s="176"/>
      <c r="S783" s="176"/>
      <c r="T783" s="176"/>
      <c r="U783" s="176"/>
      <c r="V783" s="176"/>
      <c r="W783" s="176"/>
      <c r="X783" s="176"/>
      <c r="Y783" s="176"/>
      <c r="Z783" s="176"/>
      <c r="AA783" s="176"/>
      <c r="AB783" s="176"/>
      <c r="AC783" s="176"/>
      <c r="AD783" s="176"/>
      <c r="AE783" s="176"/>
      <c r="AF783" s="176"/>
      <c r="AG783" s="176"/>
      <c r="AH783" s="176"/>
      <c r="AI783" s="176"/>
      <c r="AJ783" s="176"/>
      <c r="AK783" s="176"/>
      <c r="AL783" s="176"/>
      <c r="AM783" s="176"/>
      <c r="AN783" s="176"/>
      <c r="AO783" s="176"/>
      <c r="AP783" s="176"/>
      <c r="AQ783" s="176"/>
      <c r="AR783" s="176"/>
      <c r="AS783" s="176"/>
      <c r="AT783" s="176"/>
      <c r="AU783" s="176"/>
      <c r="AV783" s="176"/>
      <c r="AW783" s="176"/>
      <c r="AX783" s="176"/>
      <c r="AY783" s="176"/>
      <c r="AZ783" s="176"/>
      <c r="BA783" s="176"/>
      <c r="BB783" s="176"/>
      <c r="BC783" s="176"/>
      <c r="BD783" s="176"/>
      <c r="BE783" s="176"/>
      <c r="BF783" s="176"/>
      <c r="BG783" s="176"/>
      <c r="BH783" s="176"/>
      <c r="BI783" s="176"/>
      <c r="BJ783" s="176"/>
    </row>
    <row r="784" spans="2:62" x14ac:dyDescent="0.3">
      <c r="B784" s="3"/>
      <c r="C784" s="2"/>
      <c r="D784" s="2"/>
      <c r="E784" s="3"/>
      <c r="O784" s="176"/>
      <c r="P784" s="176"/>
      <c r="Q784" s="176"/>
      <c r="R784" s="176"/>
      <c r="S784" s="176"/>
      <c r="T784" s="176"/>
      <c r="U784" s="176"/>
      <c r="V784" s="176"/>
      <c r="W784" s="176"/>
      <c r="X784" s="176"/>
      <c r="Y784" s="176"/>
      <c r="Z784" s="176"/>
      <c r="AA784" s="176"/>
      <c r="AB784" s="176"/>
      <c r="AC784" s="176"/>
      <c r="AD784" s="176"/>
      <c r="AE784" s="176"/>
      <c r="AF784" s="176"/>
      <c r="AG784" s="176"/>
      <c r="AH784" s="176"/>
      <c r="AI784" s="176"/>
      <c r="AJ784" s="176"/>
      <c r="AK784" s="176"/>
      <c r="AL784" s="176"/>
      <c r="AM784" s="176"/>
      <c r="AN784" s="176"/>
      <c r="AO784" s="176"/>
      <c r="AP784" s="176"/>
      <c r="AQ784" s="176"/>
      <c r="AR784" s="176"/>
      <c r="AS784" s="176"/>
      <c r="AT784" s="176"/>
      <c r="AU784" s="176"/>
      <c r="AV784" s="176"/>
      <c r="AW784" s="176"/>
      <c r="AX784" s="176"/>
      <c r="AY784" s="176"/>
      <c r="AZ784" s="176"/>
      <c r="BA784" s="176"/>
      <c r="BB784" s="176"/>
      <c r="BC784" s="176"/>
      <c r="BD784" s="176"/>
      <c r="BE784" s="176"/>
      <c r="BF784" s="176"/>
      <c r="BG784" s="176"/>
      <c r="BH784" s="176"/>
      <c r="BI784" s="176"/>
      <c r="BJ784" s="176"/>
    </row>
    <row r="785" spans="2:62" x14ac:dyDescent="0.3">
      <c r="B785" s="3"/>
      <c r="C785" s="2"/>
      <c r="D785" s="2"/>
      <c r="E785" s="3"/>
      <c r="O785" s="176"/>
      <c r="P785" s="176"/>
      <c r="Q785" s="176"/>
      <c r="R785" s="176"/>
      <c r="S785" s="176"/>
      <c r="T785" s="176"/>
      <c r="U785" s="176"/>
      <c r="V785" s="176"/>
      <c r="W785" s="176"/>
      <c r="X785" s="176"/>
      <c r="Y785" s="176"/>
      <c r="Z785" s="176"/>
      <c r="AA785" s="176"/>
      <c r="AB785" s="176"/>
      <c r="AC785" s="176"/>
      <c r="AD785" s="176"/>
      <c r="AE785" s="176"/>
      <c r="AF785" s="176"/>
      <c r="AG785" s="176"/>
      <c r="AH785" s="176"/>
      <c r="AI785" s="176"/>
      <c r="AJ785" s="176"/>
      <c r="AK785" s="176"/>
      <c r="AL785" s="176"/>
      <c r="AM785" s="176"/>
      <c r="AN785" s="176"/>
      <c r="AO785" s="176"/>
      <c r="AP785" s="176"/>
      <c r="AQ785" s="176"/>
      <c r="AR785" s="176"/>
      <c r="AS785" s="176"/>
      <c r="AT785" s="176"/>
      <c r="AU785" s="176"/>
      <c r="AV785" s="176"/>
      <c r="AW785" s="176"/>
      <c r="AX785" s="176"/>
      <c r="AY785" s="176"/>
      <c r="AZ785" s="176"/>
      <c r="BA785" s="176"/>
      <c r="BB785" s="176"/>
      <c r="BC785" s="176"/>
      <c r="BD785" s="176"/>
      <c r="BE785" s="176"/>
      <c r="BF785" s="176"/>
      <c r="BG785" s="176"/>
      <c r="BH785" s="176"/>
      <c r="BI785" s="176"/>
      <c r="BJ785" s="176"/>
    </row>
    <row r="786" spans="2:62" x14ac:dyDescent="0.3">
      <c r="B786" s="3"/>
      <c r="C786" s="2"/>
      <c r="D786" s="2"/>
      <c r="E786" s="3"/>
      <c r="O786" s="176"/>
      <c r="P786" s="176"/>
      <c r="Q786" s="176"/>
      <c r="R786" s="176"/>
      <c r="S786" s="176"/>
      <c r="T786" s="176"/>
      <c r="U786" s="176"/>
      <c r="V786" s="176"/>
      <c r="W786" s="176"/>
      <c r="X786" s="176"/>
      <c r="Y786" s="176"/>
      <c r="Z786" s="176"/>
      <c r="AA786" s="176"/>
      <c r="AB786" s="176"/>
      <c r="AC786" s="176"/>
      <c r="AD786" s="176"/>
      <c r="AE786" s="176"/>
      <c r="AF786" s="176"/>
      <c r="AG786" s="176"/>
      <c r="AH786" s="176"/>
      <c r="AI786" s="176"/>
      <c r="AJ786" s="176"/>
      <c r="AK786" s="176"/>
      <c r="AL786" s="176"/>
      <c r="AM786" s="176"/>
      <c r="AN786" s="176"/>
      <c r="AO786" s="176"/>
      <c r="AP786" s="176"/>
      <c r="AQ786" s="176"/>
      <c r="AR786" s="176"/>
      <c r="AS786" s="176"/>
      <c r="AT786" s="176"/>
      <c r="AU786" s="176"/>
      <c r="AV786" s="176"/>
      <c r="AW786" s="176"/>
      <c r="AX786" s="176"/>
      <c r="AY786" s="176"/>
      <c r="AZ786" s="176"/>
      <c r="BA786" s="176"/>
      <c r="BB786" s="176"/>
      <c r="BC786" s="176"/>
      <c r="BD786" s="176"/>
      <c r="BE786" s="176"/>
      <c r="BF786" s="176"/>
      <c r="BG786" s="176"/>
      <c r="BH786" s="176"/>
      <c r="BI786" s="176"/>
      <c r="BJ786" s="176"/>
    </row>
    <row r="787" spans="2:62" x14ac:dyDescent="0.3">
      <c r="B787" s="3"/>
      <c r="C787" s="2"/>
      <c r="D787" s="2"/>
      <c r="E787" s="3"/>
      <c r="O787" s="176"/>
      <c r="P787" s="176"/>
      <c r="Q787" s="176"/>
      <c r="R787" s="176"/>
      <c r="S787" s="176"/>
      <c r="T787" s="176"/>
      <c r="U787" s="176"/>
      <c r="V787" s="176"/>
      <c r="W787" s="176"/>
      <c r="X787" s="176"/>
      <c r="Y787" s="176"/>
      <c r="Z787" s="176"/>
      <c r="AA787" s="176"/>
      <c r="AB787" s="176"/>
      <c r="AC787" s="176"/>
      <c r="AD787" s="176"/>
      <c r="AE787" s="176"/>
      <c r="AF787" s="176"/>
      <c r="AG787" s="176"/>
      <c r="AH787" s="176"/>
      <c r="AI787" s="176"/>
      <c r="AJ787" s="176"/>
      <c r="AK787" s="176"/>
      <c r="AL787" s="176"/>
      <c r="AM787" s="176"/>
      <c r="AN787" s="176"/>
      <c r="AO787" s="176"/>
      <c r="AP787" s="176"/>
      <c r="AQ787" s="176"/>
      <c r="AR787" s="176"/>
      <c r="AS787" s="176"/>
      <c r="AT787" s="176"/>
      <c r="AU787" s="176"/>
      <c r="AV787" s="176"/>
      <c r="AW787" s="176"/>
      <c r="AX787" s="176"/>
      <c r="AY787" s="176"/>
      <c r="AZ787" s="176"/>
      <c r="BA787" s="176"/>
      <c r="BB787" s="176"/>
      <c r="BC787" s="176"/>
      <c r="BD787" s="176"/>
      <c r="BE787" s="176"/>
      <c r="BF787" s="176"/>
      <c r="BG787" s="176"/>
      <c r="BH787" s="176"/>
      <c r="BI787" s="176"/>
      <c r="BJ787" s="176"/>
    </row>
    <row r="788" spans="2:62" x14ac:dyDescent="0.3">
      <c r="B788" s="3"/>
      <c r="C788" s="2"/>
      <c r="D788" s="2"/>
      <c r="E788" s="3"/>
      <c r="O788" s="176"/>
      <c r="P788" s="176"/>
      <c r="Q788" s="176"/>
      <c r="R788" s="176"/>
      <c r="S788" s="176"/>
      <c r="T788" s="176"/>
      <c r="U788" s="176"/>
      <c r="V788" s="176"/>
      <c r="W788" s="176"/>
      <c r="X788" s="176"/>
      <c r="Y788" s="176"/>
      <c r="Z788" s="176"/>
      <c r="AA788" s="176"/>
      <c r="AB788" s="176"/>
      <c r="AC788" s="176"/>
      <c r="AD788" s="176"/>
      <c r="AE788" s="176"/>
      <c r="AF788" s="176"/>
      <c r="AG788" s="176"/>
      <c r="AH788" s="176"/>
      <c r="AI788" s="176"/>
      <c r="AJ788" s="176"/>
      <c r="AK788" s="176"/>
      <c r="AL788" s="176"/>
      <c r="AM788" s="176"/>
      <c r="AN788" s="176"/>
      <c r="AO788" s="176"/>
      <c r="AP788" s="176"/>
      <c r="AQ788" s="176"/>
      <c r="AR788" s="176"/>
      <c r="AS788" s="176"/>
      <c r="AT788" s="176"/>
      <c r="AU788" s="176"/>
      <c r="AV788" s="176"/>
      <c r="AW788" s="176"/>
      <c r="AX788" s="176"/>
      <c r="AY788" s="176"/>
      <c r="AZ788" s="176"/>
      <c r="BA788" s="176"/>
      <c r="BB788" s="176"/>
      <c r="BC788" s="176"/>
      <c r="BD788" s="176"/>
      <c r="BE788" s="176"/>
      <c r="BF788" s="176"/>
      <c r="BG788" s="176"/>
      <c r="BH788" s="176"/>
      <c r="BI788" s="176"/>
      <c r="BJ788" s="176"/>
    </row>
    <row r="789" spans="2:62" x14ac:dyDescent="0.3">
      <c r="B789" s="3"/>
      <c r="C789" s="2"/>
      <c r="D789" s="2"/>
      <c r="E789" s="3"/>
      <c r="O789" s="176"/>
      <c r="P789" s="176"/>
      <c r="Q789" s="176"/>
      <c r="R789" s="176"/>
      <c r="S789" s="176"/>
      <c r="T789" s="176"/>
      <c r="U789" s="176"/>
      <c r="V789" s="176"/>
      <c r="W789" s="176"/>
      <c r="X789" s="176"/>
      <c r="Y789" s="176"/>
      <c r="Z789" s="176"/>
      <c r="AA789" s="176"/>
      <c r="AB789" s="176"/>
      <c r="AC789" s="176"/>
      <c r="AD789" s="176"/>
      <c r="AE789" s="176"/>
      <c r="AF789" s="176"/>
      <c r="AG789" s="176"/>
      <c r="AH789" s="176"/>
      <c r="AI789" s="176"/>
      <c r="AJ789" s="176"/>
      <c r="AK789" s="176"/>
      <c r="AL789" s="176"/>
      <c r="AM789" s="176"/>
      <c r="AN789" s="176"/>
      <c r="AO789" s="176"/>
      <c r="AP789" s="176"/>
      <c r="AQ789" s="176"/>
      <c r="AR789" s="176"/>
      <c r="AS789" s="176"/>
      <c r="AT789" s="176"/>
      <c r="AU789" s="176"/>
      <c r="AV789" s="176"/>
      <c r="AW789" s="176"/>
      <c r="AX789" s="176"/>
      <c r="AY789" s="176"/>
      <c r="AZ789" s="176"/>
      <c r="BA789" s="176"/>
      <c r="BB789" s="176"/>
      <c r="BC789" s="176"/>
      <c r="BD789" s="176"/>
      <c r="BE789" s="176"/>
      <c r="BF789" s="176"/>
      <c r="BG789" s="176"/>
      <c r="BH789" s="176"/>
      <c r="BI789" s="176"/>
      <c r="BJ789" s="176"/>
    </row>
    <row r="790" spans="2:62" x14ac:dyDescent="0.3">
      <c r="B790" s="3"/>
      <c r="C790" s="2"/>
      <c r="D790" s="2"/>
      <c r="E790" s="3"/>
      <c r="O790" s="176"/>
      <c r="P790" s="176"/>
      <c r="Q790" s="176"/>
      <c r="R790" s="176"/>
      <c r="S790" s="176"/>
      <c r="T790" s="176"/>
      <c r="U790" s="176"/>
      <c r="V790" s="176"/>
      <c r="W790" s="176"/>
      <c r="X790" s="176"/>
      <c r="Y790" s="176"/>
      <c r="Z790" s="176"/>
      <c r="AA790" s="176"/>
      <c r="AB790" s="176"/>
      <c r="AC790" s="176"/>
      <c r="AD790" s="176"/>
      <c r="AE790" s="176"/>
      <c r="AF790" s="176"/>
      <c r="AG790" s="176"/>
      <c r="AH790" s="176"/>
      <c r="AI790" s="176"/>
      <c r="AJ790" s="176"/>
      <c r="AK790" s="176"/>
      <c r="AL790" s="176"/>
      <c r="AM790" s="176"/>
      <c r="AN790" s="176"/>
      <c r="AO790" s="176"/>
      <c r="AP790" s="176"/>
      <c r="AQ790" s="176"/>
      <c r="AR790" s="176"/>
      <c r="AS790" s="176"/>
      <c r="AT790" s="176"/>
      <c r="AU790" s="176"/>
      <c r="AV790" s="176"/>
      <c r="AW790" s="176"/>
      <c r="AX790" s="176"/>
      <c r="AY790" s="176"/>
      <c r="AZ790" s="176"/>
      <c r="BA790" s="176"/>
      <c r="BB790" s="176"/>
      <c r="BC790" s="176"/>
      <c r="BD790" s="176"/>
      <c r="BE790" s="176"/>
      <c r="BF790" s="176"/>
      <c r="BG790" s="176"/>
      <c r="BH790" s="176"/>
      <c r="BI790" s="176"/>
      <c r="BJ790" s="176"/>
    </row>
    <row r="791" spans="2:62" x14ac:dyDescent="0.3">
      <c r="B791" s="3"/>
      <c r="C791" s="2"/>
      <c r="D791" s="2"/>
      <c r="E791" s="3"/>
      <c r="O791" s="176"/>
      <c r="P791" s="176"/>
      <c r="Q791" s="176"/>
      <c r="R791" s="176"/>
      <c r="S791" s="176"/>
      <c r="T791" s="176"/>
      <c r="U791" s="176"/>
      <c r="V791" s="176"/>
      <c r="W791" s="176"/>
      <c r="X791" s="176"/>
      <c r="Y791" s="176"/>
      <c r="Z791" s="176"/>
      <c r="AA791" s="176"/>
      <c r="AB791" s="176"/>
      <c r="AC791" s="176"/>
      <c r="AD791" s="176"/>
      <c r="AE791" s="176"/>
      <c r="AF791" s="176"/>
      <c r="AG791" s="176"/>
      <c r="AH791" s="176"/>
      <c r="AI791" s="176"/>
      <c r="AJ791" s="176"/>
      <c r="AK791" s="176"/>
      <c r="AL791" s="176"/>
      <c r="AM791" s="176"/>
      <c r="AN791" s="176"/>
      <c r="AO791" s="176"/>
      <c r="AP791" s="176"/>
      <c r="AQ791" s="176"/>
      <c r="AR791" s="176"/>
      <c r="AS791" s="176"/>
      <c r="AT791" s="176"/>
      <c r="AU791" s="176"/>
      <c r="AV791" s="176"/>
      <c r="AW791" s="176"/>
      <c r="AX791" s="176"/>
      <c r="AY791" s="176"/>
      <c r="AZ791" s="176"/>
      <c r="BA791" s="176"/>
      <c r="BB791" s="176"/>
      <c r="BC791" s="176"/>
      <c r="BD791" s="176"/>
      <c r="BE791" s="176"/>
      <c r="BF791" s="176"/>
      <c r="BG791" s="176"/>
      <c r="BH791" s="176"/>
      <c r="BI791" s="176"/>
      <c r="BJ791" s="176"/>
    </row>
    <row r="792" spans="2:62" x14ac:dyDescent="0.3">
      <c r="B792" s="3"/>
      <c r="C792" s="2"/>
      <c r="D792" s="2"/>
      <c r="E792" s="3"/>
      <c r="O792" s="176"/>
      <c r="P792" s="176"/>
      <c r="Q792" s="176"/>
      <c r="R792" s="176"/>
      <c r="S792" s="176"/>
      <c r="T792" s="176"/>
      <c r="U792" s="176"/>
      <c r="V792" s="176"/>
      <c r="W792" s="176"/>
      <c r="X792" s="176"/>
      <c r="Y792" s="176"/>
      <c r="Z792" s="176"/>
      <c r="AA792" s="176"/>
      <c r="AB792" s="176"/>
      <c r="AC792" s="176"/>
      <c r="AD792" s="176"/>
      <c r="AE792" s="176"/>
      <c r="AF792" s="176"/>
      <c r="AG792" s="176"/>
      <c r="AH792" s="176"/>
      <c r="AI792" s="176"/>
      <c r="AJ792" s="176"/>
      <c r="AK792" s="176"/>
      <c r="AL792" s="176"/>
      <c r="AM792" s="176"/>
      <c r="AN792" s="176"/>
      <c r="AO792" s="176"/>
      <c r="AP792" s="176"/>
      <c r="AQ792" s="176"/>
      <c r="AR792" s="176"/>
      <c r="AS792" s="176"/>
      <c r="AT792" s="176"/>
      <c r="AU792" s="176"/>
      <c r="AV792" s="176"/>
      <c r="AW792" s="176"/>
      <c r="AX792" s="176"/>
      <c r="AY792" s="176"/>
      <c r="AZ792" s="176"/>
      <c r="BA792" s="176"/>
      <c r="BB792" s="176"/>
      <c r="BC792" s="176"/>
      <c r="BD792" s="176"/>
      <c r="BE792" s="176"/>
      <c r="BF792" s="176"/>
      <c r="BG792" s="176"/>
      <c r="BH792" s="176"/>
      <c r="BI792" s="176"/>
      <c r="BJ792" s="176"/>
    </row>
    <row r="793" spans="2:62" x14ac:dyDescent="0.3">
      <c r="B793" s="3"/>
      <c r="C793" s="2"/>
      <c r="D793" s="2"/>
      <c r="E793" s="3"/>
      <c r="O793" s="176"/>
      <c r="P793" s="176"/>
      <c r="Q793" s="176"/>
      <c r="R793" s="176"/>
      <c r="S793" s="176"/>
      <c r="T793" s="176"/>
      <c r="U793" s="176"/>
      <c r="V793" s="176"/>
      <c r="W793" s="176"/>
      <c r="X793" s="176"/>
      <c r="Y793" s="176"/>
      <c r="Z793" s="176"/>
      <c r="AA793" s="176"/>
      <c r="AB793" s="176"/>
      <c r="AC793" s="176"/>
      <c r="AD793" s="176"/>
      <c r="AE793" s="176"/>
      <c r="AF793" s="176"/>
      <c r="AG793" s="176"/>
      <c r="AH793" s="176"/>
      <c r="AI793" s="176"/>
      <c r="AJ793" s="176"/>
      <c r="AK793" s="176"/>
      <c r="AL793" s="176"/>
      <c r="AM793" s="176"/>
      <c r="AN793" s="176"/>
      <c r="AO793" s="176"/>
      <c r="AP793" s="176"/>
      <c r="AQ793" s="176"/>
      <c r="AR793" s="176"/>
      <c r="AS793" s="176"/>
      <c r="AT793" s="176"/>
      <c r="AU793" s="176"/>
      <c r="AV793" s="176"/>
      <c r="AW793" s="176"/>
      <c r="AX793" s="176"/>
      <c r="AY793" s="176"/>
      <c r="AZ793" s="176"/>
      <c r="BA793" s="176"/>
      <c r="BB793" s="176"/>
      <c r="BC793" s="176"/>
      <c r="BD793" s="176"/>
      <c r="BE793" s="176"/>
      <c r="BF793" s="176"/>
      <c r="BG793" s="176"/>
      <c r="BH793" s="176"/>
      <c r="BI793" s="176"/>
      <c r="BJ793" s="176"/>
    </row>
    <row r="794" spans="2:62" x14ac:dyDescent="0.3">
      <c r="B794" s="3"/>
      <c r="C794" s="2"/>
      <c r="D794" s="2"/>
      <c r="E794" s="3"/>
      <c r="O794" s="176"/>
      <c r="P794" s="176"/>
      <c r="Q794" s="176"/>
      <c r="R794" s="176"/>
      <c r="S794" s="176"/>
      <c r="T794" s="176"/>
      <c r="U794" s="176"/>
      <c r="V794" s="176"/>
      <c r="W794" s="176"/>
      <c r="X794" s="176"/>
      <c r="Y794" s="176"/>
      <c r="Z794" s="176"/>
      <c r="AA794" s="176"/>
      <c r="AB794" s="176"/>
      <c r="AC794" s="176"/>
      <c r="AD794" s="176"/>
      <c r="AE794" s="176"/>
      <c r="AF794" s="176"/>
      <c r="AG794" s="176"/>
      <c r="AH794" s="176"/>
      <c r="AI794" s="176"/>
      <c r="AJ794" s="176"/>
      <c r="AK794" s="176"/>
      <c r="AL794" s="176"/>
      <c r="AM794" s="176"/>
      <c r="AN794" s="176"/>
      <c r="AO794" s="176"/>
      <c r="AP794" s="176"/>
      <c r="AQ794" s="176"/>
      <c r="AR794" s="176"/>
      <c r="AS794" s="176"/>
      <c r="AT794" s="176"/>
      <c r="AU794" s="176"/>
      <c r="AV794" s="176"/>
      <c r="AW794" s="176"/>
      <c r="AX794" s="176"/>
      <c r="AY794" s="176"/>
      <c r="AZ794" s="176"/>
      <c r="BA794" s="176"/>
      <c r="BB794" s="176"/>
      <c r="BC794" s="176"/>
      <c r="BD794" s="176"/>
      <c r="BE794" s="176"/>
      <c r="BF794" s="176"/>
      <c r="BG794" s="176"/>
      <c r="BH794" s="176"/>
      <c r="BI794" s="176"/>
      <c r="BJ794" s="176"/>
    </row>
    <row r="795" spans="2:62" x14ac:dyDescent="0.3">
      <c r="B795" s="3"/>
      <c r="C795" s="2"/>
      <c r="D795" s="2"/>
      <c r="E795" s="3"/>
      <c r="O795" s="176"/>
      <c r="P795" s="176"/>
      <c r="Q795" s="176"/>
      <c r="R795" s="176"/>
      <c r="S795" s="176"/>
      <c r="T795" s="176"/>
      <c r="U795" s="176"/>
      <c r="V795" s="176"/>
      <c r="W795" s="176"/>
      <c r="X795" s="176"/>
      <c r="Y795" s="176"/>
      <c r="Z795" s="176"/>
      <c r="AA795" s="176"/>
      <c r="AB795" s="176"/>
      <c r="AC795" s="176"/>
      <c r="AD795" s="176"/>
      <c r="AE795" s="176"/>
      <c r="AF795" s="176"/>
      <c r="AG795" s="176"/>
      <c r="AH795" s="176"/>
      <c r="AI795" s="176"/>
      <c r="AJ795" s="176"/>
      <c r="AK795" s="176"/>
      <c r="AL795" s="176"/>
      <c r="AM795" s="176"/>
      <c r="AN795" s="176"/>
      <c r="AO795" s="176"/>
      <c r="AP795" s="176"/>
      <c r="AQ795" s="176"/>
      <c r="AR795" s="176"/>
      <c r="AS795" s="176"/>
      <c r="AT795" s="176"/>
      <c r="AU795" s="176"/>
      <c r="AV795" s="176"/>
      <c r="AW795" s="176"/>
      <c r="AX795" s="176"/>
      <c r="AY795" s="176"/>
      <c r="AZ795" s="176"/>
      <c r="BA795" s="176"/>
      <c r="BB795" s="176"/>
      <c r="BC795" s="176"/>
      <c r="BD795" s="176"/>
      <c r="BE795" s="176"/>
      <c r="BF795" s="176"/>
      <c r="BG795" s="176"/>
      <c r="BH795" s="176"/>
      <c r="BI795" s="176"/>
      <c r="BJ795" s="176"/>
    </row>
    <row r="796" spans="2:62" x14ac:dyDescent="0.3">
      <c r="B796" s="3"/>
      <c r="C796" s="2"/>
      <c r="D796" s="2"/>
      <c r="E796" s="3"/>
      <c r="O796" s="176"/>
      <c r="P796" s="176"/>
      <c r="Q796" s="176"/>
      <c r="R796" s="176"/>
      <c r="S796" s="176"/>
      <c r="T796" s="176"/>
      <c r="U796" s="176"/>
      <c r="V796" s="176"/>
      <c r="W796" s="176"/>
      <c r="X796" s="176"/>
      <c r="Y796" s="176"/>
      <c r="Z796" s="176"/>
      <c r="AA796" s="176"/>
      <c r="AB796" s="176"/>
      <c r="AC796" s="176"/>
      <c r="AD796" s="176"/>
      <c r="AE796" s="176"/>
      <c r="AF796" s="176"/>
      <c r="AG796" s="176"/>
      <c r="AH796" s="176"/>
      <c r="AI796" s="176"/>
      <c r="AJ796" s="176"/>
      <c r="AK796" s="176"/>
      <c r="AL796" s="176"/>
      <c r="AM796" s="176"/>
      <c r="AN796" s="176"/>
      <c r="AO796" s="176"/>
      <c r="AP796" s="176"/>
      <c r="AQ796" s="176"/>
      <c r="AR796" s="176"/>
      <c r="AS796" s="176"/>
      <c r="AT796" s="176"/>
      <c r="AU796" s="176"/>
      <c r="AV796" s="176"/>
      <c r="AW796" s="176"/>
      <c r="AX796" s="176"/>
      <c r="AY796" s="176"/>
      <c r="AZ796" s="176"/>
      <c r="BA796" s="176"/>
      <c r="BB796" s="176"/>
      <c r="BC796" s="176"/>
      <c r="BD796" s="176"/>
      <c r="BE796" s="176"/>
      <c r="BF796" s="176"/>
      <c r="BG796" s="176"/>
      <c r="BH796" s="176"/>
      <c r="BI796" s="176"/>
      <c r="BJ796" s="176"/>
    </row>
    <row r="797" spans="2:62" x14ac:dyDescent="0.3">
      <c r="B797" s="3"/>
      <c r="C797" s="2"/>
      <c r="D797" s="2"/>
      <c r="E797" s="3"/>
      <c r="O797" s="176"/>
      <c r="P797" s="176"/>
      <c r="Q797" s="176"/>
      <c r="R797" s="176"/>
      <c r="S797" s="176"/>
      <c r="T797" s="176"/>
      <c r="U797" s="176"/>
      <c r="V797" s="176"/>
      <c r="W797" s="176"/>
      <c r="X797" s="176"/>
      <c r="Y797" s="176"/>
      <c r="Z797" s="176"/>
      <c r="AA797" s="176"/>
      <c r="AB797" s="176"/>
      <c r="AC797" s="176"/>
      <c r="AD797" s="176"/>
      <c r="AE797" s="176"/>
      <c r="AF797" s="176"/>
      <c r="AG797" s="176"/>
      <c r="AH797" s="176"/>
      <c r="AI797" s="176"/>
      <c r="AJ797" s="176"/>
      <c r="AK797" s="176"/>
      <c r="AL797" s="176"/>
      <c r="AM797" s="176"/>
      <c r="AN797" s="176"/>
      <c r="AO797" s="176"/>
      <c r="AP797" s="176"/>
      <c r="AQ797" s="176"/>
      <c r="AR797" s="176"/>
      <c r="AS797" s="176"/>
      <c r="AT797" s="176"/>
      <c r="AU797" s="176"/>
      <c r="AV797" s="176"/>
      <c r="AW797" s="176"/>
      <c r="AX797" s="176"/>
      <c r="AY797" s="176"/>
      <c r="AZ797" s="176"/>
      <c r="BA797" s="176"/>
      <c r="BB797" s="176"/>
      <c r="BC797" s="176"/>
      <c r="BD797" s="176"/>
      <c r="BE797" s="176"/>
      <c r="BF797" s="176"/>
      <c r="BG797" s="176"/>
      <c r="BH797" s="176"/>
      <c r="BI797" s="176"/>
      <c r="BJ797" s="176"/>
    </row>
    <row r="798" spans="2:62" x14ac:dyDescent="0.3">
      <c r="B798" s="3"/>
      <c r="C798" s="2"/>
      <c r="D798" s="2"/>
      <c r="E798" s="3"/>
      <c r="O798" s="176"/>
      <c r="P798" s="176"/>
      <c r="Q798" s="176"/>
      <c r="R798" s="176"/>
      <c r="S798" s="176"/>
      <c r="T798" s="176"/>
      <c r="U798" s="176"/>
      <c r="V798" s="176"/>
      <c r="W798" s="176"/>
      <c r="X798" s="176"/>
      <c r="Y798" s="176"/>
      <c r="Z798" s="176"/>
      <c r="AA798" s="176"/>
      <c r="AB798" s="176"/>
      <c r="AC798" s="176"/>
      <c r="AD798" s="176"/>
      <c r="AE798" s="176"/>
      <c r="AF798" s="176"/>
      <c r="AG798" s="176"/>
      <c r="AH798" s="176"/>
      <c r="AI798" s="176"/>
      <c r="AJ798" s="176"/>
      <c r="AK798" s="176"/>
      <c r="AL798" s="176"/>
      <c r="AM798" s="176"/>
      <c r="AN798" s="176"/>
      <c r="AO798" s="176"/>
      <c r="AP798" s="176"/>
      <c r="AQ798" s="176"/>
      <c r="AR798" s="176"/>
      <c r="AS798" s="176"/>
      <c r="AT798" s="176"/>
      <c r="AU798" s="176"/>
      <c r="AV798" s="176"/>
      <c r="AW798" s="176"/>
      <c r="AX798" s="176"/>
      <c r="AY798" s="176"/>
      <c r="AZ798" s="176"/>
      <c r="BA798" s="176"/>
      <c r="BB798" s="176"/>
      <c r="BC798" s="176"/>
      <c r="BD798" s="176"/>
      <c r="BE798" s="176"/>
      <c r="BF798" s="176"/>
      <c r="BG798" s="176"/>
      <c r="BH798" s="176"/>
      <c r="BI798" s="176"/>
      <c r="BJ798" s="176"/>
    </row>
    <row r="799" spans="2:62" x14ac:dyDescent="0.3">
      <c r="B799" s="3"/>
      <c r="C799" s="2"/>
      <c r="D799" s="2"/>
      <c r="E799" s="3"/>
      <c r="O799" s="176"/>
      <c r="P799" s="176"/>
      <c r="Q799" s="176"/>
      <c r="R799" s="176"/>
      <c r="S799" s="176"/>
      <c r="T799" s="176"/>
      <c r="U799" s="176"/>
      <c r="V799" s="176"/>
      <c r="W799" s="176"/>
      <c r="X799" s="176"/>
      <c r="Y799" s="176"/>
      <c r="Z799" s="176"/>
      <c r="AA799" s="176"/>
      <c r="AB799" s="176"/>
      <c r="AC799" s="176"/>
      <c r="AD799" s="176"/>
      <c r="AE799" s="176"/>
      <c r="AF799" s="176"/>
      <c r="AG799" s="176"/>
      <c r="AH799" s="176"/>
      <c r="AI799" s="176"/>
      <c r="AJ799" s="176"/>
      <c r="AK799" s="176"/>
      <c r="AL799" s="176"/>
      <c r="AM799" s="176"/>
      <c r="AN799" s="176"/>
      <c r="AO799" s="176"/>
      <c r="AP799" s="176"/>
      <c r="AQ799" s="176"/>
      <c r="AR799" s="176"/>
      <c r="AS799" s="176"/>
      <c r="AT799" s="176"/>
      <c r="AU799" s="176"/>
      <c r="AV799" s="176"/>
      <c r="AW799" s="176"/>
      <c r="AX799" s="176"/>
      <c r="AY799" s="176"/>
      <c r="AZ799" s="176"/>
      <c r="BA799" s="176"/>
      <c r="BB799" s="176"/>
      <c r="BC799" s="176"/>
      <c r="BD799" s="176"/>
      <c r="BE799" s="176"/>
      <c r="BF799" s="176"/>
      <c r="BG799" s="176"/>
      <c r="BH799" s="176"/>
      <c r="BI799" s="176"/>
      <c r="BJ799" s="176"/>
    </row>
    <row r="800" spans="2:62" x14ac:dyDescent="0.3">
      <c r="B800" s="3"/>
      <c r="C800" s="2"/>
      <c r="D800" s="2"/>
      <c r="E800" s="3"/>
      <c r="O800" s="176"/>
      <c r="P800" s="176"/>
      <c r="Q800" s="176"/>
      <c r="R800" s="176"/>
      <c r="S800" s="176"/>
      <c r="T800" s="176"/>
      <c r="U800" s="176"/>
      <c r="V800" s="176"/>
      <c r="W800" s="176"/>
      <c r="X800" s="176"/>
      <c r="Y800" s="176"/>
      <c r="Z800" s="176"/>
      <c r="AA800" s="176"/>
      <c r="AB800" s="176"/>
      <c r="AC800" s="176"/>
      <c r="AD800" s="176"/>
      <c r="AE800" s="176"/>
      <c r="AF800" s="176"/>
      <c r="AG800" s="176"/>
      <c r="AH800" s="176"/>
      <c r="AI800" s="176"/>
      <c r="AJ800" s="176"/>
      <c r="AK800" s="176"/>
      <c r="AL800" s="176"/>
      <c r="AM800" s="176"/>
      <c r="AN800" s="176"/>
      <c r="AO800" s="176"/>
      <c r="AP800" s="176"/>
      <c r="AQ800" s="176"/>
      <c r="AR800" s="176"/>
      <c r="AS800" s="176"/>
      <c r="AT800" s="176"/>
      <c r="AU800" s="176"/>
      <c r="AV800" s="176"/>
      <c r="AW800" s="176"/>
      <c r="AX800" s="176"/>
      <c r="AY800" s="176"/>
      <c r="AZ800" s="176"/>
      <c r="BA800" s="176"/>
      <c r="BB800" s="176"/>
      <c r="BC800" s="176"/>
      <c r="BD800" s="176"/>
      <c r="BE800" s="176"/>
      <c r="BF800" s="176"/>
      <c r="BG800" s="176"/>
      <c r="BH800" s="176"/>
      <c r="BI800" s="176"/>
      <c r="BJ800" s="176"/>
    </row>
    <row r="801" spans="2:62" x14ac:dyDescent="0.3">
      <c r="B801" s="3"/>
      <c r="C801" s="2"/>
      <c r="D801" s="2"/>
      <c r="E801" s="3"/>
      <c r="O801" s="176"/>
      <c r="P801" s="176"/>
      <c r="Q801" s="176"/>
      <c r="R801" s="176"/>
      <c r="S801" s="176"/>
      <c r="T801" s="176"/>
      <c r="U801" s="176"/>
      <c r="V801" s="176"/>
      <c r="W801" s="176"/>
      <c r="X801" s="176"/>
      <c r="Y801" s="176"/>
      <c r="Z801" s="176"/>
      <c r="AA801" s="176"/>
      <c r="AB801" s="176"/>
      <c r="AC801" s="176"/>
      <c r="AD801" s="176"/>
      <c r="AE801" s="176"/>
      <c r="AF801" s="176"/>
      <c r="AG801" s="176"/>
      <c r="AH801" s="176"/>
      <c r="AI801" s="176"/>
      <c r="AJ801" s="176"/>
      <c r="AK801" s="176"/>
      <c r="AL801" s="176"/>
      <c r="AM801" s="176"/>
      <c r="AN801" s="176"/>
      <c r="AO801" s="176"/>
      <c r="AP801" s="176"/>
      <c r="AQ801" s="176"/>
      <c r="AR801" s="176"/>
      <c r="AS801" s="176"/>
      <c r="AT801" s="176"/>
      <c r="AU801" s="176"/>
      <c r="AV801" s="176"/>
      <c r="AW801" s="176"/>
      <c r="AX801" s="176"/>
      <c r="AY801" s="176"/>
      <c r="AZ801" s="176"/>
      <c r="BA801" s="176"/>
      <c r="BB801" s="176"/>
      <c r="BC801" s="176"/>
      <c r="BD801" s="176"/>
      <c r="BE801" s="176"/>
      <c r="BF801" s="176"/>
      <c r="BG801" s="176"/>
      <c r="BH801" s="176"/>
      <c r="BI801" s="176"/>
      <c r="BJ801" s="176"/>
    </row>
    <row r="802" spans="2:62" x14ac:dyDescent="0.3">
      <c r="B802" s="3"/>
      <c r="C802" s="2"/>
      <c r="D802" s="2"/>
      <c r="E802" s="3"/>
      <c r="O802" s="176"/>
      <c r="P802" s="176"/>
      <c r="Q802" s="176"/>
      <c r="R802" s="176"/>
      <c r="S802" s="176"/>
      <c r="T802" s="176"/>
      <c r="U802" s="176"/>
      <c r="V802" s="176"/>
      <c r="W802" s="176"/>
      <c r="X802" s="176"/>
      <c r="Y802" s="176"/>
      <c r="Z802" s="176"/>
      <c r="AA802" s="176"/>
      <c r="AB802" s="176"/>
      <c r="AC802" s="176"/>
      <c r="AD802" s="176"/>
      <c r="AE802" s="176"/>
      <c r="AF802" s="176"/>
      <c r="AG802" s="176"/>
      <c r="AH802" s="176"/>
      <c r="AI802" s="176"/>
      <c r="AJ802" s="176"/>
      <c r="AK802" s="176"/>
      <c r="AL802" s="176"/>
      <c r="AM802" s="176"/>
      <c r="AN802" s="176"/>
      <c r="AO802" s="176"/>
      <c r="AP802" s="176"/>
      <c r="AQ802" s="176"/>
      <c r="AR802" s="176"/>
      <c r="AS802" s="176"/>
      <c r="AT802" s="176"/>
      <c r="AU802" s="176"/>
      <c r="AV802" s="176"/>
      <c r="AW802" s="176"/>
      <c r="AX802" s="176"/>
      <c r="AY802" s="176"/>
      <c r="AZ802" s="176"/>
      <c r="BA802" s="176"/>
      <c r="BB802" s="176"/>
      <c r="BC802" s="176"/>
      <c r="BD802" s="176"/>
      <c r="BE802" s="176"/>
      <c r="BF802" s="176"/>
      <c r="BG802" s="176"/>
      <c r="BH802" s="176"/>
      <c r="BI802" s="176"/>
      <c r="BJ802" s="176"/>
    </row>
    <row r="803" spans="2:62" x14ac:dyDescent="0.3">
      <c r="B803" s="3"/>
      <c r="C803" s="2"/>
      <c r="D803" s="2"/>
      <c r="E803" s="3"/>
      <c r="O803" s="176"/>
      <c r="P803" s="176"/>
      <c r="Q803" s="176"/>
      <c r="R803" s="176"/>
      <c r="S803" s="176"/>
      <c r="T803" s="176"/>
      <c r="U803" s="176"/>
      <c r="V803" s="176"/>
      <c r="W803" s="176"/>
      <c r="X803" s="176"/>
      <c r="Y803" s="176"/>
      <c r="Z803" s="176"/>
      <c r="AA803" s="176"/>
      <c r="AB803" s="176"/>
      <c r="AC803" s="176"/>
      <c r="AD803" s="176"/>
      <c r="AE803" s="176"/>
      <c r="AF803" s="176"/>
      <c r="AG803" s="176"/>
      <c r="AH803" s="176"/>
      <c r="AI803" s="176"/>
      <c r="AJ803" s="176"/>
      <c r="AK803" s="176"/>
      <c r="AL803" s="176"/>
      <c r="AM803" s="176"/>
      <c r="AN803" s="176"/>
      <c r="AO803" s="176"/>
      <c r="AP803" s="176"/>
      <c r="AQ803" s="176"/>
      <c r="AR803" s="176"/>
      <c r="AS803" s="176"/>
      <c r="AT803" s="176"/>
      <c r="AU803" s="176"/>
      <c r="AV803" s="176"/>
      <c r="AW803" s="176"/>
      <c r="AX803" s="176"/>
      <c r="AY803" s="176"/>
      <c r="AZ803" s="176"/>
      <c r="BA803" s="176"/>
      <c r="BB803" s="176"/>
      <c r="BC803" s="176"/>
      <c r="BD803" s="176"/>
      <c r="BE803" s="176"/>
      <c r="BF803" s="176"/>
      <c r="BG803" s="176"/>
      <c r="BH803" s="176"/>
      <c r="BI803" s="176"/>
      <c r="BJ803" s="176"/>
    </row>
    <row r="804" spans="2:62" x14ac:dyDescent="0.3">
      <c r="B804" s="3"/>
      <c r="C804" s="2"/>
      <c r="D804" s="2"/>
      <c r="E804" s="3"/>
      <c r="O804" s="176"/>
      <c r="P804" s="176"/>
      <c r="Q804" s="176"/>
      <c r="R804" s="176"/>
      <c r="S804" s="176"/>
      <c r="T804" s="176"/>
      <c r="U804" s="176"/>
      <c r="V804" s="176"/>
      <c r="W804" s="176"/>
      <c r="X804" s="176"/>
      <c r="Y804" s="176"/>
      <c r="Z804" s="176"/>
      <c r="AA804" s="176"/>
      <c r="AB804" s="176"/>
      <c r="AC804" s="176"/>
      <c r="AD804" s="176"/>
      <c r="AE804" s="176"/>
      <c r="AF804" s="176"/>
      <c r="AG804" s="176"/>
      <c r="AH804" s="176"/>
      <c r="AI804" s="176"/>
      <c r="AJ804" s="176"/>
      <c r="AK804" s="176"/>
      <c r="AL804" s="176"/>
      <c r="AM804" s="176"/>
      <c r="AN804" s="176"/>
      <c r="AO804" s="176"/>
      <c r="AP804" s="176"/>
      <c r="AQ804" s="176"/>
      <c r="AR804" s="176"/>
      <c r="AS804" s="176"/>
      <c r="AT804" s="176"/>
      <c r="AU804" s="176"/>
      <c r="AV804" s="176"/>
      <c r="AW804" s="176"/>
      <c r="AX804" s="176"/>
      <c r="AY804" s="176"/>
      <c r="AZ804" s="176"/>
      <c r="BA804" s="176"/>
      <c r="BB804" s="176"/>
      <c r="BC804" s="176"/>
      <c r="BD804" s="176"/>
      <c r="BE804" s="176"/>
      <c r="BF804" s="176"/>
      <c r="BG804" s="176"/>
      <c r="BH804" s="176"/>
      <c r="BI804" s="176"/>
      <c r="BJ804" s="176"/>
    </row>
    <row r="805" spans="2:62" x14ac:dyDescent="0.3">
      <c r="B805" s="3"/>
      <c r="C805" s="2"/>
      <c r="D805" s="2"/>
      <c r="E805" s="3"/>
      <c r="O805" s="176"/>
      <c r="P805" s="176"/>
      <c r="Q805" s="176"/>
      <c r="R805" s="176"/>
      <c r="S805" s="176"/>
      <c r="T805" s="176"/>
      <c r="U805" s="176"/>
      <c r="V805" s="176"/>
      <c r="W805" s="176"/>
      <c r="X805" s="176"/>
      <c r="Y805" s="176"/>
      <c r="Z805" s="176"/>
      <c r="AA805" s="176"/>
      <c r="AB805" s="176"/>
      <c r="AC805" s="176"/>
      <c r="AD805" s="176"/>
      <c r="AE805" s="176"/>
      <c r="AF805" s="176"/>
      <c r="AG805" s="176"/>
      <c r="AH805" s="176"/>
      <c r="AI805" s="176"/>
      <c r="AJ805" s="176"/>
      <c r="AK805" s="176"/>
      <c r="AL805" s="176"/>
      <c r="AM805" s="176"/>
      <c r="AN805" s="176"/>
      <c r="AO805" s="176"/>
      <c r="AP805" s="176"/>
      <c r="AQ805" s="176"/>
      <c r="AR805" s="176"/>
      <c r="AS805" s="176"/>
      <c r="AT805" s="176"/>
      <c r="AU805" s="176"/>
      <c r="AV805" s="176"/>
      <c r="AW805" s="176"/>
      <c r="AX805" s="176"/>
      <c r="AY805" s="176"/>
      <c r="AZ805" s="176"/>
      <c r="BA805" s="176"/>
      <c r="BB805" s="176"/>
      <c r="BC805" s="176"/>
      <c r="BD805" s="176"/>
      <c r="BE805" s="176"/>
      <c r="BF805" s="176"/>
      <c r="BG805" s="176"/>
      <c r="BH805" s="176"/>
      <c r="BI805" s="176"/>
      <c r="BJ805" s="176"/>
    </row>
    <row r="806" spans="2:62" x14ac:dyDescent="0.3">
      <c r="B806" s="3"/>
      <c r="C806" s="2"/>
      <c r="D806" s="2"/>
      <c r="E806" s="3"/>
      <c r="O806" s="176"/>
      <c r="P806" s="176"/>
      <c r="Q806" s="176"/>
      <c r="R806" s="176"/>
      <c r="S806" s="176"/>
      <c r="T806" s="176"/>
      <c r="U806" s="176"/>
      <c r="V806" s="176"/>
      <c r="W806" s="176"/>
      <c r="X806" s="176"/>
      <c r="Y806" s="176"/>
      <c r="Z806" s="176"/>
      <c r="AA806" s="176"/>
      <c r="AB806" s="176"/>
      <c r="AC806" s="176"/>
      <c r="AD806" s="176"/>
      <c r="AE806" s="176"/>
      <c r="AF806" s="176"/>
      <c r="AG806" s="176"/>
      <c r="AH806" s="176"/>
      <c r="AI806" s="176"/>
      <c r="AJ806" s="176"/>
      <c r="AK806" s="176"/>
      <c r="AL806" s="176"/>
      <c r="AM806" s="176"/>
      <c r="AN806" s="176"/>
      <c r="AO806" s="176"/>
      <c r="AP806" s="176"/>
      <c r="AQ806" s="176"/>
      <c r="AR806" s="176"/>
      <c r="AS806" s="176"/>
      <c r="AT806" s="176"/>
      <c r="AU806" s="176"/>
      <c r="AV806" s="176"/>
      <c r="AW806" s="176"/>
      <c r="AX806" s="176"/>
      <c r="AY806" s="176"/>
      <c r="AZ806" s="176"/>
      <c r="BA806" s="176"/>
      <c r="BB806" s="176"/>
      <c r="BC806" s="176"/>
      <c r="BD806" s="176"/>
      <c r="BE806" s="176"/>
      <c r="BF806" s="176"/>
      <c r="BG806" s="176"/>
      <c r="BH806" s="176"/>
      <c r="BI806" s="176"/>
      <c r="BJ806" s="176"/>
    </row>
    <row r="807" spans="2:62" x14ac:dyDescent="0.3">
      <c r="B807" s="3"/>
      <c r="C807" s="2"/>
      <c r="D807" s="2"/>
      <c r="E807" s="3"/>
      <c r="O807" s="176"/>
      <c r="P807" s="176"/>
      <c r="Q807" s="176"/>
      <c r="R807" s="176"/>
      <c r="S807" s="176"/>
      <c r="T807" s="176"/>
      <c r="U807" s="176"/>
      <c r="V807" s="176"/>
      <c r="W807" s="176"/>
      <c r="X807" s="176"/>
      <c r="Y807" s="176"/>
      <c r="Z807" s="176"/>
      <c r="AA807" s="176"/>
      <c r="AB807" s="176"/>
      <c r="AC807" s="176"/>
      <c r="AD807" s="176"/>
      <c r="AE807" s="176"/>
      <c r="AF807" s="176"/>
      <c r="AG807" s="176"/>
      <c r="AH807" s="176"/>
      <c r="AI807" s="176"/>
      <c r="AJ807" s="176"/>
      <c r="AK807" s="176"/>
      <c r="AL807" s="176"/>
      <c r="AM807" s="176"/>
      <c r="AN807" s="176"/>
      <c r="AO807" s="176"/>
      <c r="AP807" s="176"/>
      <c r="AQ807" s="176"/>
      <c r="AR807" s="176"/>
      <c r="AS807" s="176"/>
      <c r="AT807" s="176"/>
      <c r="AU807" s="176"/>
      <c r="AV807" s="176"/>
      <c r="AW807" s="176"/>
      <c r="AX807" s="176"/>
      <c r="AY807" s="176"/>
      <c r="AZ807" s="176"/>
      <c r="BA807" s="176"/>
      <c r="BB807" s="176"/>
      <c r="BC807" s="176"/>
      <c r="BD807" s="176"/>
      <c r="BE807" s="176"/>
      <c r="BF807" s="176"/>
      <c r="BG807" s="176"/>
      <c r="BH807" s="176"/>
      <c r="BI807" s="176"/>
      <c r="BJ807" s="176"/>
    </row>
    <row r="808" spans="2:62" x14ac:dyDescent="0.3">
      <c r="B808" s="3"/>
      <c r="C808" s="2"/>
      <c r="D808" s="2"/>
      <c r="E808" s="3"/>
      <c r="O808" s="176"/>
      <c r="P808" s="176"/>
      <c r="Q808" s="176"/>
      <c r="R808" s="176"/>
      <c r="S808" s="176"/>
      <c r="T808" s="176"/>
      <c r="U808" s="176"/>
      <c r="V808" s="176"/>
      <c r="W808" s="176"/>
      <c r="X808" s="176"/>
      <c r="Y808" s="176"/>
      <c r="Z808" s="176"/>
      <c r="AA808" s="176"/>
      <c r="AB808" s="176"/>
      <c r="AC808" s="176"/>
      <c r="AD808" s="176"/>
      <c r="AE808" s="176"/>
      <c r="AF808" s="176"/>
      <c r="AG808" s="176"/>
      <c r="AH808" s="176"/>
      <c r="AI808" s="176"/>
      <c r="AJ808" s="176"/>
      <c r="AK808" s="176"/>
      <c r="AL808" s="176"/>
      <c r="AM808" s="176"/>
      <c r="AN808" s="176"/>
      <c r="AO808" s="176"/>
      <c r="AP808" s="176"/>
      <c r="AQ808" s="176"/>
      <c r="AR808" s="176"/>
      <c r="AS808" s="176"/>
      <c r="AT808" s="176"/>
      <c r="AU808" s="176"/>
      <c r="AV808" s="176"/>
      <c r="AW808" s="176"/>
      <c r="AX808" s="176"/>
      <c r="AY808" s="176"/>
      <c r="AZ808" s="176"/>
      <c r="BA808" s="176"/>
      <c r="BB808" s="176"/>
      <c r="BC808" s="176"/>
      <c r="BD808" s="176"/>
      <c r="BE808" s="176"/>
      <c r="BF808" s="176"/>
      <c r="BG808" s="176"/>
      <c r="BH808" s="176"/>
      <c r="BI808" s="176"/>
      <c r="BJ808" s="176"/>
    </row>
    <row r="809" spans="2:62" x14ac:dyDescent="0.3">
      <c r="B809" s="3"/>
      <c r="C809" s="2"/>
      <c r="D809" s="2"/>
      <c r="E809" s="3"/>
      <c r="O809" s="176"/>
      <c r="P809" s="176"/>
      <c r="Q809" s="176"/>
      <c r="R809" s="176"/>
      <c r="S809" s="176"/>
      <c r="T809" s="176"/>
      <c r="U809" s="176"/>
      <c r="V809" s="176"/>
      <c r="W809" s="176"/>
      <c r="X809" s="176"/>
      <c r="Y809" s="176"/>
      <c r="Z809" s="176"/>
      <c r="AA809" s="176"/>
      <c r="AB809" s="176"/>
      <c r="AC809" s="176"/>
      <c r="AD809" s="176"/>
      <c r="AE809" s="176"/>
      <c r="AF809" s="176"/>
      <c r="AG809" s="176"/>
      <c r="AH809" s="176"/>
      <c r="AI809" s="176"/>
      <c r="AJ809" s="176"/>
      <c r="AK809" s="176"/>
      <c r="AL809" s="176"/>
      <c r="AM809" s="176"/>
      <c r="AN809" s="176"/>
      <c r="AO809" s="176"/>
      <c r="AP809" s="176"/>
      <c r="AQ809" s="176"/>
      <c r="AR809" s="176"/>
      <c r="AS809" s="176"/>
      <c r="AT809" s="176"/>
      <c r="AU809" s="176"/>
      <c r="AV809" s="176"/>
      <c r="AW809" s="176"/>
      <c r="AX809" s="176"/>
      <c r="AY809" s="176"/>
      <c r="AZ809" s="176"/>
      <c r="BA809" s="176"/>
      <c r="BB809" s="176"/>
      <c r="BC809" s="176"/>
      <c r="BD809" s="176"/>
      <c r="BE809" s="176"/>
      <c r="BF809" s="176"/>
      <c r="BG809" s="176"/>
      <c r="BH809" s="176"/>
      <c r="BI809" s="176"/>
      <c r="BJ809" s="176"/>
    </row>
    <row r="810" spans="2:62" x14ac:dyDescent="0.3">
      <c r="B810" s="3"/>
      <c r="C810" s="2"/>
      <c r="D810" s="2"/>
      <c r="E810" s="3"/>
      <c r="O810" s="176"/>
      <c r="P810" s="176"/>
      <c r="Q810" s="176"/>
      <c r="R810" s="176"/>
      <c r="S810" s="176"/>
      <c r="T810" s="176"/>
      <c r="U810" s="176"/>
      <c r="V810" s="176"/>
      <c r="W810" s="176"/>
      <c r="X810" s="176"/>
      <c r="Y810" s="176"/>
      <c r="Z810" s="176"/>
      <c r="AA810" s="176"/>
      <c r="AB810" s="176"/>
      <c r="AC810" s="176"/>
      <c r="AD810" s="176"/>
      <c r="AE810" s="176"/>
      <c r="AF810" s="176"/>
      <c r="AG810" s="176"/>
      <c r="AH810" s="176"/>
      <c r="AI810" s="176"/>
      <c r="AJ810" s="176"/>
      <c r="AK810" s="176"/>
      <c r="AL810" s="176"/>
      <c r="AM810" s="176"/>
      <c r="AN810" s="176"/>
      <c r="AO810" s="176"/>
      <c r="AP810" s="176"/>
      <c r="AQ810" s="176"/>
      <c r="AR810" s="176"/>
      <c r="AS810" s="176"/>
      <c r="AT810" s="176"/>
      <c r="AU810" s="176"/>
      <c r="AV810" s="176"/>
      <c r="AW810" s="176"/>
      <c r="AX810" s="176"/>
      <c r="AY810" s="176"/>
      <c r="AZ810" s="176"/>
      <c r="BA810" s="176"/>
      <c r="BB810" s="176"/>
      <c r="BC810" s="176"/>
      <c r="BD810" s="176"/>
      <c r="BE810" s="176"/>
      <c r="BF810" s="176"/>
      <c r="BG810" s="176"/>
      <c r="BH810" s="176"/>
      <c r="BI810" s="176"/>
      <c r="BJ810" s="176"/>
    </row>
    <row r="811" spans="2:62" x14ac:dyDescent="0.3">
      <c r="B811" s="3"/>
      <c r="C811" s="2"/>
      <c r="D811" s="2"/>
      <c r="E811" s="3"/>
      <c r="O811" s="176"/>
      <c r="P811" s="176"/>
      <c r="Q811" s="176"/>
      <c r="R811" s="176"/>
      <c r="S811" s="176"/>
      <c r="T811" s="176"/>
      <c r="U811" s="176"/>
      <c r="V811" s="176"/>
      <c r="W811" s="176"/>
      <c r="X811" s="176"/>
      <c r="Y811" s="176"/>
      <c r="Z811" s="176"/>
      <c r="AA811" s="176"/>
      <c r="AB811" s="176"/>
      <c r="AC811" s="176"/>
      <c r="AD811" s="176"/>
      <c r="AE811" s="176"/>
      <c r="AF811" s="176"/>
      <c r="AG811" s="176"/>
      <c r="AH811" s="176"/>
      <c r="AI811" s="176"/>
      <c r="AJ811" s="176"/>
      <c r="AK811" s="176"/>
      <c r="AL811" s="176"/>
      <c r="AM811" s="176"/>
      <c r="AN811" s="176"/>
      <c r="AO811" s="176"/>
      <c r="AP811" s="176"/>
      <c r="AQ811" s="176"/>
      <c r="AR811" s="176"/>
      <c r="AS811" s="176"/>
      <c r="AT811" s="176"/>
      <c r="AU811" s="176"/>
      <c r="AV811" s="176"/>
      <c r="AW811" s="176"/>
      <c r="AX811" s="176"/>
      <c r="AY811" s="176"/>
      <c r="AZ811" s="176"/>
      <c r="BA811" s="176"/>
      <c r="BB811" s="176"/>
      <c r="BC811" s="176"/>
      <c r="BD811" s="176"/>
      <c r="BE811" s="176"/>
      <c r="BF811" s="176"/>
      <c r="BG811" s="176"/>
      <c r="BH811" s="176"/>
      <c r="BI811" s="176"/>
      <c r="BJ811" s="176"/>
    </row>
    <row r="812" spans="2:62" x14ac:dyDescent="0.3">
      <c r="B812" s="3"/>
      <c r="C812" s="2"/>
      <c r="D812" s="2"/>
      <c r="E812" s="3"/>
      <c r="O812" s="176"/>
      <c r="P812" s="176"/>
      <c r="Q812" s="176"/>
      <c r="R812" s="176"/>
      <c r="S812" s="176"/>
      <c r="T812" s="176"/>
      <c r="U812" s="176"/>
      <c r="V812" s="176"/>
      <c r="W812" s="176"/>
      <c r="X812" s="176"/>
      <c r="Y812" s="176"/>
      <c r="Z812" s="176"/>
      <c r="AA812" s="176"/>
      <c r="AB812" s="176"/>
      <c r="AC812" s="176"/>
      <c r="AD812" s="176"/>
      <c r="AE812" s="176"/>
      <c r="AF812" s="176"/>
      <c r="AG812" s="176"/>
      <c r="AH812" s="176"/>
      <c r="AI812" s="176"/>
      <c r="AJ812" s="176"/>
      <c r="AK812" s="176"/>
      <c r="AL812" s="176"/>
      <c r="AM812" s="176"/>
      <c r="AN812" s="176"/>
      <c r="AO812" s="176"/>
      <c r="AP812" s="176"/>
      <c r="AQ812" s="176"/>
      <c r="AR812" s="176"/>
      <c r="AS812" s="176"/>
      <c r="AT812" s="176"/>
      <c r="AU812" s="176"/>
      <c r="AV812" s="176"/>
      <c r="AW812" s="176"/>
      <c r="AX812" s="176"/>
      <c r="AY812" s="176"/>
      <c r="AZ812" s="176"/>
      <c r="BA812" s="176"/>
      <c r="BB812" s="176"/>
      <c r="BC812" s="176"/>
      <c r="BD812" s="176"/>
      <c r="BE812" s="176"/>
      <c r="BF812" s="176"/>
      <c r="BG812" s="176"/>
      <c r="BH812" s="176"/>
      <c r="BI812" s="176"/>
      <c r="BJ812" s="176"/>
    </row>
    <row r="813" spans="2:62" x14ac:dyDescent="0.3">
      <c r="B813" s="3"/>
      <c r="C813" s="2"/>
      <c r="D813" s="2"/>
      <c r="E813" s="3"/>
      <c r="O813" s="176"/>
      <c r="P813" s="176"/>
      <c r="Q813" s="176"/>
      <c r="R813" s="176"/>
      <c r="S813" s="176"/>
      <c r="T813" s="176"/>
      <c r="U813" s="176"/>
      <c r="V813" s="176"/>
      <c r="W813" s="176"/>
      <c r="X813" s="176"/>
      <c r="Y813" s="176"/>
      <c r="Z813" s="176"/>
      <c r="AA813" s="176"/>
      <c r="AB813" s="176"/>
      <c r="AC813" s="176"/>
      <c r="AD813" s="176"/>
      <c r="AE813" s="176"/>
      <c r="AF813" s="176"/>
      <c r="AG813" s="176"/>
      <c r="AH813" s="176"/>
      <c r="AI813" s="176"/>
      <c r="AJ813" s="176"/>
      <c r="AK813" s="176"/>
      <c r="AL813" s="176"/>
      <c r="AM813" s="176"/>
      <c r="AN813" s="176"/>
      <c r="AO813" s="176"/>
      <c r="AP813" s="176"/>
      <c r="AQ813" s="176"/>
      <c r="AR813" s="176"/>
      <c r="AS813" s="176"/>
      <c r="AT813" s="176"/>
      <c r="AU813" s="176"/>
      <c r="AV813" s="176"/>
      <c r="AW813" s="176"/>
      <c r="AX813" s="176"/>
      <c r="AY813" s="176"/>
      <c r="AZ813" s="176"/>
      <c r="BA813" s="176"/>
      <c r="BB813" s="176"/>
      <c r="BC813" s="176"/>
      <c r="BD813" s="176"/>
      <c r="BE813" s="176"/>
      <c r="BF813" s="176"/>
      <c r="BG813" s="176"/>
      <c r="BH813" s="176"/>
      <c r="BI813" s="176"/>
      <c r="BJ813" s="176"/>
    </row>
    <row r="814" spans="2:62" x14ac:dyDescent="0.3">
      <c r="B814" s="3"/>
      <c r="C814" s="2"/>
      <c r="D814" s="2"/>
      <c r="E814" s="3"/>
      <c r="O814" s="176"/>
      <c r="P814" s="176"/>
      <c r="Q814" s="176"/>
      <c r="R814" s="176"/>
      <c r="S814" s="176"/>
      <c r="T814" s="176"/>
      <c r="U814" s="176"/>
      <c r="V814" s="176"/>
      <c r="W814" s="176"/>
      <c r="X814" s="176"/>
      <c r="Y814" s="176"/>
      <c r="Z814" s="176"/>
      <c r="AA814" s="176"/>
      <c r="AB814" s="176"/>
      <c r="AC814" s="176"/>
      <c r="AD814" s="176"/>
      <c r="AE814" s="176"/>
      <c r="AF814" s="176"/>
      <c r="AG814" s="176"/>
      <c r="AH814" s="176"/>
      <c r="AI814" s="176"/>
      <c r="AJ814" s="176"/>
      <c r="AK814" s="176"/>
      <c r="AL814" s="176"/>
      <c r="AM814" s="176"/>
      <c r="AN814" s="176"/>
      <c r="AO814" s="176"/>
      <c r="AP814" s="176"/>
      <c r="AQ814" s="176"/>
      <c r="AR814" s="176"/>
      <c r="AS814" s="176"/>
      <c r="AT814" s="176"/>
      <c r="AU814" s="176"/>
      <c r="AV814" s="176"/>
      <c r="AW814" s="176"/>
      <c r="AX814" s="176"/>
      <c r="AY814" s="176"/>
      <c r="AZ814" s="176"/>
      <c r="BA814" s="176"/>
      <c r="BB814" s="176"/>
      <c r="BC814" s="176"/>
      <c r="BD814" s="176"/>
      <c r="BE814" s="176"/>
      <c r="BF814" s="176"/>
      <c r="BG814" s="176"/>
      <c r="BH814" s="176"/>
      <c r="BI814" s="176"/>
      <c r="BJ814" s="176"/>
    </row>
    <row r="815" spans="2:62" x14ac:dyDescent="0.3">
      <c r="B815" s="3"/>
      <c r="C815" s="2"/>
      <c r="D815" s="2"/>
      <c r="E815" s="3"/>
      <c r="O815" s="176"/>
      <c r="P815" s="176"/>
      <c r="Q815" s="176"/>
      <c r="R815" s="176"/>
      <c r="S815" s="176"/>
      <c r="T815" s="176"/>
      <c r="U815" s="176"/>
      <c r="V815" s="176"/>
      <c r="W815" s="176"/>
      <c r="X815" s="176"/>
      <c r="Y815" s="176"/>
      <c r="Z815" s="176"/>
      <c r="AA815" s="176"/>
      <c r="AB815" s="176"/>
      <c r="AC815" s="176"/>
      <c r="AD815" s="176"/>
      <c r="AE815" s="176"/>
      <c r="AF815" s="176"/>
      <c r="AG815" s="176"/>
      <c r="AH815" s="176"/>
      <c r="AI815" s="176"/>
      <c r="AJ815" s="176"/>
      <c r="AK815" s="176"/>
      <c r="AL815" s="176"/>
      <c r="AM815" s="176"/>
      <c r="AN815" s="176"/>
      <c r="AO815" s="176"/>
      <c r="AP815" s="176"/>
      <c r="AQ815" s="176"/>
      <c r="AR815" s="176"/>
      <c r="AS815" s="176"/>
      <c r="AT815" s="176"/>
      <c r="AU815" s="176"/>
      <c r="AV815" s="176"/>
      <c r="AW815" s="176"/>
      <c r="AX815" s="176"/>
      <c r="AY815" s="176"/>
      <c r="AZ815" s="176"/>
      <c r="BA815" s="176"/>
      <c r="BB815" s="176"/>
      <c r="BC815" s="176"/>
      <c r="BD815" s="176"/>
      <c r="BE815" s="176"/>
      <c r="BF815" s="176"/>
      <c r="BG815" s="176"/>
      <c r="BH815" s="176"/>
      <c r="BI815" s="176"/>
      <c r="BJ815" s="176"/>
    </row>
    <row r="816" spans="2:62" x14ac:dyDescent="0.3">
      <c r="B816" s="3"/>
      <c r="C816" s="2"/>
      <c r="D816" s="2"/>
      <c r="E816" s="3"/>
      <c r="O816" s="176"/>
      <c r="P816" s="176"/>
      <c r="Q816" s="176"/>
      <c r="R816" s="176"/>
      <c r="S816" s="176"/>
      <c r="T816" s="176"/>
      <c r="U816" s="176"/>
      <c r="V816" s="176"/>
      <c r="W816" s="176"/>
      <c r="X816" s="176"/>
      <c r="Y816" s="176"/>
      <c r="Z816" s="176"/>
      <c r="AA816" s="176"/>
      <c r="AB816" s="176"/>
      <c r="AC816" s="176"/>
      <c r="AD816" s="176"/>
      <c r="AE816" s="176"/>
      <c r="AF816" s="176"/>
      <c r="AG816" s="176"/>
      <c r="AH816" s="176"/>
      <c r="AI816" s="176"/>
      <c r="AJ816" s="176"/>
      <c r="AK816" s="176"/>
      <c r="AL816" s="176"/>
      <c r="AM816" s="176"/>
      <c r="AN816" s="176"/>
      <c r="AO816" s="176"/>
      <c r="AP816" s="176"/>
      <c r="AQ816" s="176"/>
      <c r="AR816" s="176"/>
      <c r="AS816" s="176"/>
      <c r="AT816" s="176"/>
      <c r="AU816" s="176"/>
      <c r="AV816" s="176"/>
      <c r="AW816" s="176"/>
      <c r="AX816" s="176"/>
      <c r="AY816" s="176"/>
      <c r="AZ816" s="176"/>
      <c r="BA816" s="176"/>
      <c r="BB816" s="176"/>
      <c r="BC816" s="176"/>
      <c r="BD816" s="176"/>
      <c r="BE816" s="176"/>
      <c r="BF816" s="176"/>
      <c r="BG816" s="176"/>
      <c r="BH816" s="176"/>
      <c r="BI816" s="176"/>
      <c r="BJ816" s="176"/>
    </row>
    <row r="817" spans="2:62" x14ac:dyDescent="0.3">
      <c r="B817" s="3"/>
      <c r="C817" s="2"/>
      <c r="D817" s="2"/>
      <c r="E817" s="3"/>
      <c r="O817" s="176"/>
      <c r="P817" s="176"/>
      <c r="Q817" s="176"/>
      <c r="R817" s="176"/>
      <c r="S817" s="176"/>
      <c r="T817" s="176"/>
      <c r="U817" s="176"/>
      <c r="V817" s="176"/>
      <c r="W817" s="176"/>
      <c r="X817" s="176"/>
      <c r="Y817" s="176"/>
      <c r="Z817" s="176"/>
      <c r="AA817" s="176"/>
      <c r="AB817" s="176"/>
      <c r="AC817" s="176"/>
      <c r="AD817" s="176"/>
      <c r="AE817" s="176"/>
      <c r="AF817" s="176"/>
      <c r="AG817" s="176"/>
      <c r="AH817" s="176"/>
      <c r="AI817" s="176"/>
      <c r="AJ817" s="176"/>
      <c r="AK817" s="176"/>
      <c r="AL817" s="176"/>
      <c r="AM817" s="176"/>
      <c r="AN817" s="176"/>
      <c r="AO817" s="176"/>
      <c r="AP817" s="176"/>
      <c r="AQ817" s="176"/>
      <c r="AR817" s="176"/>
      <c r="AS817" s="176"/>
      <c r="AT817" s="176"/>
      <c r="AU817" s="176"/>
      <c r="AV817" s="176"/>
      <c r="AW817" s="176"/>
      <c r="AX817" s="176"/>
      <c r="AY817" s="176"/>
      <c r="AZ817" s="176"/>
      <c r="BA817" s="176"/>
      <c r="BB817" s="176"/>
      <c r="BC817" s="176"/>
      <c r="BD817" s="176"/>
      <c r="BE817" s="176"/>
      <c r="BF817" s="176"/>
      <c r="BG817" s="176"/>
      <c r="BH817" s="176"/>
      <c r="BI817" s="176"/>
      <c r="BJ817" s="176"/>
    </row>
    <row r="818" spans="2:62" x14ac:dyDescent="0.3">
      <c r="B818" s="3"/>
      <c r="C818" s="2"/>
      <c r="D818" s="2"/>
      <c r="E818" s="3"/>
      <c r="O818" s="176"/>
      <c r="P818" s="176"/>
      <c r="Q818" s="176"/>
      <c r="R818" s="176"/>
      <c r="S818" s="176"/>
      <c r="T818" s="176"/>
      <c r="U818" s="176"/>
      <c r="V818" s="176"/>
      <c r="W818" s="176"/>
      <c r="X818" s="176"/>
      <c r="Y818" s="176"/>
      <c r="Z818" s="176"/>
      <c r="AA818" s="176"/>
      <c r="AB818" s="176"/>
      <c r="AC818" s="176"/>
      <c r="AD818" s="176"/>
      <c r="AE818" s="176"/>
      <c r="AF818" s="176"/>
      <c r="AG818" s="176"/>
      <c r="AH818" s="176"/>
      <c r="AI818" s="176"/>
      <c r="AJ818" s="176"/>
      <c r="AK818" s="176"/>
      <c r="AL818" s="176"/>
      <c r="AM818" s="176"/>
      <c r="AN818" s="176"/>
      <c r="AO818" s="176"/>
      <c r="AP818" s="176"/>
      <c r="AQ818" s="176"/>
      <c r="AR818" s="176"/>
      <c r="AS818" s="176"/>
      <c r="AT818" s="176"/>
      <c r="AU818" s="176"/>
      <c r="AV818" s="176"/>
      <c r="AW818" s="176"/>
      <c r="AX818" s="176"/>
      <c r="AY818" s="176"/>
      <c r="AZ818" s="176"/>
      <c r="BA818" s="176"/>
      <c r="BB818" s="176"/>
      <c r="BC818" s="176"/>
      <c r="BD818" s="176"/>
      <c r="BE818" s="176"/>
      <c r="BF818" s="176"/>
      <c r="BG818" s="176"/>
      <c r="BH818" s="176"/>
      <c r="BI818" s="176"/>
      <c r="BJ818" s="176"/>
    </row>
    <row r="819" spans="2:62" x14ac:dyDescent="0.3">
      <c r="B819" s="3"/>
      <c r="C819" s="2"/>
      <c r="D819" s="2"/>
      <c r="E819" s="3"/>
      <c r="O819" s="176"/>
      <c r="P819" s="176"/>
      <c r="Q819" s="176"/>
      <c r="R819" s="176"/>
      <c r="S819" s="176"/>
      <c r="T819" s="176"/>
      <c r="U819" s="176"/>
      <c r="V819" s="176"/>
      <c r="W819" s="176"/>
      <c r="X819" s="176"/>
      <c r="Y819" s="176"/>
      <c r="Z819" s="176"/>
      <c r="AA819" s="176"/>
      <c r="AB819" s="176"/>
      <c r="AC819" s="176"/>
      <c r="AD819" s="176"/>
      <c r="AE819" s="176"/>
      <c r="AF819" s="176"/>
      <c r="AG819" s="176"/>
      <c r="AH819" s="176"/>
      <c r="AI819" s="176"/>
      <c r="AJ819" s="176"/>
      <c r="AK819" s="176"/>
      <c r="AL819" s="176"/>
      <c r="AM819" s="176"/>
      <c r="AN819" s="176"/>
      <c r="AO819" s="176"/>
      <c r="AP819" s="176"/>
      <c r="AQ819" s="176"/>
      <c r="AR819" s="176"/>
      <c r="AS819" s="176"/>
      <c r="AT819" s="176"/>
      <c r="AU819" s="176"/>
      <c r="AV819" s="176"/>
      <c r="AW819" s="176"/>
      <c r="AX819" s="176"/>
      <c r="AY819" s="176"/>
      <c r="AZ819" s="176"/>
      <c r="BA819" s="176"/>
      <c r="BB819" s="176"/>
      <c r="BC819" s="176"/>
      <c r="BD819" s="176"/>
      <c r="BE819" s="176"/>
      <c r="BF819" s="176"/>
      <c r="BG819" s="176"/>
      <c r="BH819" s="176"/>
      <c r="BI819" s="176"/>
      <c r="BJ819" s="176"/>
    </row>
    <row r="820" spans="2:62" x14ac:dyDescent="0.3">
      <c r="B820" s="3"/>
      <c r="C820" s="2"/>
      <c r="D820" s="2"/>
      <c r="E820" s="3"/>
      <c r="O820" s="176"/>
      <c r="P820" s="176"/>
      <c r="Q820" s="176"/>
      <c r="R820" s="176"/>
      <c r="S820" s="176"/>
      <c r="T820" s="176"/>
      <c r="U820" s="176"/>
      <c r="V820" s="176"/>
      <c r="W820" s="176"/>
      <c r="X820" s="176"/>
      <c r="Y820" s="176"/>
      <c r="Z820" s="176"/>
      <c r="AA820" s="176"/>
      <c r="AB820" s="176"/>
      <c r="AC820" s="176"/>
      <c r="AD820" s="176"/>
      <c r="AE820" s="176"/>
      <c r="AF820" s="176"/>
      <c r="AG820" s="176"/>
      <c r="AH820" s="176"/>
      <c r="AI820" s="176"/>
      <c r="AJ820" s="176"/>
      <c r="AK820" s="176"/>
      <c r="AL820" s="176"/>
      <c r="AM820" s="176"/>
      <c r="AN820" s="176"/>
      <c r="AO820" s="176"/>
      <c r="AP820" s="176"/>
      <c r="AQ820" s="176"/>
      <c r="AR820" s="176"/>
      <c r="AS820" s="176"/>
      <c r="AT820" s="176"/>
      <c r="AU820" s="176"/>
      <c r="AV820" s="176"/>
      <c r="AW820" s="176"/>
      <c r="AX820" s="176"/>
      <c r="AY820" s="176"/>
      <c r="AZ820" s="176"/>
      <c r="BA820" s="176"/>
      <c r="BB820" s="176"/>
      <c r="BC820" s="176"/>
      <c r="BD820" s="176"/>
      <c r="BE820" s="176"/>
      <c r="BF820" s="176"/>
      <c r="BG820" s="176"/>
      <c r="BH820" s="176"/>
      <c r="BI820" s="176"/>
      <c r="BJ820" s="176"/>
    </row>
    <row r="821" spans="2:62" x14ac:dyDescent="0.3">
      <c r="B821" s="3"/>
      <c r="C821" s="2"/>
      <c r="D821" s="2"/>
      <c r="E821" s="3"/>
      <c r="O821" s="176"/>
      <c r="P821" s="176"/>
      <c r="Q821" s="176"/>
      <c r="R821" s="176"/>
      <c r="S821" s="176"/>
      <c r="T821" s="176"/>
      <c r="U821" s="176"/>
      <c r="V821" s="176"/>
      <c r="W821" s="176"/>
      <c r="X821" s="176"/>
      <c r="Y821" s="176"/>
      <c r="Z821" s="176"/>
      <c r="AA821" s="176"/>
      <c r="AB821" s="176"/>
      <c r="AC821" s="176"/>
      <c r="AD821" s="176"/>
      <c r="AE821" s="176"/>
      <c r="AF821" s="176"/>
      <c r="AG821" s="176"/>
      <c r="AH821" s="176"/>
      <c r="AI821" s="176"/>
      <c r="AJ821" s="176"/>
      <c r="AK821" s="176"/>
      <c r="AL821" s="176"/>
      <c r="AM821" s="176"/>
      <c r="AN821" s="176"/>
      <c r="AO821" s="176"/>
      <c r="AP821" s="176"/>
      <c r="AQ821" s="176"/>
      <c r="AR821" s="176"/>
      <c r="AS821" s="176"/>
      <c r="AT821" s="176"/>
      <c r="AU821" s="176"/>
      <c r="AV821" s="176"/>
      <c r="AW821" s="176"/>
      <c r="AX821" s="176"/>
      <c r="AY821" s="176"/>
      <c r="AZ821" s="176"/>
      <c r="BA821" s="176"/>
      <c r="BB821" s="176"/>
      <c r="BC821" s="176"/>
      <c r="BD821" s="176"/>
      <c r="BE821" s="176"/>
      <c r="BF821" s="176"/>
      <c r="BG821" s="176"/>
      <c r="BH821" s="176"/>
      <c r="BI821" s="176"/>
      <c r="BJ821" s="176"/>
    </row>
    <row r="822" spans="2:62" x14ac:dyDescent="0.3">
      <c r="B822" s="3"/>
      <c r="C822" s="2"/>
      <c r="D822" s="2"/>
      <c r="E822" s="3"/>
      <c r="O822" s="176"/>
      <c r="P822" s="176"/>
      <c r="Q822" s="176"/>
      <c r="R822" s="176"/>
      <c r="S822" s="176"/>
      <c r="T822" s="176"/>
      <c r="U822" s="176"/>
      <c r="V822" s="176"/>
      <c r="W822" s="176"/>
      <c r="X822" s="176"/>
      <c r="Y822" s="176"/>
      <c r="Z822" s="176"/>
      <c r="AA822" s="176"/>
      <c r="AB822" s="176"/>
      <c r="AC822" s="176"/>
      <c r="AD822" s="176"/>
      <c r="AE822" s="176"/>
      <c r="AF822" s="176"/>
      <c r="AG822" s="176"/>
      <c r="AH822" s="176"/>
      <c r="AI822" s="176"/>
      <c r="AJ822" s="176"/>
      <c r="AK822" s="176"/>
      <c r="AL822" s="176"/>
      <c r="AM822" s="176"/>
      <c r="AN822" s="176"/>
      <c r="AO822" s="176"/>
      <c r="AP822" s="176"/>
      <c r="AQ822" s="176"/>
      <c r="AR822" s="176"/>
      <c r="AS822" s="176"/>
      <c r="AT822" s="176"/>
      <c r="AU822" s="176"/>
      <c r="AV822" s="176"/>
      <c r="AW822" s="176"/>
      <c r="AX822" s="176"/>
      <c r="AY822" s="176"/>
      <c r="AZ822" s="176"/>
      <c r="BA822" s="176"/>
      <c r="BB822" s="176"/>
      <c r="BC822" s="176"/>
      <c r="BD822" s="176"/>
      <c r="BE822" s="176"/>
      <c r="BF822" s="176"/>
      <c r="BG822" s="176"/>
      <c r="BH822" s="176"/>
      <c r="BI822" s="176"/>
      <c r="BJ822" s="176"/>
    </row>
    <row r="823" spans="2:62" x14ac:dyDescent="0.3">
      <c r="B823" s="3"/>
      <c r="C823" s="2"/>
      <c r="D823" s="2"/>
      <c r="E823" s="3"/>
      <c r="O823" s="176"/>
      <c r="P823" s="176"/>
      <c r="Q823" s="176"/>
      <c r="R823" s="176"/>
      <c r="S823" s="176"/>
      <c r="T823" s="176"/>
      <c r="U823" s="176"/>
      <c r="V823" s="176"/>
      <c r="W823" s="176"/>
      <c r="X823" s="176"/>
      <c r="Y823" s="176"/>
      <c r="Z823" s="176"/>
      <c r="AA823" s="176"/>
      <c r="AB823" s="176"/>
      <c r="AC823" s="176"/>
      <c r="AD823" s="176"/>
      <c r="AE823" s="176"/>
      <c r="AF823" s="176"/>
      <c r="AG823" s="176"/>
      <c r="AH823" s="176"/>
      <c r="AI823" s="176"/>
      <c r="AJ823" s="176"/>
      <c r="AK823" s="176"/>
      <c r="AL823" s="176"/>
      <c r="AM823" s="176"/>
      <c r="AN823" s="176"/>
      <c r="AO823" s="176"/>
      <c r="AP823" s="176"/>
      <c r="AQ823" s="176"/>
      <c r="AR823" s="176"/>
      <c r="AS823" s="176"/>
      <c r="AT823" s="176"/>
      <c r="AU823" s="176"/>
      <c r="AV823" s="176"/>
      <c r="AW823" s="176"/>
      <c r="AX823" s="176"/>
      <c r="AY823" s="176"/>
      <c r="AZ823" s="176"/>
      <c r="BA823" s="176"/>
      <c r="BB823" s="176"/>
      <c r="BC823" s="176"/>
      <c r="BD823" s="176"/>
      <c r="BE823" s="176"/>
      <c r="BF823" s="176"/>
      <c r="BG823" s="176"/>
      <c r="BH823" s="176"/>
      <c r="BI823" s="176"/>
      <c r="BJ823" s="176"/>
    </row>
    <row r="824" spans="2:62" x14ac:dyDescent="0.3">
      <c r="B824" s="3"/>
      <c r="C824" s="2"/>
      <c r="D824" s="2"/>
      <c r="E824" s="3"/>
      <c r="O824" s="176"/>
      <c r="P824" s="176"/>
      <c r="Q824" s="176"/>
      <c r="R824" s="176"/>
      <c r="S824" s="176"/>
      <c r="T824" s="176"/>
      <c r="U824" s="176"/>
      <c r="V824" s="176"/>
      <c r="W824" s="176"/>
      <c r="X824" s="176"/>
      <c r="Y824" s="176"/>
      <c r="Z824" s="176"/>
      <c r="AA824" s="176"/>
      <c r="AB824" s="176"/>
      <c r="AC824" s="176"/>
      <c r="AD824" s="176"/>
      <c r="AE824" s="176"/>
      <c r="AF824" s="176"/>
      <c r="AG824" s="176"/>
      <c r="AH824" s="176"/>
      <c r="AI824" s="176"/>
      <c r="AJ824" s="176"/>
      <c r="AK824" s="176"/>
      <c r="AL824" s="176"/>
      <c r="AM824" s="176"/>
      <c r="AN824" s="176"/>
      <c r="AO824" s="176"/>
      <c r="AP824" s="176"/>
      <c r="AQ824" s="176"/>
      <c r="AR824" s="176"/>
      <c r="AS824" s="176"/>
      <c r="AT824" s="176"/>
      <c r="AU824" s="176"/>
      <c r="AV824" s="176"/>
      <c r="AW824" s="176"/>
      <c r="AX824" s="176"/>
      <c r="AY824" s="176"/>
      <c r="AZ824" s="176"/>
      <c r="BA824" s="176"/>
      <c r="BB824" s="176"/>
      <c r="BC824" s="176"/>
      <c r="BD824" s="176"/>
      <c r="BE824" s="176"/>
      <c r="BF824" s="176"/>
      <c r="BG824" s="176"/>
      <c r="BH824" s="176"/>
      <c r="BI824" s="176"/>
      <c r="BJ824" s="176"/>
    </row>
    <row r="825" spans="2:62" x14ac:dyDescent="0.3">
      <c r="B825" s="3"/>
      <c r="C825" s="2"/>
      <c r="D825" s="2"/>
      <c r="E825" s="3"/>
      <c r="O825" s="176"/>
      <c r="P825" s="176"/>
      <c r="Q825" s="176"/>
      <c r="R825" s="176"/>
      <c r="S825" s="176"/>
      <c r="T825" s="176"/>
      <c r="U825" s="176"/>
      <c r="V825" s="176"/>
      <c r="W825" s="176"/>
      <c r="X825" s="176"/>
      <c r="Y825" s="176"/>
      <c r="Z825" s="176"/>
      <c r="AA825" s="176"/>
      <c r="AB825" s="176"/>
      <c r="AC825" s="176"/>
      <c r="AD825" s="176"/>
      <c r="AE825" s="176"/>
      <c r="AF825" s="176"/>
      <c r="AG825" s="176"/>
      <c r="AH825" s="176"/>
      <c r="AI825" s="176"/>
      <c r="AJ825" s="176"/>
      <c r="AK825" s="176"/>
      <c r="AL825" s="176"/>
      <c r="AM825" s="176"/>
      <c r="AN825" s="176"/>
      <c r="AO825" s="176"/>
      <c r="AP825" s="176"/>
      <c r="AQ825" s="176"/>
      <c r="AR825" s="176"/>
      <c r="AS825" s="176"/>
      <c r="AT825" s="176"/>
      <c r="AU825" s="176"/>
      <c r="AV825" s="176"/>
      <c r="AW825" s="176"/>
      <c r="AX825" s="176"/>
      <c r="AY825" s="176"/>
      <c r="AZ825" s="176"/>
      <c r="BA825" s="176"/>
      <c r="BB825" s="176"/>
      <c r="BC825" s="176"/>
      <c r="BD825" s="176"/>
      <c r="BE825" s="176"/>
      <c r="BF825" s="176"/>
      <c r="BG825" s="176"/>
      <c r="BH825" s="176"/>
      <c r="BI825" s="176"/>
      <c r="BJ825" s="176"/>
    </row>
    <row r="826" spans="2:62" x14ac:dyDescent="0.3">
      <c r="B826" s="3"/>
      <c r="C826" s="2"/>
      <c r="D826" s="2"/>
      <c r="E826" s="3"/>
      <c r="O826" s="176"/>
      <c r="P826" s="176"/>
      <c r="Q826" s="176"/>
      <c r="R826" s="176"/>
      <c r="S826" s="176"/>
      <c r="T826" s="176"/>
      <c r="U826" s="176"/>
      <c r="V826" s="176"/>
      <c r="W826" s="176"/>
      <c r="X826" s="176"/>
      <c r="Y826" s="176"/>
      <c r="Z826" s="176"/>
      <c r="AA826" s="176"/>
      <c r="AB826" s="176"/>
      <c r="AC826" s="176"/>
      <c r="AD826" s="176"/>
      <c r="AE826" s="176"/>
      <c r="AF826" s="176"/>
      <c r="AG826" s="176"/>
      <c r="AH826" s="176"/>
      <c r="AI826" s="176"/>
      <c r="AJ826" s="176"/>
      <c r="AK826" s="176"/>
      <c r="AL826" s="176"/>
      <c r="AM826" s="176"/>
      <c r="AN826" s="176"/>
      <c r="AO826" s="176"/>
      <c r="AP826" s="176"/>
      <c r="AQ826" s="176"/>
      <c r="AR826" s="176"/>
      <c r="AS826" s="176"/>
      <c r="AT826" s="176"/>
      <c r="AU826" s="176"/>
      <c r="AV826" s="176"/>
      <c r="AW826" s="176"/>
      <c r="AX826" s="176"/>
      <c r="AY826" s="176"/>
      <c r="AZ826" s="176"/>
      <c r="BA826" s="176"/>
      <c r="BB826" s="176"/>
      <c r="BC826" s="176"/>
      <c r="BD826" s="176"/>
      <c r="BE826" s="176"/>
      <c r="BF826" s="176"/>
      <c r="BG826" s="176"/>
      <c r="BH826" s="176"/>
      <c r="BI826" s="176"/>
      <c r="BJ826" s="176"/>
    </row>
    <row r="827" spans="2:62" x14ac:dyDescent="0.3">
      <c r="B827" s="3"/>
      <c r="C827" s="2"/>
      <c r="D827" s="2"/>
      <c r="E827" s="3"/>
      <c r="O827" s="176"/>
      <c r="P827" s="176"/>
      <c r="Q827" s="176"/>
      <c r="R827" s="176"/>
      <c r="S827" s="176"/>
      <c r="T827" s="176"/>
      <c r="U827" s="176"/>
      <c r="V827" s="176"/>
      <c r="W827" s="176"/>
      <c r="X827" s="176"/>
      <c r="Y827" s="176"/>
      <c r="Z827" s="176"/>
      <c r="AA827" s="176"/>
      <c r="AB827" s="176"/>
      <c r="AC827" s="176"/>
      <c r="AD827" s="176"/>
      <c r="AE827" s="176"/>
      <c r="AF827" s="176"/>
      <c r="AG827" s="176"/>
      <c r="AH827" s="176"/>
      <c r="AI827" s="176"/>
      <c r="AJ827" s="176"/>
      <c r="AK827" s="176"/>
      <c r="AL827" s="176"/>
      <c r="AM827" s="176"/>
      <c r="AN827" s="176"/>
      <c r="AO827" s="176"/>
      <c r="AP827" s="176"/>
      <c r="AQ827" s="176"/>
      <c r="AR827" s="176"/>
      <c r="AS827" s="176"/>
      <c r="AT827" s="176"/>
      <c r="AU827" s="176"/>
      <c r="AV827" s="176"/>
      <c r="AW827" s="176"/>
      <c r="AX827" s="176"/>
      <c r="AY827" s="176"/>
      <c r="AZ827" s="176"/>
      <c r="BA827" s="176"/>
      <c r="BB827" s="176"/>
      <c r="BC827" s="176"/>
      <c r="BD827" s="176"/>
      <c r="BE827" s="176"/>
      <c r="BF827" s="176"/>
      <c r="BG827" s="176"/>
      <c r="BH827" s="176"/>
      <c r="BI827" s="176"/>
      <c r="BJ827" s="176"/>
    </row>
    <row r="828" spans="2:62" x14ac:dyDescent="0.3">
      <c r="B828" s="3"/>
      <c r="C828" s="2"/>
      <c r="D828" s="2"/>
      <c r="E828" s="3"/>
      <c r="O828" s="176"/>
      <c r="P828" s="176"/>
      <c r="Q828" s="176"/>
      <c r="R828" s="176"/>
      <c r="S828" s="176"/>
      <c r="T828" s="176"/>
      <c r="U828" s="176"/>
      <c r="V828" s="176"/>
      <c r="W828" s="176"/>
      <c r="X828" s="176"/>
      <c r="Y828" s="176"/>
      <c r="Z828" s="176"/>
      <c r="AA828" s="176"/>
      <c r="AB828" s="176"/>
      <c r="AC828" s="176"/>
      <c r="AD828" s="176"/>
      <c r="AE828" s="176"/>
      <c r="AF828" s="176"/>
      <c r="AG828" s="176"/>
      <c r="AH828" s="176"/>
      <c r="AI828" s="176"/>
      <c r="AJ828" s="176"/>
      <c r="AK828" s="176"/>
      <c r="AL828" s="176"/>
      <c r="AM828" s="176"/>
      <c r="AN828" s="176"/>
      <c r="AO828" s="176"/>
      <c r="AP828" s="176"/>
      <c r="AQ828" s="176"/>
      <c r="AR828" s="176"/>
      <c r="AS828" s="176"/>
      <c r="AT828" s="176"/>
      <c r="AU828" s="176"/>
      <c r="AV828" s="176"/>
      <c r="AW828" s="176"/>
      <c r="AX828" s="176"/>
      <c r="AY828" s="176"/>
      <c r="AZ828" s="176"/>
      <c r="BA828" s="176"/>
      <c r="BB828" s="176"/>
      <c r="BC828" s="176"/>
      <c r="BD828" s="176"/>
      <c r="BE828" s="176"/>
      <c r="BF828" s="176"/>
      <c r="BG828" s="176"/>
      <c r="BH828" s="176"/>
      <c r="BI828" s="176"/>
      <c r="BJ828" s="176"/>
    </row>
    <row r="829" spans="2:62" x14ac:dyDescent="0.3">
      <c r="B829" s="3"/>
      <c r="C829" s="2"/>
      <c r="D829" s="2"/>
      <c r="E829" s="3"/>
      <c r="O829" s="176"/>
      <c r="P829" s="176"/>
      <c r="Q829" s="176"/>
      <c r="R829" s="176"/>
      <c r="S829" s="176"/>
      <c r="T829" s="176"/>
      <c r="U829" s="176"/>
      <c r="V829" s="176"/>
      <c r="W829" s="176"/>
      <c r="X829" s="176"/>
      <c r="Y829" s="176"/>
      <c r="Z829" s="176"/>
      <c r="AA829" s="176"/>
      <c r="AB829" s="176"/>
      <c r="AC829" s="176"/>
      <c r="AD829" s="176"/>
      <c r="AE829" s="176"/>
      <c r="AF829" s="176"/>
      <c r="AG829" s="176"/>
      <c r="AH829" s="176"/>
      <c r="AI829" s="176"/>
      <c r="AJ829" s="176"/>
      <c r="AK829" s="176"/>
      <c r="AL829" s="176"/>
      <c r="AM829" s="176"/>
      <c r="AN829" s="176"/>
      <c r="AO829" s="176"/>
      <c r="AP829" s="176"/>
      <c r="AQ829" s="176"/>
      <c r="AR829" s="176"/>
      <c r="AS829" s="176"/>
      <c r="AT829" s="176"/>
      <c r="AU829" s="176"/>
      <c r="AV829" s="176"/>
      <c r="AW829" s="176"/>
      <c r="AX829" s="176"/>
      <c r="AY829" s="176"/>
      <c r="AZ829" s="176"/>
      <c r="BA829" s="176"/>
      <c r="BB829" s="176"/>
      <c r="BC829" s="176"/>
      <c r="BD829" s="176"/>
      <c r="BE829" s="176"/>
      <c r="BF829" s="176"/>
      <c r="BG829" s="176"/>
      <c r="BH829" s="176"/>
      <c r="BI829" s="176"/>
      <c r="BJ829" s="176"/>
    </row>
    <row r="830" spans="2:62" x14ac:dyDescent="0.3">
      <c r="B830" s="3"/>
      <c r="C830" s="2"/>
      <c r="D830" s="2"/>
      <c r="E830" s="3"/>
      <c r="O830" s="176"/>
      <c r="P830" s="176"/>
      <c r="Q830" s="176"/>
      <c r="R830" s="176"/>
      <c r="S830" s="176"/>
      <c r="T830" s="176"/>
      <c r="U830" s="176"/>
      <c r="V830" s="176"/>
      <c r="W830" s="176"/>
      <c r="X830" s="176"/>
      <c r="Y830" s="176"/>
      <c r="Z830" s="176"/>
      <c r="AA830" s="176"/>
      <c r="AB830" s="176"/>
      <c r="AC830" s="176"/>
      <c r="AD830" s="176"/>
      <c r="AE830" s="176"/>
      <c r="AF830" s="176"/>
      <c r="AG830" s="176"/>
      <c r="AH830" s="176"/>
      <c r="AI830" s="176"/>
      <c r="AJ830" s="176"/>
      <c r="AK830" s="176"/>
      <c r="AL830" s="176"/>
      <c r="AM830" s="176"/>
      <c r="AN830" s="176"/>
      <c r="AO830" s="176"/>
      <c r="AP830" s="176"/>
      <c r="AQ830" s="176"/>
      <c r="AR830" s="176"/>
      <c r="AS830" s="176"/>
      <c r="AT830" s="176"/>
      <c r="AU830" s="176"/>
      <c r="AV830" s="176"/>
      <c r="AW830" s="176"/>
      <c r="AX830" s="176"/>
      <c r="AY830" s="176"/>
      <c r="AZ830" s="176"/>
      <c r="BA830" s="176"/>
      <c r="BB830" s="176"/>
      <c r="BC830" s="176"/>
      <c r="BD830" s="176"/>
      <c r="BE830" s="176"/>
      <c r="BF830" s="176"/>
      <c r="BG830" s="176"/>
      <c r="BH830" s="176"/>
      <c r="BI830" s="176"/>
      <c r="BJ830" s="176"/>
    </row>
    <row r="831" spans="2:62" x14ac:dyDescent="0.3">
      <c r="B831" s="3"/>
      <c r="C831" s="2"/>
      <c r="D831" s="2"/>
      <c r="E831" s="3"/>
      <c r="O831" s="176"/>
      <c r="P831" s="176"/>
      <c r="Q831" s="176"/>
      <c r="R831" s="176"/>
      <c r="S831" s="176"/>
      <c r="T831" s="176"/>
      <c r="U831" s="176"/>
      <c r="V831" s="176"/>
      <c r="W831" s="176"/>
      <c r="X831" s="176"/>
      <c r="Y831" s="176"/>
      <c r="Z831" s="176"/>
      <c r="AA831" s="176"/>
      <c r="AB831" s="176"/>
      <c r="AC831" s="176"/>
      <c r="AD831" s="176"/>
      <c r="AE831" s="176"/>
      <c r="AF831" s="176"/>
      <c r="AG831" s="176"/>
      <c r="AH831" s="176"/>
      <c r="AI831" s="176"/>
      <c r="AJ831" s="176"/>
      <c r="AK831" s="176"/>
      <c r="AL831" s="176"/>
      <c r="AM831" s="176"/>
      <c r="AN831" s="176"/>
      <c r="AO831" s="176"/>
      <c r="AP831" s="176"/>
      <c r="AQ831" s="176"/>
      <c r="AR831" s="176"/>
      <c r="AS831" s="176"/>
      <c r="AT831" s="176"/>
      <c r="AU831" s="176"/>
      <c r="AV831" s="176"/>
      <c r="AW831" s="176"/>
      <c r="AX831" s="176"/>
      <c r="AY831" s="176"/>
      <c r="AZ831" s="176"/>
      <c r="BA831" s="176"/>
      <c r="BB831" s="176"/>
      <c r="BC831" s="176"/>
      <c r="BD831" s="176"/>
      <c r="BE831" s="176"/>
      <c r="BF831" s="176"/>
      <c r="BG831" s="176"/>
      <c r="BH831" s="176"/>
      <c r="BI831" s="176"/>
      <c r="BJ831" s="176"/>
    </row>
    <row r="832" spans="2:62" x14ac:dyDescent="0.3">
      <c r="B832" s="3"/>
      <c r="C832" s="2"/>
      <c r="D832" s="2"/>
      <c r="E832" s="3"/>
      <c r="O832" s="176"/>
      <c r="P832" s="176"/>
      <c r="Q832" s="176"/>
      <c r="R832" s="176"/>
      <c r="S832" s="176"/>
      <c r="T832" s="176"/>
      <c r="U832" s="176"/>
      <c r="V832" s="176"/>
      <c r="W832" s="176"/>
      <c r="X832" s="176"/>
      <c r="Y832" s="176"/>
      <c r="Z832" s="176"/>
      <c r="AA832" s="176"/>
      <c r="AB832" s="176"/>
      <c r="AC832" s="176"/>
      <c r="AD832" s="176"/>
      <c r="AE832" s="176"/>
      <c r="AF832" s="176"/>
      <c r="AG832" s="176"/>
      <c r="AH832" s="176"/>
      <c r="AI832" s="176"/>
      <c r="AJ832" s="176"/>
      <c r="AK832" s="176"/>
      <c r="AL832" s="176"/>
      <c r="AM832" s="176"/>
      <c r="AN832" s="176"/>
      <c r="AO832" s="176"/>
      <c r="AP832" s="176"/>
      <c r="AQ832" s="176"/>
      <c r="AR832" s="176"/>
      <c r="AS832" s="176"/>
      <c r="AT832" s="176"/>
      <c r="AU832" s="176"/>
      <c r="AV832" s="176"/>
      <c r="AW832" s="176"/>
      <c r="AX832" s="176"/>
      <c r="AY832" s="176"/>
      <c r="AZ832" s="176"/>
      <c r="BA832" s="176"/>
      <c r="BB832" s="176"/>
      <c r="BC832" s="176"/>
      <c r="BD832" s="176"/>
      <c r="BE832" s="176"/>
      <c r="BF832" s="176"/>
      <c r="BG832" s="176"/>
      <c r="BH832" s="176"/>
      <c r="BI832" s="176"/>
      <c r="BJ832" s="176"/>
    </row>
    <row r="833" spans="2:62" x14ac:dyDescent="0.3">
      <c r="B833" s="3"/>
      <c r="C833" s="2"/>
      <c r="D833" s="2"/>
      <c r="E833" s="3"/>
      <c r="O833" s="176"/>
      <c r="P833" s="176"/>
      <c r="Q833" s="176"/>
      <c r="R833" s="176"/>
      <c r="S833" s="176"/>
      <c r="T833" s="176"/>
      <c r="U833" s="176"/>
      <c r="V833" s="176"/>
      <c r="W833" s="176"/>
      <c r="X833" s="176"/>
      <c r="Y833" s="176"/>
      <c r="Z833" s="176"/>
      <c r="AA833" s="176"/>
      <c r="AB833" s="176"/>
      <c r="AC833" s="176"/>
      <c r="AD833" s="176"/>
      <c r="AE833" s="176"/>
      <c r="AF833" s="176"/>
      <c r="AG833" s="176"/>
      <c r="AH833" s="176"/>
      <c r="AI833" s="176"/>
      <c r="AJ833" s="176"/>
      <c r="AK833" s="176"/>
      <c r="AL833" s="176"/>
      <c r="AM833" s="176"/>
      <c r="AN833" s="176"/>
      <c r="AO833" s="176"/>
      <c r="AP833" s="176"/>
      <c r="AQ833" s="176"/>
      <c r="AR833" s="176"/>
      <c r="AS833" s="176"/>
      <c r="AT833" s="176"/>
      <c r="AU833" s="176"/>
      <c r="AV833" s="176"/>
      <c r="AW833" s="176"/>
      <c r="AX833" s="176"/>
      <c r="AY833" s="176"/>
      <c r="AZ833" s="176"/>
      <c r="BA833" s="176"/>
      <c r="BB833" s="176"/>
      <c r="BC833" s="176"/>
      <c r="BD833" s="176"/>
      <c r="BE833" s="176"/>
      <c r="BF833" s="176"/>
      <c r="BG833" s="176"/>
      <c r="BH833" s="176"/>
      <c r="BI833" s="176"/>
      <c r="BJ833" s="176"/>
    </row>
    <row r="834" spans="2:62" x14ac:dyDescent="0.3">
      <c r="B834" s="3"/>
      <c r="C834" s="2"/>
      <c r="D834" s="2"/>
      <c r="E834" s="3"/>
      <c r="O834" s="176"/>
      <c r="P834" s="176"/>
      <c r="Q834" s="176"/>
      <c r="R834" s="176"/>
      <c r="S834" s="176"/>
      <c r="T834" s="176"/>
      <c r="U834" s="176"/>
      <c r="V834" s="176"/>
      <c r="W834" s="176"/>
      <c r="X834" s="176"/>
      <c r="Y834" s="176"/>
      <c r="Z834" s="176"/>
      <c r="AA834" s="176"/>
      <c r="AB834" s="176"/>
      <c r="AC834" s="176"/>
      <c r="AD834" s="176"/>
      <c r="AE834" s="176"/>
      <c r="AF834" s="176"/>
      <c r="AG834" s="176"/>
      <c r="AH834" s="176"/>
      <c r="AI834" s="176"/>
      <c r="AJ834" s="176"/>
      <c r="AK834" s="176"/>
      <c r="AL834" s="176"/>
      <c r="AM834" s="176"/>
      <c r="AN834" s="176"/>
      <c r="AO834" s="176"/>
      <c r="AP834" s="176"/>
      <c r="AQ834" s="176"/>
      <c r="AR834" s="176"/>
      <c r="AS834" s="176"/>
      <c r="AT834" s="176"/>
      <c r="AU834" s="176"/>
      <c r="AV834" s="176"/>
      <c r="AW834" s="176"/>
      <c r="AX834" s="176"/>
      <c r="AY834" s="176"/>
      <c r="AZ834" s="176"/>
      <c r="BA834" s="176"/>
      <c r="BB834" s="176"/>
      <c r="BC834" s="176"/>
      <c r="BD834" s="176"/>
      <c r="BE834" s="176"/>
      <c r="BF834" s="176"/>
      <c r="BG834" s="176"/>
      <c r="BH834" s="176"/>
      <c r="BI834" s="176"/>
      <c r="BJ834" s="176"/>
    </row>
    <row r="835" spans="2:62" x14ac:dyDescent="0.3">
      <c r="B835" s="3"/>
      <c r="C835" s="2"/>
      <c r="D835" s="2"/>
      <c r="E835" s="3"/>
      <c r="O835" s="176"/>
      <c r="P835" s="176"/>
      <c r="Q835" s="176"/>
      <c r="R835" s="176"/>
      <c r="S835" s="176"/>
      <c r="T835" s="176"/>
      <c r="U835" s="176"/>
      <c r="V835" s="176"/>
      <c r="W835" s="176"/>
      <c r="X835" s="176"/>
      <c r="Y835" s="176"/>
      <c r="Z835" s="176"/>
      <c r="AA835" s="176"/>
      <c r="AB835" s="176"/>
      <c r="AC835" s="176"/>
      <c r="AD835" s="176"/>
      <c r="AE835" s="176"/>
      <c r="AF835" s="176"/>
      <c r="AG835" s="176"/>
      <c r="AH835" s="176"/>
      <c r="AI835" s="176"/>
      <c r="AJ835" s="176"/>
      <c r="AK835" s="176"/>
      <c r="AL835" s="176"/>
      <c r="AM835" s="176"/>
      <c r="AN835" s="176"/>
      <c r="AO835" s="176"/>
      <c r="AP835" s="176"/>
      <c r="AQ835" s="176"/>
      <c r="AR835" s="176"/>
      <c r="AS835" s="176"/>
      <c r="AT835" s="176"/>
      <c r="AU835" s="176"/>
      <c r="AV835" s="176"/>
      <c r="AW835" s="176"/>
      <c r="AX835" s="176"/>
      <c r="AY835" s="176"/>
      <c r="AZ835" s="176"/>
      <c r="BA835" s="176"/>
      <c r="BB835" s="176"/>
      <c r="BC835" s="176"/>
      <c r="BD835" s="176"/>
      <c r="BE835" s="176"/>
      <c r="BF835" s="176"/>
      <c r="BG835" s="176"/>
      <c r="BH835" s="176"/>
      <c r="BI835" s="176"/>
      <c r="BJ835" s="176"/>
    </row>
    <row r="836" spans="2:62" x14ac:dyDescent="0.3">
      <c r="B836" s="3"/>
      <c r="C836" s="2"/>
      <c r="D836" s="2"/>
      <c r="E836" s="3"/>
      <c r="O836" s="176"/>
      <c r="P836" s="176"/>
      <c r="Q836" s="176"/>
      <c r="R836" s="176"/>
      <c r="S836" s="176"/>
      <c r="T836" s="176"/>
      <c r="U836" s="176"/>
      <c r="V836" s="176"/>
      <c r="W836" s="176"/>
      <c r="X836" s="176"/>
      <c r="Y836" s="176"/>
      <c r="Z836" s="176"/>
      <c r="AA836" s="176"/>
      <c r="AB836" s="176"/>
      <c r="AC836" s="176"/>
      <c r="AD836" s="176"/>
      <c r="AE836" s="176"/>
      <c r="AF836" s="176"/>
      <c r="AG836" s="176"/>
      <c r="AH836" s="176"/>
      <c r="AI836" s="176"/>
      <c r="AJ836" s="176"/>
      <c r="AK836" s="176"/>
      <c r="AL836" s="176"/>
      <c r="AM836" s="176"/>
      <c r="AN836" s="176"/>
      <c r="AO836" s="176"/>
      <c r="AP836" s="176"/>
      <c r="AQ836" s="176"/>
      <c r="AR836" s="176"/>
      <c r="AS836" s="176"/>
      <c r="AT836" s="176"/>
      <c r="AU836" s="176"/>
      <c r="AV836" s="176"/>
      <c r="AW836" s="176"/>
      <c r="AX836" s="176"/>
      <c r="AY836" s="176"/>
      <c r="AZ836" s="176"/>
      <c r="BA836" s="176"/>
      <c r="BB836" s="176"/>
      <c r="BC836" s="176"/>
      <c r="BD836" s="176"/>
      <c r="BE836" s="176"/>
      <c r="BF836" s="176"/>
      <c r="BG836" s="176"/>
      <c r="BH836" s="176"/>
      <c r="BI836" s="176"/>
      <c r="BJ836" s="176"/>
    </row>
    <row r="837" spans="2:62" x14ac:dyDescent="0.3">
      <c r="B837" s="3"/>
      <c r="C837" s="2"/>
      <c r="D837" s="2"/>
      <c r="E837" s="3"/>
      <c r="O837" s="176"/>
      <c r="P837" s="176"/>
      <c r="Q837" s="176"/>
      <c r="R837" s="176"/>
      <c r="S837" s="176"/>
      <c r="T837" s="176"/>
      <c r="U837" s="176"/>
      <c r="V837" s="176"/>
      <c r="W837" s="176"/>
      <c r="X837" s="176"/>
      <c r="Y837" s="176"/>
      <c r="Z837" s="176"/>
      <c r="AA837" s="176"/>
      <c r="AB837" s="176"/>
      <c r="AC837" s="176"/>
      <c r="AD837" s="176"/>
      <c r="AE837" s="176"/>
      <c r="AF837" s="176"/>
      <c r="AG837" s="176"/>
      <c r="AH837" s="176"/>
      <c r="AI837" s="176"/>
      <c r="AJ837" s="176"/>
      <c r="AK837" s="176"/>
      <c r="AL837" s="176"/>
      <c r="AM837" s="176"/>
      <c r="AN837" s="176"/>
      <c r="AO837" s="176"/>
      <c r="AP837" s="176"/>
      <c r="AQ837" s="176"/>
      <c r="AR837" s="176"/>
      <c r="AS837" s="176"/>
      <c r="AT837" s="176"/>
      <c r="AU837" s="176"/>
      <c r="AV837" s="176"/>
      <c r="AW837" s="176"/>
      <c r="AX837" s="176"/>
      <c r="AY837" s="176"/>
      <c r="AZ837" s="176"/>
      <c r="BA837" s="176"/>
      <c r="BB837" s="176"/>
      <c r="BC837" s="176"/>
      <c r="BD837" s="176"/>
      <c r="BE837" s="176"/>
      <c r="BF837" s="176"/>
      <c r="BG837" s="176"/>
      <c r="BH837" s="176"/>
      <c r="BI837" s="176"/>
      <c r="BJ837" s="176"/>
    </row>
    <row r="838" spans="2:62" x14ac:dyDescent="0.3">
      <c r="B838" s="3"/>
      <c r="C838" s="2"/>
      <c r="D838" s="2"/>
      <c r="E838" s="3"/>
      <c r="O838" s="176"/>
      <c r="P838" s="176"/>
      <c r="Q838" s="176"/>
      <c r="R838" s="176"/>
      <c r="S838" s="176"/>
      <c r="T838" s="176"/>
      <c r="U838" s="176"/>
      <c r="V838" s="176"/>
      <c r="W838" s="176"/>
      <c r="X838" s="176"/>
      <c r="Y838" s="176"/>
      <c r="Z838" s="176"/>
      <c r="AA838" s="176"/>
      <c r="AB838" s="176"/>
      <c r="AC838" s="176"/>
      <c r="AD838" s="176"/>
      <c r="AE838" s="176"/>
      <c r="AF838" s="176"/>
      <c r="AG838" s="176"/>
      <c r="AH838" s="176"/>
      <c r="AI838" s="176"/>
      <c r="AJ838" s="176"/>
      <c r="AK838" s="176"/>
      <c r="AL838" s="176"/>
      <c r="AM838" s="176"/>
      <c r="AN838" s="176"/>
      <c r="AO838" s="176"/>
      <c r="AP838" s="176"/>
      <c r="AQ838" s="176"/>
      <c r="AR838" s="176"/>
      <c r="AS838" s="176"/>
      <c r="AT838" s="176"/>
      <c r="AU838" s="176"/>
      <c r="AV838" s="176"/>
      <c r="AW838" s="176"/>
      <c r="AX838" s="176"/>
      <c r="AY838" s="176"/>
      <c r="AZ838" s="176"/>
      <c r="BA838" s="176"/>
      <c r="BB838" s="176"/>
      <c r="BC838" s="176"/>
      <c r="BD838" s="176"/>
      <c r="BE838" s="176"/>
      <c r="BF838" s="176"/>
      <c r="BG838" s="176"/>
      <c r="BH838" s="176"/>
      <c r="BI838" s="176"/>
      <c r="BJ838" s="176"/>
    </row>
    <row r="839" spans="2:62" x14ac:dyDescent="0.3">
      <c r="B839" s="3"/>
      <c r="C839" s="2"/>
      <c r="D839" s="2"/>
      <c r="E839" s="3"/>
      <c r="O839" s="176"/>
      <c r="P839" s="176"/>
      <c r="Q839" s="176"/>
      <c r="R839" s="176"/>
      <c r="S839" s="176"/>
      <c r="T839" s="176"/>
      <c r="U839" s="176"/>
      <c r="V839" s="176"/>
      <c r="W839" s="176"/>
      <c r="X839" s="176"/>
      <c r="Y839" s="176"/>
      <c r="Z839" s="176"/>
      <c r="AA839" s="176"/>
      <c r="AB839" s="176"/>
      <c r="AC839" s="176"/>
      <c r="AD839" s="176"/>
      <c r="AE839" s="176"/>
      <c r="AF839" s="176"/>
      <c r="AG839" s="176"/>
      <c r="AH839" s="176"/>
      <c r="AI839" s="176"/>
      <c r="AJ839" s="176"/>
      <c r="AK839" s="176"/>
      <c r="AL839" s="176"/>
      <c r="AM839" s="176"/>
      <c r="AN839" s="176"/>
      <c r="AO839" s="176"/>
      <c r="AP839" s="176"/>
      <c r="AQ839" s="176"/>
      <c r="AR839" s="176"/>
      <c r="AS839" s="176"/>
      <c r="AT839" s="176"/>
      <c r="AU839" s="176"/>
      <c r="AV839" s="176"/>
      <c r="AW839" s="176"/>
      <c r="AX839" s="176"/>
      <c r="AY839" s="176"/>
      <c r="AZ839" s="176"/>
      <c r="BA839" s="176"/>
      <c r="BB839" s="176"/>
      <c r="BC839" s="176"/>
      <c r="BD839" s="176"/>
      <c r="BE839" s="176"/>
      <c r="BF839" s="176"/>
      <c r="BG839" s="176"/>
      <c r="BH839" s="176"/>
      <c r="BI839" s="176"/>
      <c r="BJ839" s="176"/>
    </row>
    <row r="840" spans="2:62" x14ac:dyDescent="0.3">
      <c r="B840" s="3"/>
      <c r="C840" s="2"/>
      <c r="D840" s="2"/>
      <c r="E840" s="3"/>
      <c r="O840" s="176"/>
      <c r="P840" s="176"/>
      <c r="Q840" s="176"/>
      <c r="R840" s="176"/>
      <c r="S840" s="176"/>
      <c r="T840" s="176"/>
      <c r="U840" s="176"/>
      <c r="V840" s="176"/>
      <c r="W840" s="176"/>
      <c r="X840" s="176"/>
      <c r="Y840" s="176"/>
      <c r="Z840" s="176"/>
      <c r="AA840" s="176"/>
      <c r="AB840" s="176"/>
      <c r="AC840" s="176"/>
      <c r="AD840" s="176"/>
      <c r="AE840" s="176"/>
      <c r="AF840" s="176"/>
      <c r="AG840" s="176"/>
      <c r="AH840" s="176"/>
      <c r="AI840" s="176"/>
      <c r="AJ840" s="176"/>
      <c r="AK840" s="176"/>
      <c r="AL840" s="176"/>
      <c r="AM840" s="176"/>
      <c r="AN840" s="176"/>
      <c r="AO840" s="176"/>
      <c r="AP840" s="176"/>
      <c r="AQ840" s="176"/>
      <c r="AR840" s="176"/>
      <c r="AS840" s="176"/>
      <c r="AT840" s="176"/>
      <c r="AU840" s="176"/>
      <c r="AV840" s="176"/>
      <c r="AW840" s="176"/>
      <c r="AX840" s="176"/>
      <c r="AY840" s="176"/>
      <c r="AZ840" s="176"/>
      <c r="BA840" s="176"/>
      <c r="BB840" s="176"/>
      <c r="BC840" s="176"/>
      <c r="BD840" s="176"/>
      <c r="BE840" s="176"/>
      <c r="BF840" s="176"/>
      <c r="BG840" s="176"/>
      <c r="BH840" s="176"/>
      <c r="BI840" s="176"/>
      <c r="BJ840" s="176"/>
    </row>
    <row r="841" spans="2:62" x14ac:dyDescent="0.3">
      <c r="B841" s="3"/>
      <c r="C841" s="2"/>
      <c r="D841" s="2"/>
      <c r="E841" s="3"/>
      <c r="O841" s="176"/>
      <c r="P841" s="176"/>
      <c r="Q841" s="176"/>
      <c r="R841" s="176"/>
      <c r="S841" s="176"/>
      <c r="T841" s="176"/>
      <c r="U841" s="176"/>
      <c r="V841" s="176"/>
      <c r="W841" s="176"/>
      <c r="X841" s="176"/>
      <c r="Y841" s="176"/>
      <c r="Z841" s="176"/>
      <c r="AA841" s="176"/>
      <c r="AB841" s="176"/>
      <c r="AC841" s="176"/>
      <c r="AD841" s="176"/>
      <c r="AE841" s="176"/>
      <c r="AF841" s="176"/>
      <c r="AG841" s="176"/>
      <c r="AH841" s="176"/>
      <c r="AI841" s="176"/>
      <c r="AJ841" s="176"/>
      <c r="AK841" s="176"/>
      <c r="AL841" s="176"/>
      <c r="AM841" s="176"/>
      <c r="AN841" s="176"/>
      <c r="AO841" s="176"/>
      <c r="AP841" s="176"/>
      <c r="AQ841" s="176"/>
      <c r="AR841" s="176"/>
      <c r="AS841" s="176"/>
      <c r="AT841" s="176"/>
      <c r="AU841" s="176"/>
      <c r="AV841" s="176"/>
      <c r="AW841" s="176"/>
      <c r="AX841" s="176"/>
      <c r="AY841" s="176"/>
      <c r="AZ841" s="176"/>
      <c r="BA841" s="176"/>
      <c r="BB841" s="176"/>
      <c r="BC841" s="176"/>
      <c r="BD841" s="176"/>
      <c r="BE841" s="176"/>
      <c r="BF841" s="176"/>
      <c r="BG841" s="176"/>
      <c r="BH841" s="176"/>
      <c r="BI841" s="176"/>
      <c r="BJ841" s="176"/>
    </row>
    <row r="842" spans="2:62" x14ac:dyDescent="0.3">
      <c r="B842" s="3"/>
      <c r="C842" s="2"/>
      <c r="D842" s="2"/>
      <c r="E842" s="3"/>
      <c r="O842" s="176"/>
      <c r="P842" s="176"/>
      <c r="Q842" s="176"/>
      <c r="R842" s="176"/>
      <c r="S842" s="176"/>
      <c r="T842" s="176"/>
      <c r="U842" s="176"/>
      <c r="V842" s="176"/>
      <c r="W842" s="176"/>
      <c r="X842" s="176"/>
      <c r="Y842" s="176"/>
      <c r="Z842" s="176"/>
      <c r="AA842" s="176"/>
      <c r="AB842" s="176"/>
      <c r="AC842" s="176"/>
      <c r="AD842" s="176"/>
      <c r="AE842" s="176"/>
      <c r="AF842" s="176"/>
      <c r="AG842" s="176"/>
      <c r="AH842" s="176"/>
      <c r="AI842" s="176"/>
      <c r="AJ842" s="176"/>
      <c r="AK842" s="176"/>
      <c r="AL842" s="176"/>
      <c r="AM842" s="176"/>
      <c r="AN842" s="176"/>
      <c r="AO842" s="176"/>
      <c r="AP842" s="176"/>
      <c r="AQ842" s="176"/>
      <c r="AR842" s="176"/>
      <c r="AS842" s="176"/>
      <c r="AT842" s="176"/>
      <c r="AU842" s="176"/>
      <c r="AV842" s="176"/>
      <c r="AW842" s="176"/>
      <c r="AX842" s="176"/>
      <c r="AY842" s="176"/>
      <c r="AZ842" s="176"/>
      <c r="BA842" s="176"/>
      <c r="BB842" s="176"/>
      <c r="BC842" s="176"/>
      <c r="BD842" s="176"/>
      <c r="BE842" s="176"/>
      <c r="BF842" s="176"/>
      <c r="BG842" s="176"/>
      <c r="BH842" s="176"/>
      <c r="BI842" s="176"/>
      <c r="BJ842" s="176"/>
    </row>
    <row r="843" spans="2:62" x14ac:dyDescent="0.3">
      <c r="B843" s="3"/>
      <c r="C843" s="2"/>
      <c r="D843" s="2"/>
      <c r="E843" s="3"/>
      <c r="O843" s="176"/>
      <c r="P843" s="176"/>
      <c r="Q843" s="176"/>
      <c r="R843" s="176"/>
      <c r="S843" s="176"/>
      <c r="T843" s="176"/>
      <c r="U843" s="176"/>
      <c r="V843" s="176"/>
      <c r="W843" s="176"/>
      <c r="X843" s="176"/>
      <c r="Y843" s="176"/>
      <c r="Z843" s="176"/>
      <c r="AA843" s="176"/>
      <c r="AB843" s="176"/>
      <c r="AC843" s="176"/>
      <c r="AD843" s="176"/>
      <c r="AE843" s="176"/>
      <c r="AF843" s="176"/>
      <c r="AG843" s="176"/>
      <c r="AH843" s="176"/>
      <c r="AI843" s="176"/>
      <c r="AJ843" s="176"/>
      <c r="AK843" s="176"/>
      <c r="AL843" s="176"/>
      <c r="AM843" s="176"/>
      <c r="AN843" s="176"/>
      <c r="AO843" s="176"/>
      <c r="AP843" s="176"/>
      <c r="AQ843" s="176"/>
      <c r="AR843" s="176"/>
      <c r="AS843" s="176"/>
      <c r="AT843" s="176"/>
      <c r="AU843" s="176"/>
      <c r="AV843" s="176"/>
      <c r="AW843" s="176"/>
      <c r="AX843" s="176"/>
      <c r="AY843" s="176"/>
      <c r="AZ843" s="176"/>
      <c r="BA843" s="176"/>
      <c r="BB843" s="176"/>
      <c r="BC843" s="176"/>
      <c r="BD843" s="176"/>
      <c r="BE843" s="176"/>
      <c r="BF843" s="176"/>
      <c r="BG843" s="176"/>
      <c r="BH843" s="176"/>
      <c r="BI843" s="176"/>
      <c r="BJ843" s="176"/>
    </row>
    <row r="844" spans="2:62" x14ac:dyDescent="0.3">
      <c r="B844" s="3"/>
      <c r="C844" s="2"/>
      <c r="D844" s="2"/>
      <c r="E844" s="3"/>
      <c r="O844" s="176"/>
      <c r="P844" s="176"/>
      <c r="Q844" s="176"/>
      <c r="R844" s="176"/>
      <c r="S844" s="176"/>
      <c r="T844" s="176"/>
      <c r="U844" s="176"/>
      <c r="V844" s="176"/>
      <c r="W844" s="176"/>
      <c r="X844" s="176"/>
      <c r="Y844" s="176"/>
      <c r="Z844" s="176"/>
      <c r="AA844" s="176"/>
      <c r="AB844" s="176"/>
      <c r="AC844" s="176"/>
      <c r="AD844" s="176"/>
      <c r="AE844" s="176"/>
      <c r="AF844" s="176"/>
      <c r="AG844" s="176"/>
      <c r="AH844" s="176"/>
      <c r="AI844" s="176"/>
      <c r="AJ844" s="176"/>
      <c r="AK844" s="176"/>
      <c r="AL844" s="176"/>
      <c r="AM844" s="176"/>
      <c r="AN844" s="176"/>
      <c r="AO844" s="176"/>
      <c r="AP844" s="176"/>
      <c r="AQ844" s="176"/>
      <c r="AR844" s="176"/>
      <c r="AS844" s="176"/>
      <c r="AT844" s="176"/>
      <c r="AU844" s="176"/>
      <c r="AV844" s="176"/>
      <c r="AW844" s="176"/>
      <c r="AX844" s="176"/>
      <c r="AY844" s="176"/>
      <c r="AZ844" s="176"/>
      <c r="BA844" s="176"/>
      <c r="BB844" s="176"/>
      <c r="BC844" s="176"/>
      <c r="BD844" s="176"/>
      <c r="BE844" s="176"/>
      <c r="BF844" s="176"/>
      <c r="BG844" s="176"/>
      <c r="BH844" s="176"/>
      <c r="BI844" s="176"/>
      <c r="BJ844" s="176"/>
    </row>
    <row r="845" spans="2:62" x14ac:dyDescent="0.3">
      <c r="B845" s="3"/>
      <c r="C845" s="2"/>
      <c r="D845" s="2"/>
      <c r="E845" s="3"/>
      <c r="O845" s="176"/>
      <c r="P845" s="176"/>
      <c r="Q845" s="176"/>
      <c r="R845" s="176"/>
      <c r="S845" s="176"/>
      <c r="T845" s="176"/>
      <c r="U845" s="176"/>
      <c r="V845" s="176"/>
      <c r="W845" s="176"/>
      <c r="X845" s="176"/>
      <c r="Y845" s="176"/>
      <c r="Z845" s="176"/>
      <c r="AA845" s="176"/>
      <c r="AB845" s="176"/>
      <c r="AC845" s="176"/>
      <c r="AD845" s="176"/>
      <c r="AE845" s="176"/>
      <c r="AF845" s="176"/>
      <c r="AG845" s="176"/>
      <c r="AH845" s="176"/>
      <c r="AI845" s="176"/>
      <c r="AJ845" s="176"/>
      <c r="AK845" s="176"/>
      <c r="AL845" s="176"/>
      <c r="AM845" s="176"/>
      <c r="AN845" s="176"/>
      <c r="AO845" s="176"/>
      <c r="AP845" s="176"/>
      <c r="AQ845" s="176"/>
      <c r="AR845" s="176"/>
      <c r="AS845" s="176"/>
      <c r="AT845" s="176"/>
      <c r="AU845" s="176"/>
      <c r="AV845" s="176"/>
      <c r="AW845" s="176"/>
      <c r="AX845" s="176"/>
      <c r="AY845" s="176"/>
      <c r="AZ845" s="176"/>
      <c r="BA845" s="176"/>
      <c r="BB845" s="176"/>
      <c r="BC845" s="176"/>
      <c r="BD845" s="176"/>
      <c r="BE845" s="176"/>
      <c r="BF845" s="176"/>
      <c r="BG845" s="176"/>
      <c r="BH845" s="176"/>
      <c r="BI845" s="176"/>
      <c r="BJ845" s="176"/>
    </row>
    <row r="846" spans="2:62" x14ac:dyDescent="0.3">
      <c r="B846" s="3"/>
      <c r="C846" s="2"/>
      <c r="D846" s="2"/>
      <c r="E846" s="3"/>
      <c r="O846" s="176"/>
      <c r="P846" s="176"/>
      <c r="Q846" s="176"/>
      <c r="R846" s="176"/>
      <c r="S846" s="176"/>
      <c r="T846" s="176"/>
      <c r="U846" s="176"/>
      <c r="V846" s="176"/>
      <c r="W846" s="176"/>
      <c r="X846" s="176"/>
      <c r="Y846" s="176"/>
      <c r="Z846" s="176"/>
      <c r="AA846" s="176"/>
      <c r="AB846" s="176"/>
      <c r="AC846" s="176"/>
      <c r="AD846" s="176"/>
      <c r="AE846" s="176"/>
      <c r="AF846" s="176"/>
      <c r="AG846" s="176"/>
      <c r="AH846" s="176"/>
      <c r="AI846" s="176"/>
      <c r="AJ846" s="176"/>
      <c r="AK846" s="176"/>
      <c r="AL846" s="176"/>
      <c r="AM846" s="176"/>
      <c r="AN846" s="176"/>
      <c r="AO846" s="176"/>
      <c r="AP846" s="176"/>
      <c r="AQ846" s="176"/>
      <c r="AR846" s="176"/>
      <c r="AS846" s="176"/>
      <c r="AT846" s="176"/>
      <c r="AU846" s="176"/>
      <c r="AV846" s="176"/>
      <c r="AW846" s="176"/>
      <c r="AX846" s="176"/>
      <c r="AY846" s="176"/>
      <c r="AZ846" s="176"/>
      <c r="BA846" s="176"/>
      <c r="BB846" s="176"/>
      <c r="BC846" s="176"/>
      <c r="BD846" s="176"/>
      <c r="BE846" s="176"/>
      <c r="BF846" s="176"/>
      <c r="BG846" s="176"/>
      <c r="BH846" s="176"/>
      <c r="BI846" s="176"/>
      <c r="BJ846" s="176"/>
    </row>
    <row r="847" spans="2:62" x14ac:dyDescent="0.3">
      <c r="B847" s="3"/>
      <c r="C847" s="2"/>
      <c r="D847" s="2"/>
      <c r="E847" s="3"/>
      <c r="O847" s="176"/>
      <c r="P847" s="176"/>
      <c r="Q847" s="176"/>
      <c r="R847" s="176"/>
      <c r="S847" s="176"/>
      <c r="T847" s="176"/>
      <c r="U847" s="176"/>
      <c r="V847" s="176"/>
      <c r="W847" s="176"/>
      <c r="X847" s="176"/>
      <c r="Y847" s="176"/>
      <c r="Z847" s="176"/>
      <c r="AA847" s="176"/>
      <c r="AB847" s="176"/>
      <c r="AC847" s="176"/>
      <c r="AD847" s="176"/>
      <c r="AE847" s="176"/>
      <c r="AF847" s="176"/>
      <c r="AG847" s="176"/>
      <c r="AH847" s="176"/>
      <c r="AI847" s="176"/>
      <c r="AJ847" s="176"/>
      <c r="AK847" s="176"/>
      <c r="AL847" s="176"/>
      <c r="AM847" s="176"/>
      <c r="AN847" s="176"/>
      <c r="AO847" s="176"/>
      <c r="AP847" s="176"/>
      <c r="AQ847" s="176"/>
      <c r="AR847" s="176"/>
      <c r="AS847" s="176"/>
      <c r="AT847" s="176"/>
      <c r="AU847" s="176"/>
      <c r="AV847" s="176"/>
      <c r="AW847" s="176"/>
      <c r="AX847" s="176"/>
      <c r="AY847" s="176"/>
      <c r="AZ847" s="176"/>
      <c r="BA847" s="176"/>
      <c r="BB847" s="176"/>
      <c r="BC847" s="176"/>
      <c r="BD847" s="176"/>
      <c r="BE847" s="176"/>
      <c r="BF847" s="176"/>
      <c r="BG847" s="176"/>
      <c r="BH847" s="176"/>
      <c r="BI847" s="176"/>
      <c r="BJ847" s="176"/>
    </row>
    <row r="848" spans="2:62" x14ac:dyDescent="0.3">
      <c r="B848" s="3"/>
      <c r="C848" s="2"/>
      <c r="D848" s="2"/>
      <c r="E848" s="3"/>
      <c r="O848" s="176"/>
      <c r="P848" s="176"/>
      <c r="Q848" s="176"/>
      <c r="R848" s="176"/>
      <c r="S848" s="176"/>
      <c r="T848" s="176"/>
      <c r="U848" s="176"/>
      <c r="V848" s="176"/>
      <c r="W848" s="176"/>
      <c r="X848" s="176"/>
      <c r="Y848" s="176"/>
      <c r="Z848" s="176"/>
      <c r="AA848" s="176"/>
      <c r="AB848" s="176"/>
      <c r="AC848" s="176"/>
      <c r="AD848" s="176"/>
      <c r="AE848" s="176"/>
      <c r="AF848" s="176"/>
      <c r="AG848" s="176"/>
      <c r="AH848" s="176"/>
      <c r="AI848" s="176"/>
      <c r="AJ848" s="176"/>
      <c r="AK848" s="176"/>
      <c r="AL848" s="176"/>
      <c r="AM848" s="176"/>
      <c r="AN848" s="176"/>
      <c r="AO848" s="176"/>
      <c r="AP848" s="176"/>
      <c r="AQ848" s="176"/>
      <c r="AR848" s="176"/>
      <c r="AS848" s="176"/>
      <c r="AT848" s="176"/>
      <c r="AU848" s="176"/>
      <c r="AV848" s="176"/>
      <c r="AW848" s="176"/>
      <c r="AX848" s="176"/>
      <c r="AY848" s="176"/>
      <c r="AZ848" s="176"/>
      <c r="BA848" s="176"/>
      <c r="BB848" s="176"/>
      <c r="BC848" s="176"/>
      <c r="BD848" s="176"/>
      <c r="BE848" s="176"/>
      <c r="BF848" s="176"/>
      <c r="BG848" s="176"/>
      <c r="BH848" s="176"/>
      <c r="BI848" s="176"/>
      <c r="BJ848" s="176"/>
    </row>
    <row r="849" spans="2:62" x14ac:dyDescent="0.3">
      <c r="B849" s="3"/>
      <c r="C849" s="2"/>
      <c r="D849" s="2"/>
      <c r="E849" s="3"/>
      <c r="O849" s="176"/>
      <c r="P849" s="176"/>
      <c r="Q849" s="176"/>
      <c r="R849" s="176"/>
      <c r="S849" s="176"/>
      <c r="T849" s="176"/>
      <c r="U849" s="176"/>
      <c r="V849" s="176"/>
      <c r="W849" s="176"/>
      <c r="X849" s="176"/>
      <c r="Y849" s="176"/>
      <c r="Z849" s="176"/>
      <c r="AA849" s="176"/>
      <c r="AB849" s="176"/>
      <c r="AC849" s="176"/>
      <c r="AD849" s="176"/>
      <c r="AE849" s="176"/>
      <c r="AF849" s="176"/>
      <c r="AG849" s="176"/>
      <c r="AH849" s="176"/>
      <c r="AI849" s="176"/>
      <c r="AJ849" s="176"/>
      <c r="AK849" s="176"/>
      <c r="AL849" s="176"/>
      <c r="AM849" s="176"/>
      <c r="AN849" s="176"/>
      <c r="AO849" s="176"/>
      <c r="AP849" s="176"/>
      <c r="AQ849" s="176"/>
      <c r="AR849" s="176"/>
      <c r="AS849" s="176"/>
      <c r="AT849" s="176"/>
      <c r="AU849" s="176"/>
      <c r="AV849" s="176"/>
      <c r="AW849" s="176"/>
      <c r="AX849" s="176"/>
      <c r="AY849" s="176"/>
      <c r="AZ849" s="176"/>
      <c r="BA849" s="176"/>
      <c r="BB849" s="176"/>
      <c r="BC849" s="176"/>
      <c r="BD849" s="176"/>
      <c r="BE849" s="176"/>
      <c r="BF849" s="176"/>
      <c r="BG849" s="176"/>
      <c r="BH849" s="176"/>
      <c r="BI849" s="176"/>
      <c r="BJ849" s="176"/>
    </row>
    <row r="850" spans="2:62" x14ac:dyDescent="0.3">
      <c r="B850" s="3"/>
      <c r="C850" s="2"/>
      <c r="D850" s="2"/>
      <c r="E850" s="3"/>
      <c r="O850" s="176"/>
      <c r="P850" s="176"/>
      <c r="Q850" s="176"/>
      <c r="R850" s="176"/>
      <c r="S850" s="176"/>
      <c r="T850" s="176"/>
      <c r="U850" s="176"/>
      <c r="V850" s="176"/>
      <c r="W850" s="176"/>
      <c r="X850" s="176"/>
      <c r="Y850" s="176"/>
      <c r="Z850" s="176"/>
      <c r="AA850" s="176"/>
      <c r="AB850" s="176"/>
      <c r="AC850" s="176"/>
      <c r="AD850" s="176"/>
      <c r="AE850" s="176"/>
      <c r="AF850" s="176"/>
      <c r="AG850" s="176"/>
      <c r="AH850" s="176"/>
      <c r="AI850" s="176"/>
      <c r="AJ850" s="176"/>
      <c r="AK850" s="176"/>
      <c r="AL850" s="176"/>
      <c r="AM850" s="176"/>
      <c r="AN850" s="176"/>
      <c r="AO850" s="176"/>
      <c r="AP850" s="176"/>
      <c r="AQ850" s="176"/>
      <c r="AR850" s="176"/>
      <c r="AS850" s="176"/>
      <c r="AT850" s="176"/>
      <c r="AU850" s="176"/>
      <c r="AV850" s="176"/>
      <c r="AW850" s="176"/>
      <c r="AX850" s="176"/>
      <c r="AY850" s="176"/>
      <c r="AZ850" s="176"/>
      <c r="BA850" s="176"/>
      <c r="BB850" s="176"/>
      <c r="BC850" s="176"/>
      <c r="BD850" s="176"/>
      <c r="BE850" s="176"/>
      <c r="BF850" s="176"/>
      <c r="BG850" s="176"/>
      <c r="BH850" s="176"/>
      <c r="BI850" s="176"/>
      <c r="BJ850" s="176"/>
    </row>
    <row r="851" spans="2:62" x14ac:dyDescent="0.3">
      <c r="B851" s="3"/>
      <c r="C851" s="2"/>
      <c r="D851" s="2"/>
      <c r="E851" s="3"/>
      <c r="O851" s="176"/>
      <c r="P851" s="176"/>
      <c r="Q851" s="176"/>
      <c r="R851" s="176"/>
      <c r="S851" s="176"/>
      <c r="T851" s="176"/>
      <c r="U851" s="176"/>
      <c r="V851" s="176"/>
      <c r="W851" s="176"/>
      <c r="X851" s="176"/>
      <c r="Y851" s="176"/>
      <c r="Z851" s="176"/>
      <c r="AA851" s="176"/>
      <c r="AB851" s="176"/>
      <c r="AC851" s="176"/>
      <c r="AD851" s="176"/>
      <c r="AE851" s="176"/>
      <c r="AF851" s="176"/>
      <c r="AG851" s="176"/>
      <c r="AH851" s="176"/>
      <c r="AI851" s="176"/>
      <c r="AJ851" s="176"/>
      <c r="AK851" s="176"/>
      <c r="AL851" s="176"/>
      <c r="AM851" s="176"/>
      <c r="AN851" s="176"/>
      <c r="AO851" s="176"/>
      <c r="AP851" s="176"/>
      <c r="AQ851" s="176"/>
      <c r="AR851" s="176"/>
      <c r="AS851" s="176"/>
      <c r="AT851" s="176"/>
      <c r="AU851" s="176"/>
      <c r="AV851" s="176"/>
      <c r="AW851" s="176"/>
      <c r="AX851" s="176"/>
      <c r="AY851" s="176"/>
      <c r="AZ851" s="176"/>
      <c r="BA851" s="176"/>
      <c r="BB851" s="176"/>
      <c r="BC851" s="176"/>
      <c r="BD851" s="176"/>
      <c r="BE851" s="176"/>
      <c r="BF851" s="176"/>
      <c r="BG851" s="176"/>
      <c r="BH851" s="176"/>
      <c r="BI851" s="176"/>
      <c r="BJ851" s="176"/>
    </row>
    <row r="852" spans="2:62" x14ac:dyDescent="0.3">
      <c r="B852" s="3"/>
      <c r="C852" s="2"/>
      <c r="D852" s="2"/>
      <c r="E852" s="3"/>
      <c r="O852" s="176"/>
      <c r="P852" s="176"/>
      <c r="Q852" s="176"/>
      <c r="R852" s="176"/>
      <c r="S852" s="176"/>
      <c r="T852" s="176"/>
      <c r="U852" s="176"/>
      <c r="V852" s="176"/>
      <c r="W852" s="176"/>
      <c r="X852" s="176"/>
      <c r="Y852" s="176"/>
      <c r="Z852" s="176"/>
      <c r="AA852" s="176"/>
      <c r="AB852" s="176"/>
      <c r="AC852" s="176"/>
      <c r="AD852" s="176"/>
      <c r="AE852" s="176"/>
      <c r="AF852" s="176"/>
      <c r="AG852" s="176"/>
      <c r="AH852" s="176"/>
      <c r="AI852" s="176"/>
      <c r="AJ852" s="176"/>
      <c r="AK852" s="176"/>
      <c r="AL852" s="176"/>
      <c r="AM852" s="176"/>
      <c r="AN852" s="176"/>
      <c r="AO852" s="176"/>
      <c r="AP852" s="176"/>
      <c r="AQ852" s="176"/>
      <c r="AR852" s="176"/>
      <c r="AS852" s="176"/>
      <c r="AT852" s="176"/>
      <c r="AU852" s="176"/>
      <c r="AV852" s="176"/>
      <c r="AW852" s="176"/>
      <c r="AX852" s="176"/>
      <c r="AY852" s="176"/>
      <c r="AZ852" s="176"/>
      <c r="BA852" s="176"/>
      <c r="BB852" s="176"/>
      <c r="BC852" s="176"/>
      <c r="BD852" s="176"/>
      <c r="BE852" s="176"/>
      <c r="BF852" s="176"/>
      <c r="BG852" s="176"/>
      <c r="BH852" s="176"/>
      <c r="BI852" s="176"/>
      <c r="BJ852" s="176"/>
    </row>
    <row r="853" spans="2:62" x14ac:dyDescent="0.3">
      <c r="B853" s="3"/>
      <c r="C853" s="2"/>
      <c r="D853" s="2"/>
      <c r="E853" s="3"/>
      <c r="O853" s="176"/>
      <c r="P853" s="176"/>
      <c r="Q853" s="176"/>
      <c r="R853" s="176"/>
      <c r="S853" s="176"/>
      <c r="T853" s="176"/>
      <c r="U853" s="176"/>
      <c r="V853" s="176"/>
      <c r="W853" s="176"/>
      <c r="X853" s="176"/>
      <c r="Y853" s="176"/>
      <c r="Z853" s="176"/>
      <c r="AA853" s="176"/>
      <c r="AB853" s="176"/>
      <c r="AC853" s="176"/>
      <c r="AD853" s="176"/>
      <c r="AE853" s="176"/>
      <c r="AF853" s="176"/>
      <c r="AG853" s="176"/>
      <c r="AH853" s="176"/>
      <c r="AI853" s="176"/>
      <c r="AJ853" s="176"/>
      <c r="AK853" s="176"/>
      <c r="AL853" s="176"/>
      <c r="AM853" s="176"/>
      <c r="AN853" s="176"/>
      <c r="AO853" s="176"/>
      <c r="AP853" s="176"/>
      <c r="AQ853" s="176"/>
      <c r="AR853" s="176"/>
      <c r="AS853" s="176"/>
      <c r="AT853" s="176"/>
      <c r="AU853" s="176"/>
      <c r="AV853" s="176"/>
      <c r="AW853" s="176"/>
      <c r="AX853" s="176"/>
      <c r="AY853" s="176"/>
      <c r="AZ853" s="176"/>
      <c r="BA853" s="176"/>
      <c r="BB853" s="176"/>
      <c r="BC853" s="176"/>
      <c r="BD853" s="176"/>
      <c r="BE853" s="176"/>
      <c r="BF853" s="176"/>
      <c r="BG853" s="176"/>
      <c r="BH853" s="176"/>
      <c r="BI853" s="176"/>
      <c r="BJ853" s="176"/>
    </row>
    <row r="854" spans="2:62" x14ac:dyDescent="0.3">
      <c r="B854" s="3"/>
      <c r="C854" s="2"/>
      <c r="D854" s="2"/>
      <c r="E854" s="3"/>
      <c r="O854" s="176"/>
      <c r="P854" s="176"/>
      <c r="Q854" s="176"/>
      <c r="R854" s="176"/>
      <c r="S854" s="176"/>
      <c r="T854" s="176"/>
      <c r="U854" s="176"/>
      <c r="V854" s="176"/>
      <c r="W854" s="176"/>
      <c r="X854" s="176"/>
      <c r="Y854" s="176"/>
      <c r="Z854" s="176"/>
      <c r="AA854" s="176"/>
      <c r="AB854" s="176"/>
      <c r="AC854" s="176"/>
      <c r="AD854" s="176"/>
      <c r="AE854" s="176"/>
      <c r="AF854" s="176"/>
      <c r="AG854" s="176"/>
      <c r="AH854" s="176"/>
      <c r="AI854" s="176"/>
      <c r="AJ854" s="176"/>
      <c r="AK854" s="176"/>
      <c r="AL854" s="176"/>
      <c r="AM854" s="176"/>
      <c r="AN854" s="176"/>
      <c r="AO854" s="176"/>
      <c r="AP854" s="176"/>
      <c r="AQ854" s="176"/>
      <c r="AR854" s="176"/>
      <c r="AS854" s="176"/>
      <c r="AT854" s="176"/>
      <c r="AU854" s="176"/>
      <c r="AV854" s="176"/>
      <c r="AW854" s="176"/>
      <c r="AX854" s="176"/>
      <c r="AY854" s="176"/>
      <c r="AZ854" s="176"/>
      <c r="BA854" s="176"/>
      <c r="BB854" s="176"/>
      <c r="BC854" s="176"/>
      <c r="BD854" s="176"/>
      <c r="BE854" s="176"/>
      <c r="BF854" s="176"/>
      <c r="BG854" s="176"/>
      <c r="BH854" s="176"/>
      <c r="BI854" s="176"/>
      <c r="BJ854" s="176"/>
    </row>
    <row r="855" spans="2:62" x14ac:dyDescent="0.3">
      <c r="B855" s="3"/>
      <c r="C855" s="2"/>
      <c r="D855" s="2"/>
      <c r="E855" s="3"/>
      <c r="O855" s="176"/>
      <c r="P855" s="176"/>
      <c r="Q855" s="176"/>
      <c r="R855" s="176"/>
      <c r="S855" s="176"/>
      <c r="T855" s="176"/>
      <c r="U855" s="176"/>
      <c r="V855" s="176"/>
      <c r="W855" s="176"/>
      <c r="X855" s="176"/>
      <c r="Y855" s="176"/>
      <c r="Z855" s="176"/>
      <c r="AA855" s="176"/>
      <c r="AB855" s="176"/>
      <c r="AC855" s="176"/>
      <c r="AD855" s="176"/>
      <c r="AE855" s="176"/>
      <c r="AF855" s="176"/>
      <c r="AG855" s="176"/>
      <c r="AH855" s="176"/>
      <c r="AI855" s="176"/>
      <c r="AJ855" s="176"/>
      <c r="AK855" s="176"/>
      <c r="AL855" s="176"/>
      <c r="AM855" s="176"/>
      <c r="AN855" s="176"/>
      <c r="AO855" s="176"/>
      <c r="AP855" s="176"/>
      <c r="AQ855" s="176"/>
      <c r="AR855" s="176"/>
      <c r="AS855" s="176"/>
      <c r="AT855" s="176"/>
      <c r="AU855" s="176"/>
      <c r="AV855" s="176"/>
      <c r="AW855" s="176"/>
      <c r="AX855" s="176"/>
      <c r="AY855" s="176"/>
      <c r="AZ855" s="176"/>
      <c r="BA855" s="176"/>
      <c r="BB855" s="176"/>
      <c r="BC855" s="176"/>
      <c r="BD855" s="176"/>
      <c r="BE855" s="176"/>
      <c r="BF855" s="176"/>
      <c r="BG855" s="176"/>
      <c r="BH855" s="176"/>
      <c r="BI855" s="176"/>
      <c r="BJ855" s="176"/>
    </row>
    <row r="856" spans="2:62" x14ac:dyDescent="0.3">
      <c r="B856" s="3"/>
      <c r="C856" s="2"/>
      <c r="D856" s="2"/>
      <c r="E856" s="3"/>
      <c r="O856" s="176"/>
      <c r="P856" s="176"/>
      <c r="Q856" s="176"/>
      <c r="R856" s="176"/>
      <c r="S856" s="176"/>
      <c r="T856" s="176"/>
      <c r="U856" s="176"/>
      <c r="V856" s="176"/>
      <c r="W856" s="176"/>
      <c r="X856" s="176"/>
      <c r="Y856" s="176"/>
      <c r="Z856" s="176"/>
      <c r="AA856" s="176"/>
      <c r="AB856" s="176"/>
      <c r="AC856" s="176"/>
      <c r="AD856" s="176"/>
      <c r="AE856" s="176"/>
      <c r="AF856" s="176"/>
      <c r="AG856" s="176"/>
      <c r="AH856" s="176"/>
      <c r="AI856" s="176"/>
      <c r="AJ856" s="176"/>
      <c r="AK856" s="176"/>
      <c r="AL856" s="176"/>
      <c r="AM856" s="176"/>
      <c r="AN856" s="176"/>
      <c r="AO856" s="176"/>
      <c r="AP856" s="176"/>
      <c r="AQ856" s="176"/>
      <c r="AR856" s="176"/>
      <c r="AS856" s="176"/>
      <c r="AT856" s="176"/>
      <c r="AU856" s="176"/>
      <c r="AV856" s="176"/>
      <c r="AW856" s="176"/>
      <c r="AX856" s="176"/>
      <c r="AY856" s="176"/>
      <c r="AZ856" s="176"/>
      <c r="BA856" s="176"/>
      <c r="BB856" s="176"/>
      <c r="BC856" s="176"/>
      <c r="BD856" s="176"/>
      <c r="BE856" s="176"/>
      <c r="BF856" s="176"/>
      <c r="BG856" s="176"/>
      <c r="BH856" s="176"/>
      <c r="BI856" s="176"/>
      <c r="BJ856" s="176"/>
    </row>
    <row r="857" spans="2:62" x14ac:dyDescent="0.3">
      <c r="B857" s="3"/>
      <c r="C857" s="2"/>
      <c r="D857" s="2"/>
      <c r="E857" s="3"/>
      <c r="O857" s="176"/>
      <c r="P857" s="176"/>
      <c r="Q857" s="176"/>
      <c r="R857" s="176"/>
      <c r="S857" s="176"/>
      <c r="T857" s="176"/>
      <c r="U857" s="176"/>
      <c r="V857" s="176"/>
      <c r="W857" s="176"/>
      <c r="X857" s="176"/>
      <c r="Y857" s="176"/>
      <c r="Z857" s="176"/>
      <c r="AA857" s="176"/>
      <c r="AB857" s="176"/>
      <c r="AC857" s="176"/>
      <c r="AD857" s="176"/>
      <c r="AE857" s="176"/>
      <c r="AF857" s="176"/>
      <c r="AG857" s="176"/>
      <c r="AH857" s="176"/>
      <c r="AI857" s="176"/>
      <c r="AJ857" s="176"/>
      <c r="AK857" s="176"/>
      <c r="AL857" s="176"/>
      <c r="AM857" s="176"/>
      <c r="AN857" s="176"/>
      <c r="AO857" s="176"/>
      <c r="AP857" s="176"/>
      <c r="AQ857" s="176"/>
      <c r="AR857" s="176"/>
      <c r="AS857" s="176"/>
      <c r="AT857" s="176"/>
      <c r="AU857" s="176"/>
      <c r="AV857" s="176"/>
      <c r="AW857" s="176"/>
      <c r="AX857" s="176"/>
      <c r="AY857" s="176"/>
      <c r="AZ857" s="176"/>
      <c r="BA857" s="176"/>
      <c r="BB857" s="176"/>
      <c r="BC857" s="176"/>
      <c r="BD857" s="176"/>
      <c r="BE857" s="176"/>
      <c r="BF857" s="176"/>
      <c r="BG857" s="176"/>
      <c r="BH857" s="176"/>
      <c r="BI857" s="176"/>
      <c r="BJ857" s="176"/>
    </row>
    <row r="858" spans="2:62" x14ac:dyDescent="0.3">
      <c r="B858" s="3"/>
      <c r="C858" s="2"/>
      <c r="D858" s="2"/>
      <c r="E858" s="3"/>
      <c r="O858" s="176"/>
      <c r="P858" s="176"/>
      <c r="Q858" s="176"/>
      <c r="R858" s="176"/>
      <c r="S858" s="176"/>
      <c r="T858" s="176"/>
      <c r="U858" s="176"/>
      <c r="V858" s="176"/>
      <c r="W858" s="176"/>
      <c r="X858" s="176"/>
      <c r="Y858" s="176"/>
      <c r="Z858" s="176"/>
      <c r="AA858" s="176"/>
      <c r="AB858" s="176"/>
      <c r="AC858" s="176"/>
      <c r="AD858" s="176"/>
      <c r="AE858" s="176"/>
      <c r="AF858" s="176"/>
      <c r="AG858" s="176"/>
      <c r="AH858" s="176"/>
      <c r="AI858" s="176"/>
      <c r="AJ858" s="176"/>
      <c r="AK858" s="176"/>
      <c r="AL858" s="176"/>
      <c r="AM858" s="176"/>
      <c r="AN858" s="176"/>
      <c r="AO858" s="176"/>
      <c r="AP858" s="176"/>
      <c r="AQ858" s="176"/>
      <c r="AR858" s="176"/>
      <c r="AS858" s="176"/>
      <c r="AT858" s="176"/>
      <c r="AU858" s="176"/>
      <c r="AV858" s="176"/>
      <c r="AW858" s="176"/>
      <c r="AX858" s="176"/>
      <c r="AY858" s="176"/>
      <c r="AZ858" s="176"/>
      <c r="BA858" s="176"/>
      <c r="BB858" s="176"/>
      <c r="BC858" s="176"/>
      <c r="BD858" s="176"/>
      <c r="BE858" s="176"/>
      <c r="BF858" s="176"/>
      <c r="BG858" s="176"/>
      <c r="BH858" s="176"/>
      <c r="BI858" s="176"/>
      <c r="BJ858" s="176"/>
    </row>
    <row r="859" spans="2:62" x14ac:dyDescent="0.3">
      <c r="B859" s="3"/>
      <c r="C859" s="2"/>
      <c r="D859" s="2"/>
      <c r="E859" s="3"/>
      <c r="O859" s="176"/>
      <c r="P859" s="176"/>
      <c r="Q859" s="176"/>
      <c r="R859" s="176"/>
      <c r="S859" s="176"/>
      <c r="T859" s="176"/>
      <c r="U859" s="176"/>
      <c r="V859" s="176"/>
      <c r="W859" s="176"/>
      <c r="X859" s="176"/>
      <c r="Y859" s="176"/>
      <c r="Z859" s="176"/>
      <c r="AA859" s="176"/>
      <c r="AB859" s="176"/>
      <c r="AC859" s="176"/>
      <c r="AD859" s="176"/>
      <c r="AE859" s="176"/>
      <c r="AF859" s="176"/>
      <c r="AG859" s="176"/>
      <c r="AH859" s="176"/>
      <c r="AI859" s="176"/>
      <c r="AJ859" s="176"/>
      <c r="AK859" s="176"/>
      <c r="AL859" s="176"/>
      <c r="AM859" s="176"/>
      <c r="AN859" s="176"/>
      <c r="AO859" s="176"/>
      <c r="AP859" s="176"/>
      <c r="AQ859" s="176"/>
      <c r="AR859" s="176"/>
      <c r="AS859" s="176"/>
      <c r="AT859" s="176"/>
      <c r="AU859" s="176"/>
      <c r="AV859" s="176"/>
      <c r="AW859" s="176"/>
      <c r="AX859" s="176"/>
      <c r="AY859" s="176"/>
      <c r="AZ859" s="176"/>
      <c r="BA859" s="176"/>
      <c r="BB859" s="176"/>
      <c r="BC859" s="176"/>
      <c r="BD859" s="176"/>
      <c r="BE859" s="176"/>
      <c r="BF859" s="176"/>
      <c r="BG859" s="176"/>
      <c r="BH859" s="176"/>
      <c r="BI859" s="176"/>
      <c r="BJ859" s="176"/>
    </row>
    <row r="860" spans="2:62" x14ac:dyDescent="0.3">
      <c r="B860" s="3"/>
      <c r="C860" s="2"/>
      <c r="D860" s="2"/>
      <c r="E860" s="3"/>
      <c r="O860" s="176"/>
      <c r="P860" s="176"/>
      <c r="Q860" s="176"/>
      <c r="R860" s="176"/>
      <c r="S860" s="176"/>
      <c r="T860" s="176"/>
      <c r="U860" s="176"/>
      <c r="V860" s="176"/>
      <c r="W860" s="176"/>
      <c r="X860" s="176"/>
      <c r="Y860" s="176"/>
      <c r="Z860" s="176"/>
      <c r="AA860" s="176"/>
      <c r="AB860" s="176"/>
      <c r="AC860" s="176"/>
      <c r="AD860" s="176"/>
      <c r="AE860" s="176"/>
      <c r="AF860" s="176"/>
      <c r="AG860" s="176"/>
      <c r="AH860" s="176"/>
      <c r="AI860" s="176"/>
      <c r="AJ860" s="176"/>
      <c r="AK860" s="176"/>
      <c r="AL860" s="176"/>
      <c r="AM860" s="176"/>
      <c r="AN860" s="176"/>
      <c r="AO860" s="176"/>
      <c r="AP860" s="176"/>
      <c r="AQ860" s="176"/>
      <c r="AR860" s="176"/>
      <c r="AS860" s="176"/>
      <c r="AT860" s="176"/>
      <c r="AU860" s="176"/>
      <c r="AV860" s="176"/>
      <c r="AW860" s="176"/>
      <c r="AX860" s="176"/>
      <c r="AY860" s="176"/>
      <c r="AZ860" s="176"/>
      <c r="BA860" s="176"/>
      <c r="BB860" s="176"/>
      <c r="BC860" s="176"/>
      <c r="BD860" s="176"/>
      <c r="BE860" s="176"/>
      <c r="BF860" s="176"/>
      <c r="BG860" s="176"/>
      <c r="BH860" s="176"/>
      <c r="BI860" s="176"/>
      <c r="BJ860" s="176"/>
    </row>
    <row r="861" spans="2:62" x14ac:dyDescent="0.3">
      <c r="B861" s="3"/>
      <c r="C861" s="2"/>
      <c r="D861" s="2"/>
      <c r="E861" s="3"/>
      <c r="O861" s="176"/>
      <c r="P861" s="176"/>
      <c r="Q861" s="176"/>
      <c r="R861" s="176"/>
      <c r="S861" s="176"/>
      <c r="T861" s="176"/>
      <c r="U861" s="176"/>
      <c r="V861" s="176"/>
      <c r="W861" s="176"/>
      <c r="X861" s="176"/>
      <c r="Y861" s="176"/>
      <c r="Z861" s="176"/>
      <c r="AA861" s="176"/>
      <c r="AB861" s="176"/>
      <c r="AC861" s="176"/>
      <c r="AD861" s="176"/>
      <c r="AE861" s="176"/>
      <c r="AF861" s="176"/>
      <c r="AG861" s="176"/>
      <c r="AH861" s="176"/>
      <c r="AI861" s="176"/>
      <c r="AJ861" s="176"/>
      <c r="AK861" s="176"/>
      <c r="AL861" s="176"/>
      <c r="AM861" s="176"/>
      <c r="AN861" s="176"/>
      <c r="AO861" s="176"/>
      <c r="AP861" s="176"/>
      <c r="AQ861" s="176"/>
      <c r="AR861" s="176"/>
      <c r="AS861" s="176"/>
      <c r="AT861" s="176"/>
      <c r="AU861" s="176"/>
      <c r="AV861" s="176"/>
      <c r="AW861" s="176"/>
      <c r="AX861" s="176"/>
      <c r="AY861" s="176"/>
      <c r="AZ861" s="176"/>
      <c r="BA861" s="176"/>
      <c r="BB861" s="176"/>
      <c r="BC861" s="176"/>
      <c r="BD861" s="176"/>
      <c r="BE861" s="176"/>
      <c r="BF861" s="176"/>
      <c r="BG861" s="176"/>
      <c r="BH861" s="176"/>
      <c r="BI861" s="176"/>
      <c r="BJ861" s="176"/>
    </row>
    <row r="862" spans="2:62" x14ac:dyDescent="0.3">
      <c r="B862" s="3"/>
      <c r="C862" s="2"/>
      <c r="D862" s="2"/>
      <c r="E862" s="3"/>
      <c r="O862" s="176"/>
      <c r="P862" s="176"/>
      <c r="Q862" s="176"/>
      <c r="R862" s="176"/>
      <c r="S862" s="176"/>
      <c r="T862" s="176"/>
      <c r="U862" s="176"/>
      <c r="V862" s="176"/>
      <c r="W862" s="176"/>
      <c r="X862" s="176"/>
      <c r="Y862" s="176"/>
      <c r="Z862" s="176"/>
      <c r="AA862" s="176"/>
      <c r="AB862" s="176"/>
      <c r="AC862" s="176"/>
      <c r="AD862" s="176"/>
      <c r="AE862" s="176"/>
      <c r="AF862" s="176"/>
      <c r="AG862" s="176"/>
      <c r="AH862" s="176"/>
      <c r="AI862" s="176"/>
      <c r="AJ862" s="176"/>
      <c r="AK862" s="176"/>
      <c r="AL862" s="176"/>
      <c r="AM862" s="176"/>
      <c r="AN862" s="176"/>
      <c r="AO862" s="176"/>
      <c r="AP862" s="176"/>
      <c r="AQ862" s="176"/>
      <c r="AR862" s="176"/>
      <c r="AS862" s="176"/>
      <c r="AT862" s="176"/>
      <c r="AU862" s="176"/>
      <c r="AV862" s="176"/>
      <c r="AW862" s="176"/>
      <c r="AX862" s="176"/>
      <c r="AY862" s="176"/>
      <c r="AZ862" s="176"/>
      <c r="BA862" s="176"/>
      <c r="BB862" s="176"/>
      <c r="BC862" s="176"/>
      <c r="BD862" s="176"/>
      <c r="BE862" s="176"/>
      <c r="BF862" s="176"/>
      <c r="BG862" s="176"/>
      <c r="BH862" s="176"/>
      <c r="BI862" s="176"/>
      <c r="BJ862" s="176"/>
    </row>
    <row r="863" spans="2:62" x14ac:dyDescent="0.3">
      <c r="B863" s="3"/>
      <c r="C863" s="2"/>
      <c r="D863" s="2"/>
      <c r="E863" s="3"/>
      <c r="O863" s="176"/>
      <c r="P863" s="176"/>
      <c r="Q863" s="176"/>
      <c r="R863" s="176"/>
      <c r="S863" s="176"/>
      <c r="T863" s="176"/>
      <c r="U863" s="176"/>
      <c r="V863" s="176"/>
      <c r="W863" s="176"/>
      <c r="X863" s="176"/>
      <c r="Y863" s="176"/>
      <c r="Z863" s="176"/>
      <c r="AA863" s="176"/>
      <c r="AB863" s="176"/>
      <c r="AC863" s="176"/>
      <c r="AD863" s="176"/>
      <c r="AE863" s="176"/>
      <c r="AF863" s="176"/>
      <c r="AG863" s="176"/>
      <c r="AH863" s="176"/>
      <c r="AI863" s="176"/>
      <c r="AJ863" s="176"/>
      <c r="AK863" s="176"/>
      <c r="AL863" s="176"/>
      <c r="AM863" s="176"/>
      <c r="AN863" s="176"/>
      <c r="AO863" s="176"/>
      <c r="AP863" s="176"/>
      <c r="AQ863" s="176"/>
      <c r="AR863" s="176"/>
      <c r="AS863" s="176"/>
      <c r="AT863" s="176"/>
      <c r="AU863" s="176"/>
      <c r="AV863" s="176"/>
      <c r="AW863" s="176"/>
      <c r="AX863" s="176"/>
      <c r="AY863" s="176"/>
      <c r="AZ863" s="176"/>
      <c r="BA863" s="176"/>
      <c r="BB863" s="176"/>
      <c r="BC863" s="176"/>
      <c r="BD863" s="176"/>
      <c r="BE863" s="176"/>
      <c r="BF863" s="176"/>
      <c r="BG863" s="176"/>
      <c r="BH863" s="176"/>
      <c r="BI863" s="176"/>
      <c r="BJ863" s="176"/>
    </row>
    <row r="864" spans="2:62" x14ac:dyDescent="0.3">
      <c r="B864" s="3"/>
      <c r="C864" s="2"/>
      <c r="D864" s="2"/>
      <c r="E864" s="3"/>
      <c r="O864" s="176"/>
      <c r="P864" s="176"/>
      <c r="Q864" s="176"/>
      <c r="R864" s="176"/>
      <c r="S864" s="176"/>
      <c r="T864" s="176"/>
      <c r="U864" s="176"/>
      <c r="V864" s="176"/>
      <c r="W864" s="176"/>
      <c r="X864" s="176"/>
      <c r="Y864" s="176"/>
      <c r="Z864" s="176"/>
      <c r="AA864" s="176"/>
      <c r="AB864" s="176"/>
      <c r="AC864" s="176"/>
      <c r="AD864" s="176"/>
      <c r="AE864" s="176"/>
      <c r="AF864" s="176"/>
      <c r="AG864" s="176"/>
      <c r="AH864" s="176"/>
      <c r="AI864" s="176"/>
      <c r="AJ864" s="176"/>
      <c r="AK864" s="176"/>
      <c r="AL864" s="176"/>
      <c r="AM864" s="176"/>
      <c r="AN864" s="176"/>
      <c r="AO864" s="176"/>
      <c r="AP864" s="176"/>
      <c r="AQ864" s="176"/>
      <c r="AR864" s="176"/>
      <c r="AS864" s="176"/>
      <c r="AT864" s="176"/>
      <c r="AU864" s="176"/>
      <c r="AV864" s="176"/>
      <c r="AW864" s="176"/>
      <c r="AX864" s="176"/>
      <c r="AY864" s="176"/>
      <c r="AZ864" s="176"/>
      <c r="BA864" s="176"/>
      <c r="BB864" s="176"/>
      <c r="BC864" s="176"/>
      <c r="BD864" s="176"/>
      <c r="BE864" s="176"/>
      <c r="BF864" s="176"/>
      <c r="BG864" s="176"/>
      <c r="BH864" s="176"/>
      <c r="BI864" s="176"/>
      <c r="BJ864" s="176"/>
    </row>
    <row r="865" spans="2:62" x14ac:dyDescent="0.3">
      <c r="B865" s="3"/>
      <c r="C865" s="2"/>
      <c r="D865" s="2"/>
      <c r="E865" s="3"/>
      <c r="O865" s="176"/>
      <c r="P865" s="176"/>
      <c r="Q865" s="176"/>
      <c r="R865" s="176"/>
      <c r="S865" s="176"/>
      <c r="T865" s="176"/>
      <c r="U865" s="176"/>
      <c r="V865" s="176"/>
      <c r="W865" s="176"/>
      <c r="X865" s="176"/>
      <c r="Y865" s="176"/>
      <c r="Z865" s="176"/>
      <c r="AA865" s="176"/>
      <c r="AB865" s="176"/>
      <c r="AC865" s="176"/>
      <c r="AD865" s="176"/>
      <c r="AE865" s="176"/>
      <c r="AF865" s="176"/>
      <c r="AG865" s="176"/>
      <c r="AH865" s="176"/>
      <c r="AI865" s="176"/>
      <c r="AJ865" s="176"/>
      <c r="AK865" s="176"/>
      <c r="AL865" s="176"/>
      <c r="AM865" s="176"/>
      <c r="AN865" s="176"/>
      <c r="AO865" s="176"/>
      <c r="AP865" s="176"/>
      <c r="AQ865" s="176"/>
      <c r="AR865" s="176"/>
      <c r="AS865" s="176"/>
      <c r="AT865" s="176"/>
      <c r="AU865" s="176"/>
      <c r="AV865" s="176"/>
      <c r="AW865" s="176"/>
      <c r="AX865" s="176"/>
      <c r="AY865" s="176"/>
      <c r="AZ865" s="176"/>
      <c r="BA865" s="176"/>
      <c r="BB865" s="176"/>
      <c r="BC865" s="176"/>
      <c r="BD865" s="176"/>
      <c r="BE865" s="176"/>
      <c r="BF865" s="176"/>
      <c r="BG865" s="176"/>
      <c r="BH865" s="176"/>
      <c r="BI865" s="176"/>
      <c r="BJ865" s="176"/>
    </row>
    <row r="866" spans="2:62" x14ac:dyDescent="0.3">
      <c r="B866" s="3"/>
      <c r="C866" s="2"/>
      <c r="D866" s="2"/>
      <c r="E866" s="3"/>
      <c r="O866" s="176"/>
      <c r="P866" s="176"/>
      <c r="Q866" s="176"/>
      <c r="R866" s="176"/>
      <c r="S866" s="176"/>
      <c r="T866" s="176"/>
      <c r="U866" s="176"/>
      <c r="V866" s="176"/>
      <c r="W866" s="176"/>
      <c r="X866" s="176"/>
      <c r="Y866" s="176"/>
      <c r="Z866" s="176"/>
      <c r="AA866" s="176"/>
      <c r="AB866" s="176"/>
      <c r="AC866" s="176"/>
      <c r="AD866" s="176"/>
      <c r="AE866" s="176"/>
      <c r="AF866" s="176"/>
      <c r="AG866" s="176"/>
      <c r="AH866" s="176"/>
      <c r="AI866" s="176"/>
      <c r="AJ866" s="176"/>
      <c r="AK866" s="176"/>
      <c r="AL866" s="176"/>
      <c r="AM866" s="176"/>
      <c r="AN866" s="176"/>
      <c r="AO866" s="176"/>
      <c r="AP866" s="176"/>
      <c r="AQ866" s="176"/>
      <c r="AR866" s="176"/>
      <c r="AS866" s="176"/>
      <c r="AT866" s="176"/>
      <c r="AU866" s="176"/>
      <c r="AV866" s="176"/>
      <c r="AW866" s="176"/>
      <c r="AX866" s="176"/>
      <c r="AY866" s="176"/>
      <c r="AZ866" s="176"/>
      <c r="BA866" s="176"/>
      <c r="BB866" s="176"/>
      <c r="BC866" s="176"/>
      <c r="BD866" s="176"/>
      <c r="BE866" s="176"/>
      <c r="BF866" s="176"/>
      <c r="BG866" s="176"/>
      <c r="BH866" s="176"/>
      <c r="BI866" s="176"/>
      <c r="BJ866" s="176"/>
    </row>
    <row r="867" spans="2:62" x14ac:dyDescent="0.3">
      <c r="B867" s="3"/>
      <c r="C867" s="2"/>
      <c r="D867" s="2"/>
      <c r="E867" s="3"/>
      <c r="O867" s="176"/>
      <c r="P867" s="176"/>
      <c r="Q867" s="176"/>
      <c r="R867" s="176"/>
      <c r="S867" s="176"/>
      <c r="T867" s="176"/>
      <c r="U867" s="176"/>
      <c r="V867" s="176"/>
      <c r="W867" s="176"/>
      <c r="X867" s="176"/>
      <c r="Y867" s="176"/>
      <c r="Z867" s="176"/>
      <c r="AA867" s="176"/>
      <c r="AB867" s="176"/>
      <c r="AC867" s="176"/>
      <c r="AD867" s="176"/>
      <c r="AE867" s="176"/>
      <c r="AF867" s="176"/>
      <c r="AG867" s="176"/>
      <c r="AH867" s="176"/>
      <c r="AI867" s="176"/>
      <c r="AJ867" s="176"/>
      <c r="AK867" s="176"/>
      <c r="AL867" s="176"/>
      <c r="AM867" s="176"/>
      <c r="AN867" s="176"/>
      <c r="AO867" s="176"/>
      <c r="AP867" s="176"/>
      <c r="AQ867" s="176"/>
      <c r="AR867" s="176"/>
      <c r="AS867" s="176"/>
      <c r="AT867" s="176"/>
      <c r="AU867" s="176"/>
      <c r="AV867" s="176"/>
      <c r="AW867" s="176"/>
      <c r="AX867" s="176"/>
      <c r="AY867" s="176"/>
      <c r="AZ867" s="176"/>
      <c r="BA867" s="176"/>
      <c r="BB867" s="176"/>
      <c r="BC867" s="176"/>
      <c r="BD867" s="176"/>
      <c r="BE867" s="176"/>
      <c r="BF867" s="176"/>
      <c r="BG867" s="176"/>
      <c r="BH867" s="176"/>
      <c r="BI867" s="176"/>
      <c r="BJ867" s="176"/>
    </row>
    <row r="868" spans="2:62" x14ac:dyDescent="0.3">
      <c r="B868" s="3"/>
      <c r="C868" s="2"/>
      <c r="D868" s="2"/>
      <c r="E868" s="3"/>
      <c r="O868" s="176"/>
      <c r="P868" s="176"/>
      <c r="Q868" s="176"/>
      <c r="R868" s="176"/>
      <c r="S868" s="176"/>
      <c r="T868" s="176"/>
      <c r="U868" s="176"/>
      <c r="V868" s="176"/>
      <c r="W868" s="176"/>
      <c r="X868" s="176"/>
      <c r="Y868" s="176"/>
      <c r="Z868" s="176"/>
      <c r="AA868" s="176"/>
      <c r="AB868" s="176"/>
      <c r="AC868" s="176"/>
      <c r="AD868" s="176"/>
      <c r="AE868" s="176"/>
      <c r="AF868" s="176"/>
      <c r="AG868" s="176"/>
      <c r="AH868" s="176"/>
      <c r="AI868" s="176"/>
      <c r="AJ868" s="176"/>
      <c r="AK868" s="176"/>
      <c r="AL868" s="176"/>
      <c r="AM868" s="176"/>
      <c r="AN868" s="176"/>
      <c r="AO868" s="176"/>
      <c r="AP868" s="176"/>
      <c r="AQ868" s="176"/>
      <c r="AR868" s="176"/>
      <c r="AS868" s="176"/>
      <c r="AT868" s="176"/>
      <c r="AU868" s="176"/>
      <c r="AV868" s="176"/>
      <c r="AW868" s="176"/>
      <c r="AX868" s="176"/>
      <c r="AY868" s="176"/>
      <c r="AZ868" s="176"/>
      <c r="BA868" s="176"/>
      <c r="BB868" s="176"/>
      <c r="BC868" s="176"/>
      <c r="BD868" s="176"/>
      <c r="BE868" s="176"/>
      <c r="BF868" s="176"/>
      <c r="BG868" s="176"/>
      <c r="BH868" s="176"/>
      <c r="BI868" s="176"/>
      <c r="BJ868" s="176"/>
    </row>
    <row r="869" spans="2:62" x14ac:dyDescent="0.3">
      <c r="B869" s="3"/>
      <c r="C869" s="2"/>
      <c r="D869" s="2"/>
      <c r="E869" s="3"/>
      <c r="O869" s="176"/>
      <c r="P869" s="176"/>
      <c r="Q869" s="176"/>
      <c r="R869" s="176"/>
      <c r="S869" s="176"/>
      <c r="T869" s="176"/>
      <c r="U869" s="176"/>
      <c r="V869" s="176"/>
      <c r="W869" s="176"/>
      <c r="X869" s="176"/>
      <c r="Y869" s="176"/>
      <c r="Z869" s="176"/>
      <c r="AA869" s="176"/>
      <c r="AB869" s="176"/>
      <c r="AC869" s="176"/>
      <c r="AD869" s="176"/>
      <c r="AE869" s="176"/>
      <c r="AF869" s="176"/>
      <c r="AG869" s="176"/>
      <c r="AH869" s="176"/>
      <c r="AI869" s="176"/>
      <c r="AJ869" s="176"/>
      <c r="AK869" s="176"/>
      <c r="AL869" s="176"/>
      <c r="AM869" s="176"/>
      <c r="AN869" s="176"/>
      <c r="AO869" s="176"/>
      <c r="AP869" s="176"/>
      <c r="AQ869" s="176"/>
      <c r="AR869" s="176"/>
      <c r="AS869" s="176"/>
      <c r="AT869" s="176"/>
      <c r="AU869" s="176"/>
      <c r="AV869" s="176"/>
      <c r="AW869" s="176"/>
      <c r="AX869" s="176"/>
      <c r="AY869" s="176"/>
      <c r="AZ869" s="176"/>
      <c r="BA869" s="176"/>
      <c r="BB869" s="176"/>
      <c r="BC869" s="176"/>
      <c r="BD869" s="176"/>
      <c r="BE869" s="176"/>
      <c r="BF869" s="176"/>
      <c r="BG869" s="176"/>
      <c r="BH869" s="176"/>
      <c r="BI869" s="176"/>
      <c r="BJ869" s="176"/>
    </row>
    <row r="870" spans="2:62" x14ac:dyDescent="0.3">
      <c r="B870" s="3"/>
      <c r="C870" s="2"/>
      <c r="D870" s="2"/>
      <c r="E870" s="3"/>
      <c r="O870" s="176"/>
      <c r="P870" s="176"/>
      <c r="Q870" s="176"/>
      <c r="R870" s="176"/>
      <c r="S870" s="176"/>
      <c r="T870" s="176"/>
      <c r="U870" s="176"/>
      <c r="V870" s="176"/>
      <c r="W870" s="176"/>
      <c r="X870" s="176"/>
      <c r="Y870" s="176"/>
      <c r="Z870" s="176"/>
      <c r="AA870" s="176"/>
      <c r="AB870" s="176"/>
      <c r="AC870" s="176"/>
      <c r="AD870" s="176"/>
      <c r="AE870" s="176"/>
      <c r="AF870" s="176"/>
      <c r="AG870" s="176"/>
      <c r="AH870" s="176"/>
      <c r="AI870" s="176"/>
      <c r="AJ870" s="176"/>
      <c r="AK870" s="176"/>
      <c r="AL870" s="176"/>
      <c r="AM870" s="176"/>
      <c r="AN870" s="176"/>
      <c r="AO870" s="176"/>
      <c r="AP870" s="176"/>
      <c r="AQ870" s="176"/>
      <c r="AR870" s="176"/>
      <c r="AS870" s="176"/>
      <c r="AT870" s="176"/>
      <c r="AU870" s="176"/>
      <c r="AV870" s="176"/>
      <c r="AW870" s="176"/>
      <c r="AX870" s="176"/>
      <c r="AY870" s="176"/>
      <c r="AZ870" s="176"/>
      <c r="BA870" s="176"/>
      <c r="BB870" s="176"/>
      <c r="BC870" s="176"/>
      <c r="BD870" s="176"/>
      <c r="BE870" s="176"/>
      <c r="BF870" s="176"/>
      <c r="BG870" s="176"/>
      <c r="BH870" s="176"/>
      <c r="BI870" s="176"/>
      <c r="BJ870" s="176"/>
    </row>
    <row r="871" spans="2:62" x14ac:dyDescent="0.3">
      <c r="B871" s="3"/>
      <c r="C871" s="2"/>
      <c r="D871" s="2"/>
      <c r="E871" s="3"/>
      <c r="O871" s="176"/>
      <c r="P871" s="176"/>
      <c r="Q871" s="176"/>
      <c r="R871" s="176"/>
      <c r="S871" s="176"/>
      <c r="T871" s="176"/>
      <c r="U871" s="176"/>
      <c r="V871" s="176"/>
      <c r="W871" s="176"/>
      <c r="X871" s="176"/>
      <c r="Y871" s="176"/>
      <c r="Z871" s="176"/>
      <c r="AA871" s="176"/>
      <c r="AB871" s="176"/>
      <c r="AC871" s="176"/>
      <c r="AD871" s="176"/>
      <c r="AE871" s="176"/>
      <c r="AF871" s="176"/>
      <c r="AG871" s="176"/>
      <c r="AH871" s="176"/>
      <c r="AI871" s="176"/>
      <c r="AJ871" s="176"/>
      <c r="AK871" s="176"/>
      <c r="AL871" s="176"/>
      <c r="AM871" s="176"/>
      <c r="AN871" s="176"/>
      <c r="AO871" s="176"/>
      <c r="AP871" s="176"/>
      <c r="AQ871" s="176"/>
      <c r="AR871" s="176"/>
      <c r="AS871" s="176"/>
      <c r="AT871" s="176"/>
      <c r="AU871" s="176"/>
      <c r="AV871" s="176"/>
      <c r="AW871" s="176"/>
      <c r="AX871" s="176"/>
      <c r="AY871" s="176"/>
      <c r="AZ871" s="176"/>
      <c r="BA871" s="176"/>
      <c r="BB871" s="176"/>
      <c r="BC871" s="176"/>
      <c r="BD871" s="176"/>
      <c r="BE871" s="176"/>
      <c r="BF871" s="176"/>
      <c r="BG871" s="176"/>
      <c r="BH871" s="176"/>
      <c r="BI871" s="176"/>
      <c r="BJ871" s="176"/>
    </row>
    <row r="872" spans="2:62" x14ac:dyDescent="0.3">
      <c r="B872" s="3"/>
      <c r="C872" s="2"/>
      <c r="D872" s="2"/>
      <c r="E872" s="3"/>
      <c r="O872" s="176"/>
      <c r="P872" s="176"/>
      <c r="Q872" s="176"/>
      <c r="R872" s="176"/>
      <c r="S872" s="176"/>
      <c r="T872" s="176"/>
      <c r="U872" s="176"/>
      <c r="V872" s="176"/>
      <c r="W872" s="176"/>
      <c r="X872" s="176"/>
      <c r="Y872" s="176"/>
      <c r="Z872" s="176"/>
      <c r="AA872" s="176"/>
      <c r="AB872" s="176"/>
      <c r="AC872" s="176"/>
      <c r="AD872" s="176"/>
      <c r="AE872" s="176"/>
      <c r="AF872" s="176"/>
      <c r="AG872" s="176"/>
      <c r="AH872" s="176"/>
      <c r="AI872" s="176"/>
      <c r="AJ872" s="176"/>
      <c r="AK872" s="176"/>
      <c r="AL872" s="176"/>
      <c r="AM872" s="176"/>
      <c r="AN872" s="176"/>
      <c r="AO872" s="176"/>
      <c r="AP872" s="176"/>
      <c r="AQ872" s="176"/>
      <c r="AR872" s="176"/>
      <c r="AS872" s="176"/>
      <c r="AT872" s="176"/>
      <c r="AU872" s="176"/>
      <c r="AV872" s="176"/>
      <c r="AW872" s="176"/>
      <c r="AX872" s="176"/>
      <c r="AY872" s="176"/>
      <c r="AZ872" s="176"/>
      <c r="BA872" s="176"/>
      <c r="BB872" s="176"/>
      <c r="BC872" s="176"/>
      <c r="BD872" s="176"/>
      <c r="BE872" s="176"/>
      <c r="BF872" s="176"/>
      <c r="BG872" s="176"/>
      <c r="BH872" s="176"/>
      <c r="BI872" s="176"/>
      <c r="BJ872" s="176"/>
    </row>
    <row r="873" spans="2:62" x14ac:dyDescent="0.3">
      <c r="B873" s="3"/>
      <c r="C873" s="2"/>
      <c r="D873" s="2"/>
      <c r="E873" s="3"/>
      <c r="O873" s="176"/>
      <c r="P873" s="176"/>
      <c r="Q873" s="176"/>
      <c r="R873" s="176"/>
      <c r="S873" s="176"/>
      <c r="T873" s="176"/>
      <c r="U873" s="176"/>
      <c r="V873" s="176"/>
      <c r="W873" s="176"/>
      <c r="X873" s="176"/>
      <c r="Y873" s="176"/>
      <c r="Z873" s="176"/>
      <c r="AA873" s="176"/>
      <c r="AB873" s="176"/>
      <c r="AC873" s="176"/>
      <c r="AD873" s="176"/>
      <c r="AE873" s="176"/>
      <c r="AF873" s="176"/>
      <c r="AG873" s="176"/>
      <c r="AH873" s="176"/>
      <c r="AI873" s="176"/>
      <c r="AJ873" s="176"/>
      <c r="AK873" s="176"/>
      <c r="AL873" s="176"/>
      <c r="AM873" s="176"/>
      <c r="AN873" s="176"/>
      <c r="AO873" s="176"/>
      <c r="AP873" s="176"/>
      <c r="AQ873" s="176"/>
      <c r="AR873" s="176"/>
      <c r="AS873" s="176"/>
      <c r="AT873" s="176"/>
      <c r="AU873" s="176"/>
      <c r="AV873" s="176"/>
      <c r="AW873" s="176"/>
      <c r="AX873" s="176"/>
      <c r="AY873" s="176"/>
      <c r="AZ873" s="176"/>
      <c r="BA873" s="176"/>
      <c r="BB873" s="176"/>
      <c r="BC873" s="176"/>
      <c r="BD873" s="176"/>
      <c r="BE873" s="176"/>
      <c r="BF873" s="176"/>
      <c r="BG873" s="176"/>
      <c r="BH873" s="176"/>
      <c r="BI873" s="176"/>
      <c r="BJ873" s="176"/>
    </row>
    <row r="874" spans="2:62" x14ac:dyDescent="0.3">
      <c r="B874" s="3"/>
      <c r="C874" s="2"/>
      <c r="D874" s="2"/>
      <c r="E874" s="3"/>
      <c r="O874" s="176"/>
      <c r="P874" s="176"/>
      <c r="Q874" s="176"/>
      <c r="R874" s="176"/>
      <c r="S874" s="176"/>
      <c r="T874" s="176"/>
      <c r="U874" s="176"/>
      <c r="V874" s="176"/>
      <c r="W874" s="176"/>
      <c r="X874" s="176"/>
      <c r="Y874" s="176"/>
      <c r="Z874" s="176"/>
      <c r="AA874" s="176"/>
      <c r="AB874" s="176"/>
      <c r="AC874" s="176"/>
      <c r="AD874" s="176"/>
      <c r="AE874" s="176"/>
      <c r="AF874" s="176"/>
      <c r="AG874" s="176"/>
      <c r="AH874" s="176"/>
      <c r="AI874" s="176"/>
      <c r="AJ874" s="176"/>
      <c r="AK874" s="176"/>
      <c r="AL874" s="176"/>
      <c r="AM874" s="176"/>
      <c r="AN874" s="176"/>
      <c r="AO874" s="176"/>
      <c r="AP874" s="176"/>
      <c r="AQ874" s="176"/>
      <c r="AR874" s="176"/>
      <c r="AS874" s="176"/>
      <c r="AT874" s="176"/>
      <c r="AU874" s="176"/>
      <c r="AV874" s="176"/>
      <c r="AW874" s="176"/>
      <c r="AX874" s="176"/>
      <c r="AY874" s="176"/>
      <c r="AZ874" s="176"/>
      <c r="BA874" s="176"/>
      <c r="BB874" s="176"/>
      <c r="BC874" s="176"/>
      <c r="BD874" s="176"/>
      <c r="BE874" s="176"/>
      <c r="BF874" s="176"/>
      <c r="BG874" s="176"/>
      <c r="BH874" s="176"/>
      <c r="BI874" s="176"/>
      <c r="BJ874" s="176"/>
    </row>
    <row r="875" spans="2:62" x14ac:dyDescent="0.3">
      <c r="B875" s="3"/>
      <c r="C875" s="2"/>
      <c r="D875" s="2"/>
      <c r="E875" s="3"/>
      <c r="O875" s="176"/>
      <c r="P875" s="176"/>
      <c r="Q875" s="176"/>
      <c r="R875" s="176"/>
      <c r="S875" s="176"/>
      <c r="T875" s="176"/>
      <c r="U875" s="176"/>
      <c r="V875" s="176"/>
      <c r="W875" s="176"/>
      <c r="X875" s="176"/>
      <c r="Y875" s="176"/>
      <c r="Z875" s="176"/>
      <c r="AA875" s="176"/>
      <c r="AB875" s="176"/>
      <c r="AC875" s="176"/>
      <c r="AD875" s="176"/>
      <c r="AE875" s="176"/>
      <c r="AF875" s="176"/>
      <c r="AG875" s="176"/>
      <c r="AH875" s="176"/>
      <c r="AI875" s="176"/>
      <c r="AJ875" s="176"/>
      <c r="AK875" s="176"/>
      <c r="AL875" s="176"/>
      <c r="AM875" s="176"/>
      <c r="AN875" s="176"/>
      <c r="AO875" s="176"/>
      <c r="AP875" s="176"/>
      <c r="AQ875" s="176"/>
      <c r="AR875" s="176"/>
      <c r="AS875" s="176"/>
      <c r="AT875" s="176"/>
      <c r="AU875" s="176"/>
      <c r="AV875" s="176"/>
      <c r="AW875" s="176"/>
      <c r="AX875" s="176"/>
      <c r="AY875" s="176"/>
      <c r="AZ875" s="176"/>
      <c r="BA875" s="176"/>
      <c r="BB875" s="176"/>
      <c r="BC875" s="176"/>
      <c r="BD875" s="176"/>
      <c r="BE875" s="176"/>
      <c r="BF875" s="176"/>
      <c r="BG875" s="176"/>
      <c r="BH875" s="176"/>
      <c r="BI875" s="176"/>
      <c r="BJ875" s="176"/>
    </row>
    <row r="876" spans="2:62" x14ac:dyDescent="0.3">
      <c r="B876" s="3"/>
      <c r="C876" s="2"/>
      <c r="D876" s="2"/>
      <c r="E876" s="3"/>
      <c r="O876" s="176"/>
      <c r="P876" s="176"/>
      <c r="Q876" s="176"/>
      <c r="R876" s="176"/>
      <c r="S876" s="176"/>
      <c r="T876" s="176"/>
      <c r="U876" s="176"/>
      <c r="V876" s="176"/>
      <c r="W876" s="176"/>
      <c r="X876" s="176"/>
      <c r="Y876" s="176"/>
      <c r="Z876" s="176"/>
      <c r="AA876" s="176"/>
      <c r="AB876" s="176"/>
      <c r="AC876" s="176"/>
      <c r="AD876" s="176"/>
      <c r="AE876" s="176"/>
      <c r="AF876" s="176"/>
      <c r="AG876" s="176"/>
      <c r="AH876" s="176"/>
      <c r="AI876" s="176"/>
      <c r="AJ876" s="176"/>
      <c r="AK876" s="176"/>
      <c r="AL876" s="176"/>
      <c r="AM876" s="176"/>
      <c r="AN876" s="176"/>
      <c r="AO876" s="176"/>
      <c r="AP876" s="176"/>
      <c r="AQ876" s="176"/>
      <c r="AR876" s="176"/>
      <c r="AS876" s="176"/>
      <c r="AT876" s="176"/>
      <c r="AU876" s="176"/>
      <c r="AV876" s="176"/>
      <c r="AW876" s="176"/>
      <c r="AX876" s="176"/>
      <c r="AY876" s="176"/>
      <c r="AZ876" s="176"/>
      <c r="BA876" s="176"/>
      <c r="BB876" s="176"/>
      <c r="BC876" s="176"/>
      <c r="BD876" s="176"/>
      <c r="BE876" s="176"/>
      <c r="BF876" s="176"/>
      <c r="BG876" s="176"/>
      <c r="BH876" s="176"/>
      <c r="BI876" s="176"/>
      <c r="BJ876" s="176"/>
    </row>
    <row r="877" spans="2:62" x14ac:dyDescent="0.3">
      <c r="B877" s="3"/>
      <c r="C877" s="2"/>
      <c r="D877" s="2"/>
      <c r="E877" s="3"/>
      <c r="O877" s="176"/>
      <c r="P877" s="176"/>
      <c r="Q877" s="176"/>
      <c r="R877" s="176"/>
      <c r="S877" s="176"/>
      <c r="T877" s="176"/>
      <c r="U877" s="176"/>
      <c r="V877" s="176"/>
      <c r="W877" s="176"/>
      <c r="X877" s="176"/>
      <c r="Y877" s="176"/>
      <c r="Z877" s="176"/>
      <c r="AA877" s="176"/>
      <c r="AB877" s="176"/>
      <c r="AC877" s="176"/>
      <c r="AD877" s="176"/>
      <c r="AE877" s="176"/>
      <c r="AF877" s="176"/>
      <c r="AG877" s="176"/>
      <c r="AH877" s="176"/>
      <c r="AI877" s="176"/>
      <c r="AJ877" s="176"/>
      <c r="AK877" s="176"/>
      <c r="AL877" s="176"/>
      <c r="AM877" s="176"/>
      <c r="AN877" s="176"/>
      <c r="AO877" s="176"/>
      <c r="AP877" s="176"/>
      <c r="AQ877" s="176"/>
      <c r="AR877" s="176"/>
      <c r="AS877" s="176"/>
      <c r="AT877" s="176"/>
      <c r="AU877" s="176"/>
      <c r="AV877" s="176"/>
      <c r="AW877" s="176"/>
      <c r="AX877" s="176"/>
      <c r="AY877" s="176"/>
      <c r="AZ877" s="176"/>
      <c r="BA877" s="176"/>
      <c r="BB877" s="176"/>
      <c r="BC877" s="176"/>
      <c r="BD877" s="176"/>
      <c r="BE877" s="176"/>
      <c r="BF877" s="176"/>
      <c r="BG877" s="176"/>
      <c r="BH877" s="176"/>
      <c r="BI877" s="176"/>
      <c r="BJ877" s="176"/>
    </row>
    <row r="878" spans="2:62" x14ac:dyDescent="0.3">
      <c r="B878" s="3"/>
      <c r="C878" s="2"/>
      <c r="D878" s="2"/>
      <c r="E878" s="3"/>
      <c r="O878" s="176"/>
      <c r="P878" s="176"/>
      <c r="Q878" s="176"/>
      <c r="R878" s="176"/>
      <c r="S878" s="176"/>
      <c r="T878" s="176"/>
      <c r="U878" s="176"/>
      <c r="V878" s="176"/>
      <c r="W878" s="176"/>
      <c r="X878" s="176"/>
      <c r="Y878" s="176"/>
      <c r="Z878" s="176"/>
      <c r="AA878" s="176"/>
      <c r="AB878" s="176"/>
      <c r="AC878" s="176"/>
      <c r="AD878" s="176"/>
      <c r="AE878" s="176"/>
      <c r="AF878" s="176"/>
      <c r="AG878" s="176"/>
      <c r="AH878" s="176"/>
      <c r="AI878" s="176"/>
      <c r="AJ878" s="176"/>
      <c r="AK878" s="176"/>
      <c r="AL878" s="176"/>
      <c r="AM878" s="176"/>
      <c r="AN878" s="176"/>
      <c r="AO878" s="176"/>
      <c r="AP878" s="176"/>
      <c r="AQ878" s="176"/>
      <c r="AR878" s="176"/>
      <c r="AS878" s="176"/>
      <c r="AT878" s="176"/>
      <c r="AU878" s="176"/>
      <c r="AV878" s="176"/>
      <c r="AW878" s="176"/>
      <c r="AX878" s="176"/>
      <c r="AY878" s="176"/>
      <c r="AZ878" s="176"/>
      <c r="BA878" s="176"/>
      <c r="BB878" s="176"/>
      <c r="BC878" s="176"/>
      <c r="BD878" s="176"/>
      <c r="BE878" s="176"/>
      <c r="BF878" s="176"/>
      <c r="BG878" s="176"/>
      <c r="BH878" s="176"/>
      <c r="BI878" s="176"/>
      <c r="BJ878" s="176"/>
    </row>
    <row r="879" spans="2:62" x14ac:dyDescent="0.3">
      <c r="B879" s="3"/>
      <c r="C879" s="2"/>
      <c r="D879" s="2"/>
      <c r="E879" s="3"/>
      <c r="O879" s="176"/>
      <c r="P879" s="176"/>
      <c r="Q879" s="176"/>
      <c r="R879" s="176"/>
      <c r="S879" s="176"/>
      <c r="T879" s="176"/>
      <c r="U879" s="176"/>
      <c r="V879" s="176"/>
      <c r="W879" s="176"/>
      <c r="X879" s="176"/>
      <c r="Y879" s="176"/>
      <c r="Z879" s="176"/>
      <c r="AA879" s="176"/>
      <c r="AB879" s="176"/>
      <c r="AC879" s="176"/>
      <c r="AD879" s="176"/>
      <c r="AE879" s="176"/>
      <c r="AF879" s="176"/>
      <c r="AG879" s="176"/>
      <c r="AH879" s="176"/>
      <c r="AI879" s="176"/>
      <c r="AJ879" s="176"/>
      <c r="AK879" s="176"/>
      <c r="AL879" s="176"/>
      <c r="AM879" s="176"/>
      <c r="AN879" s="176"/>
      <c r="AO879" s="176"/>
      <c r="AP879" s="176"/>
      <c r="AQ879" s="176"/>
      <c r="AR879" s="176"/>
      <c r="AS879" s="176"/>
      <c r="AT879" s="176"/>
      <c r="AU879" s="176"/>
      <c r="AV879" s="176"/>
      <c r="AW879" s="176"/>
      <c r="AX879" s="176"/>
      <c r="AY879" s="176"/>
      <c r="AZ879" s="176"/>
      <c r="BA879" s="176"/>
      <c r="BB879" s="176"/>
      <c r="BC879" s="176"/>
      <c r="BD879" s="176"/>
      <c r="BE879" s="176"/>
      <c r="BF879" s="176"/>
      <c r="BG879" s="176"/>
      <c r="BH879" s="176"/>
      <c r="BI879" s="176"/>
      <c r="BJ879" s="176"/>
    </row>
    <row r="880" spans="2:62" x14ac:dyDescent="0.3">
      <c r="B880" s="3"/>
      <c r="C880" s="2"/>
      <c r="D880" s="2"/>
      <c r="E880" s="3"/>
      <c r="O880" s="176"/>
      <c r="P880" s="176"/>
      <c r="Q880" s="176"/>
      <c r="R880" s="176"/>
      <c r="S880" s="176"/>
      <c r="T880" s="176"/>
      <c r="U880" s="176"/>
      <c r="V880" s="176"/>
      <c r="W880" s="176"/>
      <c r="X880" s="176"/>
      <c r="Y880" s="176"/>
      <c r="Z880" s="176"/>
      <c r="AA880" s="176"/>
      <c r="AB880" s="176"/>
      <c r="AC880" s="176"/>
      <c r="AD880" s="176"/>
      <c r="AE880" s="176"/>
      <c r="AF880" s="176"/>
      <c r="AG880" s="176"/>
      <c r="AH880" s="176"/>
      <c r="AI880" s="176"/>
      <c r="AJ880" s="176"/>
      <c r="AK880" s="176"/>
      <c r="AL880" s="176"/>
      <c r="AM880" s="176"/>
      <c r="AN880" s="176"/>
      <c r="AO880" s="176"/>
      <c r="AP880" s="176"/>
      <c r="AQ880" s="176"/>
      <c r="AR880" s="176"/>
      <c r="AS880" s="176"/>
      <c r="AT880" s="176"/>
      <c r="AU880" s="176"/>
      <c r="AV880" s="176"/>
      <c r="AW880" s="176"/>
      <c r="AX880" s="176"/>
      <c r="AY880" s="176"/>
      <c r="AZ880" s="176"/>
      <c r="BA880" s="176"/>
      <c r="BB880" s="176"/>
      <c r="BC880" s="176"/>
      <c r="BD880" s="176"/>
      <c r="BE880" s="176"/>
      <c r="BF880" s="176"/>
      <c r="BG880" s="176"/>
      <c r="BH880" s="176"/>
      <c r="BI880" s="176"/>
      <c r="BJ880" s="176"/>
    </row>
    <row r="881" spans="2:62" x14ac:dyDescent="0.3">
      <c r="B881" s="3"/>
      <c r="C881" s="2"/>
      <c r="D881" s="2"/>
      <c r="E881" s="3"/>
      <c r="O881" s="176"/>
      <c r="P881" s="176"/>
      <c r="Q881" s="176"/>
      <c r="R881" s="176"/>
      <c r="S881" s="176"/>
      <c r="T881" s="176"/>
      <c r="U881" s="176"/>
      <c r="V881" s="176"/>
      <c r="W881" s="176"/>
      <c r="X881" s="176"/>
      <c r="Y881" s="176"/>
      <c r="Z881" s="176"/>
      <c r="AA881" s="176"/>
      <c r="AB881" s="176"/>
      <c r="AC881" s="176"/>
      <c r="AD881" s="176"/>
      <c r="AE881" s="176"/>
      <c r="AF881" s="176"/>
      <c r="AG881" s="176"/>
      <c r="AH881" s="176"/>
      <c r="AI881" s="176"/>
      <c r="AJ881" s="176"/>
      <c r="AK881" s="176"/>
      <c r="AL881" s="176"/>
      <c r="AM881" s="176"/>
      <c r="AN881" s="176"/>
      <c r="AO881" s="176"/>
      <c r="AP881" s="176"/>
      <c r="AQ881" s="176"/>
      <c r="AR881" s="176"/>
      <c r="AS881" s="176"/>
      <c r="AT881" s="176"/>
      <c r="AU881" s="176"/>
      <c r="AV881" s="176"/>
      <c r="AW881" s="176"/>
      <c r="AX881" s="176"/>
      <c r="AY881" s="176"/>
      <c r="AZ881" s="176"/>
      <c r="BA881" s="176"/>
      <c r="BB881" s="176"/>
      <c r="BC881" s="176"/>
      <c r="BD881" s="176"/>
      <c r="BE881" s="176"/>
      <c r="BF881" s="176"/>
      <c r="BG881" s="176"/>
      <c r="BH881" s="176"/>
      <c r="BI881" s="176"/>
      <c r="BJ881" s="176"/>
    </row>
    <row r="882" spans="2:62" x14ac:dyDescent="0.3">
      <c r="B882" s="3"/>
      <c r="C882" s="2"/>
      <c r="D882" s="2"/>
      <c r="E882" s="3"/>
      <c r="O882" s="176"/>
      <c r="P882" s="176"/>
      <c r="Q882" s="176"/>
      <c r="R882" s="176"/>
      <c r="S882" s="176"/>
      <c r="T882" s="176"/>
      <c r="U882" s="176"/>
      <c r="V882" s="176"/>
      <c r="W882" s="176"/>
      <c r="X882" s="176"/>
      <c r="Y882" s="176"/>
      <c r="Z882" s="176"/>
      <c r="AA882" s="176"/>
      <c r="AB882" s="176"/>
      <c r="AC882" s="176"/>
      <c r="AD882" s="176"/>
      <c r="AE882" s="176"/>
      <c r="AF882" s="176"/>
      <c r="AG882" s="176"/>
      <c r="AH882" s="176"/>
      <c r="AI882" s="176"/>
      <c r="AJ882" s="176"/>
      <c r="AK882" s="176"/>
      <c r="AL882" s="176"/>
      <c r="AM882" s="176"/>
      <c r="AN882" s="176"/>
      <c r="AO882" s="176"/>
      <c r="AP882" s="176"/>
      <c r="AQ882" s="176"/>
      <c r="AR882" s="176"/>
      <c r="AS882" s="176"/>
      <c r="AT882" s="176"/>
      <c r="AU882" s="176"/>
      <c r="AV882" s="176"/>
      <c r="AW882" s="176"/>
      <c r="AX882" s="176"/>
      <c r="AY882" s="176"/>
      <c r="AZ882" s="176"/>
      <c r="BA882" s="176"/>
      <c r="BB882" s="176"/>
      <c r="BC882" s="176"/>
      <c r="BD882" s="176"/>
      <c r="BE882" s="176"/>
      <c r="BF882" s="176"/>
      <c r="BG882" s="176"/>
      <c r="BH882" s="176"/>
      <c r="BI882" s="176"/>
      <c r="BJ882" s="176"/>
    </row>
    <row r="883" spans="2:62" x14ac:dyDescent="0.3">
      <c r="B883" s="3"/>
      <c r="C883" s="2"/>
      <c r="D883" s="2"/>
      <c r="E883" s="3"/>
      <c r="O883" s="176"/>
      <c r="P883" s="176"/>
      <c r="Q883" s="176"/>
      <c r="R883" s="176"/>
      <c r="S883" s="176"/>
      <c r="T883" s="176"/>
      <c r="U883" s="176"/>
      <c r="V883" s="176"/>
      <c r="W883" s="176"/>
      <c r="X883" s="176"/>
      <c r="Y883" s="176"/>
      <c r="Z883" s="176"/>
      <c r="AA883" s="176"/>
      <c r="AB883" s="176"/>
      <c r="AC883" s="176"/>
      <c r="AD883" s="176"/>
      <c r="AE883" s="176"/>
      <c r="AF883" s="176"/>
      <c r="AG883" s="176"/>
      <c r="AH883" s="176"/>
      <c r="AI883" s="176"/>
      <c r="AJ883" s="176"/>
      <c r="AK883" s="176"/>
      <c r="AL883" s="176"/>
      <c r="AM883" s="176"/>
      <c r="AN883" s="176"/>
      <c r="AO883" s="176"/>
      <c r="AP883" s="176"/>
      <c r="AQ883" s="176"/>
      <c r="AR883" s="176"/>
      <c r="AS883" s="176"/>
      <c r="AT883" s="176"/>
      <c r="AU883" s="176"/>
      <c r="AV883" s="176"/>
      <c r="AW883" s="176"/>
      <c r="AX883" s="176"/>
      <c r="AY883" s="176"/>
      <c r="AZ883" s="176"/>
      <c r="BA883" s="176"/>
      <c r="BB883" s="176"/>
      <c r="BC883" s="176"/>
      <c r="BD883" s="176"/>
      <c r="BE883" s="176"/>
      <c r="BF883" s="176"/>
      <c r="BG883" s="176"/>
      <c r="BH883" s="176"/>
      <c r="BI883" s="176"/>
      <c r="BJ883" s="176"/>
    </row>
    <row r="884" spans="2:62" x14ac:dyDescent="0.3">
      <c r="B884" s="3"/>
      <c r="C884" s="2"/>
      <c r="D884" s="2"/>
      <c r="E884" s="3"/>
      <c r="O884" s="176"/>
      <c r="P884" s="176"/>
      <c r="Q884" s="176"/>
      <c r="R884" s="176"/>
      <c r="S884" s="176"/>
      <c r="T884" s="176"/>
      <c r="U884" s="176"/>
      <c r="V884" s="176"/>
      <c r="W884" s="176"/>
      <c r="X884" s="176"/>
      <c r="Y884" s="176"/>
      <c r="Z884" s="176"/>
      <c r="AA884" s="176"/>
      <c r="AB884" s="176"/>
      <c r="AC884" s="176"/>
      <c r="AD884" s="176"/>
      <c r="AE884" s="176"/>
      <c r="AF884" s="176"/>
      <c r="AG884" s="176"/>
      <c r="AH884" s="176"/>
      <c r="AI884" s="176"/>
      <c r="AJ884" s="176"/>
      <c r="AK884" s="176"/>
      <c r="AL884" s="176"/>
      <c r="AM884" s="176"/>
      <c r="AN884" s="176"/>
      <c r="AO884" s="176"/>
      <c r="AP884" s="176"/>
      <c r="AQ884" s="176"/>
      <c r="AR884" s="176"/>
      <c r="AS884" s="176"/>
      <c r="AT884" s="176"/>
      <c r="AU884" s="176"/>
      <c r="AV884" s="176"/>
      <c r="AW884" s="176"/>
      <c r="AX884" s="176"/>
      <c r="AY884" s="176"/>
      <c r="AZ884" s="176"/>
      <c r="BA884" s="176"/>
      <c r="BB884" s="176"/>
      <c r="BC884" s="176"/>
      <c r="BD884" s="176"/>
      <c r="BE884" s="176"/>
      <c r="BF884" s="176"/>
      <c r="BG884" s="176"/>
      <c r="BH884" s="176"/>
      <c r="BI884" s="176"/>
      <c r="BJ884" s="176"/>
    </row>
    <row r="885" spans="2:62" x14ac:dyDescent="0.3">
      <c r="B885" s="3"/>
      <c r="C885" s="2"/>
      <c r="D885" s="2"/>
      <c r="E885" s="3"/>
      <c r="O885" s="176"/>
      <c r="P885" s="176"/>
      <c r="Q885" s="176"/>
      <c r="R885" s="176"/>
      <c r="S885" s="176"/>
      <c r="T885" s="176"/>
      <c r="U885" s="176"/>
      <c r="V885" s="176"/>
      <c r="W885" s="176"/>
      <c r="X885" s="176"/>
      <c r="Y885" s="176"/>
      <c r="Z885" s="176"/>
      <c r="AA885" s="176"/>
      <c r="AB885" s="176"/>
      <c r="AC885" s="176"/>
      <c r="AD885" s="176"/>
      <c r="AE885" s="176"/>
      <c r="AF885" s="176"/>
      <c r="AG885" s="176"/>
      <c r="AH885" s="176"/>
      <c r="AI885" s="176"/>
      <c r="AJ885" s="176"/>
      <c r="AK885" s="176"/>
      <c r="AL885" s="176"/>
      <c r="AM885" s="176"/>
      <c r="AN885" s="176"/>
      <c r="AO885" s="176"/>
      <c r="AP885" s="176"/>
      <c r="AQ885" s="176"/>
      <c r="AR885" s="176"/>
      <c r="AS885" s="176"/>
      <c r="AT885" s="176"/>
      <c r="AU885" s="176"/>
      <c r="AV885" s="176"/>
      <c r="AW885" s="176"/>
      <c r="AX885" s="176"/>
      <c r="AY885" s="176"/>
      <c r="AZ885" s="176"/>
      <c r="BA885" s="176"/>
      <c r="BB885" s="176"/>
      <c r="BC885" s="176"/>
      <c r="BD885" s="176"/>
      <c r="BE885" s="176"/>
      <c r="BF885" s="176"/>
      <c r="BG885" s="176"/>
      <c r="BH885" s="176"/>
      <c r="BI885" s="176"/>
      <c r="BJ885" s="176"/>
    </row>
    <row r="886" spans="2:62" x14ac:dyDescent="0.3">
      <c r="B886" s="3"/>
      <c r="C886" s="2"/>
      <c r="D886" s="2"/>
      <c r="E886" s="3"/>
      <c r="O886" s="176"/>
      <c r="P886" s="176"/>
      <c r="Q886" s="176"/>
      <c r="R886" s="176"/>
      <c r="S886" s="176"/>
      <c r="T886" s="176"/>
      <c r="U886" s="176"/>
      <c r="V886" s="176"/>
      <c r="W886" s="176"/>
      <c r="X886" s="176"/>
      <c r="Y886" s="176"/>
      <c r="Z886" s="176"/>
      <c r="AA886" s="176"/>
      <c r="AB886" s="176"/>
      <c r="AC886" s="176"/>
      <c r="AD886" s="176"/>
      <c r="AE886" s="176"/>
      <c r="AF886" s="176"/>
      <c r="AG886" s="176"/>
      <c r="AH886" s="176"/>
      <c r="AI886" s="176"/>
      <c r="AJ886" s="176"/>
      <c r="AK886" s="176"/>
      <c r="AL886" s="176"/>
      <c r="AM886" s="176"/>
      <c r="AN886" s="176"/>
      <c r="AO886" s="176"/>
      <c r="AP886" s="176"/>
      <c r="AQ886" s="176"/>
      <c r="AR886" s="176"/>
      <c r="AS886" s="176"/>
      <c r="AT886" s="176"/>
      <c r="AU886" s="176"/>
      <c r="AV886" s="176"/>
      <c r="AW886" s="176"/>
      <c r="AX886" s="176"/>
      <c r="AY886" s="176"/>
      <c r="AZ886" s="176"/>
      <c r="BA886" s="176"/>
      <c r="BB886" s="176"/>
      <c r="BC886" s="176"/>
      <c r="BD886" s="176"/>
      <c r="BE886" s="176"/>
      <c r="BF886" s="176"/>
      <c r="BG886" s="176"/>
      <c r="BH886" s="176"/>
      <c r="BI886" s="176"/>
      <c r="BJ886" s="176"/>
    </row>
    <row r="887" spans="2:62" x14ac:dyDescent="0.3">
      <c r="B887" s="3"/>
      <c r="C887" s="2"/>
      <c r="D887" s="2"/>
      <c r="E887" s="3"/>
      <c r="O887" s="176"/>
      <c r="P887" s="176"/>
      <c r="Q887" s="176"/>
      <c r="R887" s="176"/>
      <c r="S887" s="176"/>
      <c r="T887" s="176"/>
      <c r="U887" s="176"/>
      <c r="V887" s="176"/>
      <c r="W887" s="176"/>
      <c r="X887" s="176"/>
      <c r="Y887" s="176"/>
      <c r="Z887" s="176"/>
      <c r="AA887" s="176"/>
      <c r="AB887" s="176"/>
      <c r="AC887" s="176"/>
      <c r="AD887" s="176"/>
      <c r="AE887" s="176"/>
      <c r="AF887" s="176"/>
      <c r="AG887" s="176"/>
      <c r="AH887" s="176"/>
      <c r="AI887" s="176"/>
      <c r="AJ887" s="176"/>
      <c r="AK887" s="176"/>
      <c r="AL887" s="176"/>
      <c r="AM887" s="176"/>
      <c r="AN887" s="176"/>
      <c r="AO887" s="176"/>
      <c r="AP887" s="176"/>
      <c r="AQ887" s="176"/>
      <c r="AR887" s="176"/>
      <c r="AS887" s="176"/>
      <c r="AT887" s="176"/>
      <c r="AU887" s="176"/>
      <c r="AV887" s="176"/>
      <c r="AW887" s="176"/>
      <c r="AX887" s="176"/>
      <c r="AY887" s="176"/>
      <c r="AZ887" s="176"/>
      <c r="BA887" s="176"/>
      <c r="BB887" s="176"/>
      <c r="BC887" s="176"/>
      <c r="BD887" s="176"/>
      <c r="BE887" s="176"/>
      <c r="BF887" s="176"/>
      <c r="BG887" s="176"/>
      <c r="BH887" s="176"/>
      <c r="BI887" s="176"/>
      <c r="BJ887" s="176"/>
    </row>
    <row r="888" spans="2:62" x14ac:dyDescent="0.3">
      <c r="B888" s="3"/>
      <c r="C888" s="2"/>
      <c r="D888" s="2"/>
      <c r="E888" s="3"/>
      <c r="O888" s="176"/>
      <c r="P888" s="176"/>
      <c r="Q888" s="176"/>
      <c r="R888" s="176"/>
      <c r="S888" s="176"/>
      <c r="T888" s="176"/>
      <c r="U888" s="176"/>
      <c r="V888" s="176"/>
      <c r="W888" s="176"/>
      <c r="X888" s="176"/>
      <c r="Y888" s="176"/>
      <c r="Z888" s="176"/>
      <c r="AA888" s="176"/>
      <c r="AB888" s="176"/>
      <c r="AC888" s="176"/>
      <c r="AD888" s="176"/>
      <c r="AE888" s="176"/>
      <c r="AF888" s="176"/>
      <c r="AG888" s="176"/>
      <c r="AH888" s="176"/>
      <c r="AI888" s="176"/>
      <c r="AJ888" s="176"/>
      <c r="AK888" s="176"/>
      <c r="AL888" s="176"/>
      <c r="AM888" s="176"/>
      <c r="AN888" s="176"/>
      <c r="AO888" s="176"/>
      <c r="AP888" s="176"/>
      <c r="AQ888" s="176"/>
      <c r="AR888" s="176"/>
      <c r="AS888" s="176"/>
      <c r="AT888" s="176"/>
      <c r="AU888" s="176"/>
      <c r="AV888" s="176"/>
      <c r="AW888" s="176"/>
      <c r="AX888" s="176"/>
      <c r="AY888" s="176"/>
      <c r="AZ888" s="176"/>
      <c r="BA888" s="176"/>
      <c r="BB888" s="176"/>
      <c r="BC888" s="176"/>
      <c r="BD888" s="176"/>
      <c r="BE888" s="176"/>
      <c r="BF888" s="176"/>
      <c r="BG888" s="176"/>
      <c r="BH888" s="176"/>
      <c r="BI888" s="176"/>
      <c r="BJ888" s="176"/>
    </row>
    <row r="889" spans="2:62" x14ac:dyDescent="0.3">
      <c r="B889" s="3"/>
      <c r="C889" s="2"/>
      <c r="D889" s="2"/>
      <c r="E889" s="3"/>
      <c r="O889" s="176"/>
      <c r="P889" s="176"/>
      <c r="Q889" s="176"/>
      <c r="R889" s="176"/>
      <c r="S889" s="176"/>
      <c r="T889" s="176"/>
      <c r="U889" s="176"/>
      <c r="V889" s="176"/>
      <c r="W889" s="176"/>
      <c r="X889" s="176"/>
      <c r="Y889" s="176"/>
      <c r="Z889" s="176"/>
      <c r="AA889" s="176"/>
      <c r="AB889" s="176"/>
      <c r="AC889" s="176"/>
      <c r="AD889" s="176"/>
      <c r="AE889" s="176"/>
      <c r="AF889" s="176"/>
      <c r="AG889" s="176"/>
      <c r="AH889" s="176"/>
      <c r="AI889" s="176"/>
      <c r="AJ889" s="176"/>
      <c r="AK889" s="176"/>
      <c r="AL889" s="176"/>
      <c r="AM889" s="176"/>
      <c r="AN889" s="176"/>
      <c r="AO889" s="176"/>
      <c r="AP889" s="176"/>
      <c r="AQ889" s="176"/>
      <c r="AR889" s="176"/>
      <c r="AS889" s="176"/>
      <c r="AT889" s="176"/>
      <c r="AU889" s="176"/>
      <c r="AV889" s="176"/>
      <c r="AW889" s="176"/>
      <c r="AX889" s="176"/>
      <c r="AY889" s="176"/>
      <c r="AZ889" s="176"/>
      <c r="BA889" s="176"/>
      <c r="BB889" s="176"/>
      <c r="BC889" s="176"/>
      <c r="BD889" s="176"/>
      <c r="BE889" s="176"/>
      <c r="BF889" s="176"/>
      <c r="BG889" s="176"/>
      <c r="BH889" s="176"/>
      <c r="BI889" s="176"/>
      <c r="BJ889" s="176"/>
    </row>
    <row r="890" spans="2:62" x14ac:dyDescent="0.3">
      <c r="B890" s="3"/>
      <c r="C890" s="2"/>
      <c r="D890" s="2"/>
      <c r="E890" s="3"/>
      <c r="O890" s="176"/>
      <c r="P890" s="176"/>
      <c r="Q890" s="176"/>
      <c r="R890" s="176"/>
      <c r="S890" s="176"/>
      <c r="T890" s="176"/>
      <c r="U890" s="176"/>
      <c r="V890" s="176"/>
      <c r="W890" s="176"/>
      <c r="X890" s="176"/>
      <c r="Y890" s="176"/>
      <c r="Z890" s="176"/>
      <c r="AA890" s="176"/>
      <c r="AB890" s="176"/>
      <c r="AC890" s="176"/>
      <c r="AD890" s="176"/>
      <c r="AE890" s="176"/>
      <c r="AF890" s="176"/>
      <c r="AG890" s="176"/>
      <c r="AH890" s="176"/>
      <c r="AI890" s="176"/>
      <c r="AJ890" s="176"/>
      <c r="AK890" s="176"/>
      <c r="AL890" s="176"/>
      <c r="AM890" s="176"/>
      <c r="AN890" s="176"/>
      <c r="AO890" s="176"/>
      <c r="AP890" s="176"/>
      <c r="AQ890" s="176"/>
      <c r="AR890" s="176"/>
      <c r="AS890" s="176"/>
      <c r="AT890" s="176"/>
      <c r="AU890" s="176"/>
      <c r="AV890" s="176"/>
      <c r="AW890" s="176"/>
      <c r="AX890" s="176"/>
      <c r="AY890" s="176"/>
      <c r="AZ890" s="176"/>
      <c r="BA890" s="176"/>
      <c r="BB890" s="176"/>
      <c r="BC890" s="176"/>
      <c r="BD890" s="176"/>
      <c r="BE890" s="176"/>
      <c r="BF890" s="176"/>
      <c r="BG890" s="176"/>
      <c r="BH890" s="176"/>
      <c r="BI890" s="176"/>
      <c r="BJ890" s="176"/>
    </row>
    <row r="891" spans="2:62" x14ac:dyDescent="0.3">
      <c r="B891" s="3"/>
      <c r="C891" s="2"/>
      <c r="D891" s="2"/>
      <c r="E891" s="3"/>
      <c r="O891" s="176"/>
      <c r="P891" s="176"/>
      <c r="Q891" s="176"/>
      <c r="R891" s="176"/>
      <c r="S891" s="176"/>
      <c r="T891" s="176"/>
      <c r="U891" s="176"/>
      <c r="V891" s="176"/>
      <c r="W891" s="176"/>
      <c r="X891" s="176"/>
      <c r="Y891" s="176"/>
      <c r="Z891" s="176"/>
      <c r="AA891" s="176"/>
      <c r="AB891" s="176"/>
      <c r="AC891" s="176"/>
      <c r="AD891" s="176"/>
      <c r="AE891" s="176"/>
      <c r="AF891" s="176"/>
      <c r="AG891" s="176"/>
      <c r="AH891" s="176"/>
      <c r="AI891" s="176"/>
      <c r="AJ891" s="176"/>
      <c r="AK891" s="176"/>
      <c r="AL891" s="176"/>
      <c r="AM891" s="176"/>
      <c r="AN891" s="176"/>
      <c r="AO891" s="176"/>
      <c r="AP891" s="176"/>
      <c r="AQ891" s="176"/>
      <c r="AR891" s="176"/>
      <c r="AS891" s="176"/>
      <c r="AT891" s="176"/>
      <c r="AU891" s="176"/>
      <c r="AV891" s="176"/>
      <c r="AW891" s="176"/>
      <c r="AX891" s="176"/>
      <c r="AY891" s="176"/>
      <c r="AZ891" s="176"/>
      <c r="BA891" s="176"/>
      <c r="BB891" s="176"/>
      <c r="BC891" s="176"/>
      <c r="BD891" s="176"/>
      <c r="BE891" s="176"/>
      <c r="BF891" s="176"/>
      <c r="BG891" s="176"/>
      <c r="BH891" s="176"/>
      <c r="BI891" s="176"/>
      <c r="BJ891" s="176"/>
    </row>
    <row r="892" spans="2:62" x14ac:dyDescent="0.3">
      <c r="B892" s="3"/>
      <c r="C892" s="2"/>
      <c r="D892" s="2"/>
      <c r="E892" s="3"/>
      <c r="O892" s="176"/>
      <c r="P892" s="176"/>
      <c r="Q892" s="176"/>
      <c r="R892" s="176"/>
      <c r="S892" s="176"/>
      <c r="T892" s="176"/>
      <c r="U892" s="176"/>
      <c r="V892" s="176"/>
      <c r="W892" s="176"/>
      <c r="X892" s="176"/>
      <c r="Y892" s="176"/>
      <c r="Z892" s="176"/>
      <c r="AA892" s="176"/>
      <c r="AB892" s="176"/>
      <c r="AC892" s="176"/>
      <c r="AD892" s="176"/>
      <c r="AE892" s="176"/>
      <c r="AF892" s="176"/>
      <c r="AG892" s="176"/>
      <c r="AH892" s="176"/>
      <c r="AI892" s="176"/>
      <c r="AJ892" s="176"/>
      <c r="AK892" s="176"/>
      <c r="AL892" s="176"/>
      <c r="AM892" s="176"/>
      <c r="AN892" s="176"/>
      <c r="AO892" s="176"/>
      <c r="AP892" s="176"/>
      <c r="AQ892" s="176"/>
      <c r="AR892" s="176"/>
      <c r="AS892" s="176"/>
      <c r="AT892" s="176"/>
      <c r="AU892" s="176"/>
      <c r="AV892" s="176"/>
      <c r="AW892" s="176"/>
      <c r="AX892" s="176"/>
      <c r="AY892" s="176"/>
      <c r="AZ892" s="176"/>
      <c r="BA892" s="176"/>
      <c r="BB892" s="176"/>
      <c r="BC892" s="176"/>
      <c r="BD892" s="176"/>
      <c r="BE892" s="176"/>
      <c r="BF892" s="176"/>
      <c r="BG892" s="176"/>
      <c r="BH892" s="176"/>
      <c r="BI892" s="176"/>
      <c r="BJ892" s="176"/>
    </row>
    <row r="893" spans="2:62" x14ac:dyDescent="0.3">
      <c r="B893" s="3"/>
      <c r="C893" s="2"/>
      <c r="D893" s="2"/>
      <c r="E893" s="3"/>
      <c r="O893" s="176"/>
      <c r="P893" s="176"/>
      <c r="Q893" s="176"/>
      <c r="R893" s="176"/>
      <c r="S893" s="176"/>
      <c r="T893" s="176"/>
      <c r="U893" s="176"/>
      <c r="V893" s="176"/>
      <c r="W893" s="176"/>
      <c r="X893" s="176"/>
      <c r="Y893" s="176"/>
      <c r="Z893" s="176"/>
      <c r="AA893" s="176"/>
      <c r="AB893" s="176"/>
      <c r="AC893" s="176"/>
      <c r="AD893" s="176"/>
      <c r="AE893" s="176"/>
      <c r="AF893" s="176"/>
      <c r="AG893" s="176"/>
      <c r="AH893" s="176"/>
      <c r="AI893" s="176"/>
      <c r="AJ893" s="176"/>
      <c r="AK893" s="176"/>
      <c r="AL893" s="176"/>
      <c r="AM893" s="176"/>
      <c r="AN893" s="176"/>
      <c r="AO893" s="176"/>
      <c r="AP893" s="176"/>
      <c r="AQ893" s="176"/>
      <c r="AR893" s="176"/>
      <c r="AS893" s="176"/>
      <c r="AT893" s="176"/>
      <c r="AU893" s="176"/>
      <c r="AV893" s="176"/>
      <c r="AW893" s="176"/>
      <c r="AX893" s="176"/>
      <c r="AY893" s="176"/>
      <c r="AZ893" s="176"/>
      <c r="BA893" s="176"/>
      <c r="BB893" s="176"/>
      <c r="BC893" s="176"/>
      <c r="BD893" s="176"/>
      <c r="BE893" s="176"/>
      <c r="BF893" s="176"/>
      <c r="BG893" s="176"/>
      <c r="BH893" s="176"/>
      <c r="BI893" s="176"/>
      <c r="BJ893" s="176"/>
    </row>
    <row r="894" spans="2:62" x14ac:dyDescent="0.3">
      <c r="B894" s="3"/>
      <c r="C894" s="2"/>
      <c r="D894" s="2"/>
      <c r="E894" s="3"/>
      <c r="O894" s="176"/>
      <c r="P894" s="176"/>
      <c r="Q894" s="176"/>
      <c r="R894" s="176"/>
      <c r="S894" s="176"/>
      <c r="T894" s="176"/>
      <c r="U894" s="176"/>
      <c r="V894" s="176"/>
      <c r="W894" s="176"/>
      <c r="X894" s="176"/>
      <c r="Y894" s="176"/>
      <c r="Z894" s="176"/>
      <c r="AA894" s="176"/>
      <c r="AB894" s="176"/>
      <c r="AC894" s="176"/>
      <c r="AD894" s="176"/>
      <c r="AE894" s="176"/>
      <c r="AF894" s="176"/>
      <c r="AG894" s="176"/>
      <c r="AH894" s="176"/>
      <c r="AI894" s="176"/>
      <c r="AJ894" s="176"/>
      <c r="AK894" s="176"/>
      <c r="AL894" s="176"/>
      <c r="AM894" s="176"/>
      <c r="AN894" s="176"/>
      <c r="AO894" s="176"/>
      <c r="AP894" s="176"/>
      <c r="AQ894" s="176"/>
      <c r="AR894" s="176"/>
      <c r="AS894" s="176"/>
      <c r="AT894" s="176"/>
      <c r="AU894" s="176"/>
      <c r="AV894" s="176"/>
      <c r="AW894" s="176"/>
      <c r="AX894" s="176"/>
      <c r="AY894" s="176"/>
      <c r="AZ894" s="176"/>
      <c r="BA894" s="176"/>
      <c r="BB894" s="176"/>
      <c r="BC894" s="176"/>
      <c r="BD894" s="176"/>
      <c r="BE894" s="176"/>
      <c r="BF894" s="176"/>
      <c r="BG894" s="176"/>
      <c r="BH894" s="176"/>
      <c r="BI894" s="176"/>
      <c r="BJ894" s="176"/>
    </row>
    <row r="895" spans="2:62" x14ac:dyDescent="0.3">
      <c r="B895" s="3"/>
      <c r="C895" s="2"/>
      <c r="D895" s="2"/>
      <c r="E895" s="3"/>
      <c r="O895" s="176"/>
      <c r="P895" s="176"/>
      <c r="Q895" s="176"/>
      <c r="R895" s="176"/>
      <c r="S895" s="176"/>
      <c r="T895" s="176"/>
      <c r="U895" s="176"/>
      <c r="V895" s="176"/>
      <c r="W895" s="176"/>
      <c r="X895" s="176"/>
      <c r="Y895" s="176"/>
      <c r="Z895" s="176"/>
      <c r="AA895" s="176"/>
      <c r="AB895" s="176"/>
      <c r="AC895" s="176"/>
      <c r="AD895" s="176"/>
      <c r="AE895" s="176"/>
      <c r="AF895" s="176"/>
      <c r="AG895" s="176"/>
      <c r="AH895" s="176"/>
      <c r="AI895" s="176"/>
      <c r="AJ895" s="176"/>
      <c r="AK895" s="176"/>
      <c r="AL895" s="176"/>
      <c r="AM895" s="176"/>
      <c r="AN895" s="176"/>
      <c r="AO895" s="176"/>
      <c r="AP895" s="176"/>
      <c r="AQ895" s="176"/>
      <c r="AR895" s="176"/>
      <c r="AS895" s="176"/>
      <c r="AT895" s="176"/>
      <c r="AU895" s="176"/>
      <c r="AV895" s="176"/>
      <c r="AW895" s="176"/>
      <c r="AX895" s="176"/>
      <c r="AY895" s="176"/>
      <c r="AZ895" s="176"/>
      <c r="BA895" s="176"/>
      <c r="BB895" s="176"/>
      <c r="BC895" s="176"/>
      <c r="BD895" s="176"/>
      <c r="BE895" s="176"/>
      <c r="BF895" s="176"/>
      <c r="BG895" s="176"/>
      <c r="BH895" s="176"/>
      <c r="BI895" s="176"/>
      <c r="BJ895" s="176"/>
    </row>
    <row r="896" spans="2:62" x14ac:dyDescent="0.3">
      <c r="B896" s="3"/>
      <c r="C896" s="2"/>
      <c r="D896" s="2"/>
      <c r="E896" s="3"/>
      <c r="O896" s="176"/>
      <c r="P896" s="176"/>
      <c r="Q896" s="176"/>
      <c r="R896" s="176"/>
      <c r="S896" s="176"/>
      <c r="T896" s="176"/>
      <c r="U896" s="176"/>
      <c r="V896" s="176"/>
      <c r="W896" s="176"/>
      <c r="X896" s="176"/>
      <c r="Y896" s="176"/>
      <c r="Z896" s="176"/>
      <c r="AA896" s="176"/>
      <c r="AB896" s="176"/>
      <c r="AC896" s="176"/>
      <c r="AD896" s="176"/>
      <c r="AE896" s="176"/>
      <c r="AF896" s="176"/>
      <c r="AG896" s="176"/>
      <c r="AH896" s="176"/>
      <c r="AI896" s="176"/>
      <c r="AJ896" s="176"/>
      <c r="AK896" s="176"/>
      <c r="AL896" s="176"/>
      <c r="AM896" s="176"/>
      <c r="AN896" s="176"/>
      <c r="AO896" s="176"/>
      <c r="AP896" s="176"/>
      <c r="AQ896" s="176"/>
      <c r="AR896" s="176"/>
      <c r="AS896" s="176"/>
      <c r="AT896" s="176"/>
      <c r="AU896" s="176"/>
      <c r="AV896" s="176"/>
      <c r="AW896" s="176"/>
      <c r="AX896" s="176"/>
      <c r="AY896" s="176"/>
      <c r="AZ896" s="176"/>
      <c r="BA896" s="176"/>
      <c r="BB896" s="176"/>
      <c r="BC896" s="176"/>
      <c r="BD896" s="176"/>
      <c r="BE896" s="176"/>
      <c r="BF896" s="176"/>
      <c r="BG896" s="176"/>
      <c r="BH896" s="176"/>
      <c r="BI896" s="176"/>
      <c r="BJ896" s="176"/>
    </row>
    <row r="897" spans="2:62" x14ac:dyDescent="0.3">
      <c r="B897" s="3"/>
      <c r="C897" s="2"/>
      <c r="D897" s="2"/>
      <c r="E897" s="3"/>
      <c r="O897" s="176"/>
      <c r="P897" s="176"/>
      <c r="Q897" s="176"/>
      <c r="R897" s="176"/>
      <c r="S897" s="176"/>
      <c r="T897" s="176"/>
      <c r="U897" s="176"/>
      <c r="V897" s="176"/>
      <c r="W897" s="176"/>
      <c r="X897" s="176"/>
      <c r="Y897" s="176"/>
      <c r="Z897" s="176"/>
      <c r="AA897" s="176"/>
      <c r="AB897" s="176"/>
      <c r="AC897" s="176"/>
      <c r="AD897" s="176"/>
      <c r="AE897" s="176"/>
      <c r="AF897" s="176"/>
      <c r="AG897" s="176"/>
      <c r="AH897" s="176"/>
      <c r="AI897" s="176"/>
      <c r="AJ897" s="176"/>
      <c r="AK897" s="176"/>
      <c r="AL897" s="176"/>
      <c r="AM897" s="176"/>
      <c r="AN897" s="176"/>
      <c r="AO897" s="176"/>
      <c r="AP897" s="176"/>
      <c r="AQ897" s="176"/>
      <c r="AR897" s="176"/>
      <c r="AS897" s="176"/>
      <c r="AT897" s="176"/>
      <c r="AU897" s="176"/>
      <c r="AV897" s="176"/>
      <c r="AW897" s="176"/>
      <c r="AX897" s="176"/>
      <c r="AY897" s="176"/>
      <c r="AZ897" s="176"/>
      <c r="BA897" s="176"/>
      <c r="BB897" s="176"/>
      <c r="BC897" s="176"/>
      <c r="BD897" s="176"/>
      <c r="BE897" s="176"/>
      <c r="BF897" s="176"/>
      <c r="BG897" s="176"/>
      <c r="BH897" s="176"/>
      <c r="BI897" s="176"/>
      <c r="BJ897" s="176"/>
    </row>
    <row r="898" spans="2:62" x14ac:dyDescent="0.3">
      <c r="B898" s="3"/>
      <c r="C898" s="2"/>
      <c r="D898" s="2"/>
      <c r="E898" s="3"/>
      <c r="O898" s="176"/>
      <c r="P898" s="176"/>
      <c r="Q898" s="176"/>
      <c r="R898" s="176"/>
      <c r="S898" s="176"/>
      <c r="T898" s="176"/>
      <c r="U898" s="176"/>
      <c r="V898" s="176"/>
      <c r="W898" s="176"/>
      <c r="X898" s="176"/>
      <c r="Y898" s="176"/>
      <c r="Z898" s="176"/>
      <c r="AA898" s="176"/>
      <c r="AB898" s="176"/>
      <c r="AC898" s="176"/>
      <c r="AD898" s="176"/>
      <c r="AE898" s="176"/>
      <c r="AF898" s="176"/>
      <c r="AG898" s="176"/>
      <c r="AH898" s="176"/>
      <c r="AI898" s="176"/>
      <c r="AJ898" s="176"/>
      <c r="AK898" s="176"/>
      <c r="AL898" s="176"/>
      <c r="AM898" s="176"/>
      <c r="AN898" s="176"/>
      <c r="AO898" s="176"/>
      <c r="AP898" s="176"/>
      <c r="AQ898" s="176"/>
      <c r="AR898" s="176"/>
      <c r="AS898" s="176"/>
      <c r="AT898" s="176"/>
      <c r="AU898" s="176"/>
      <c r="AV898" s="176"/>
      <c r="AW898" s="176"/>
      <c r="AX898" s="176"/>
      <c r="AY898" s="176"/>
      <c r="AZ898" s="176"/>
      <c r="BA898" s="176"/>
      <c r="BB898" s="176"/>
      <c r="BC898" s="176"/>
      <c r="BD898" s="176"/>
      <c r="BE898" s="176"/>
      <c r="BF898" s="176"/>
      <c r="BG898" s="176"/>
      <c r="BH898" s="176"/>
      <c r="BI898" s="176"/>
      <c r="BJ898" s="176"/>
    </row>
    <row r="899" spans="2:62" x14ac:dyDescent="0.3">
      <c r="B899" s="3"/>
      <c r="C899" s="2"/>
      <c r="D899" s="2"/>
      <c r="E899" s="3"/>
      <c r="O899" s="176"/>
      <c r="P899" s="176"/>
      <c r="Q899" s="176"/>
      <c r="R899" s="176"/>
      <c r="S899" s="176"/>
      <c r="T899" s="176"/>
      <c r="U899" s="176"/>
      <c r="V899" s="176"/>
      <c r="W899" s="176"/>
      <c r="X899" s="176"/>
      <c r="Y899" s="176"/>
      <c r="Z899" s="176"/>
      <c r="AA899" s="176"/>
      <c r="AB899" s="176"/>
      <c r="AC899" s="176"/>
      <c r="AD899" s="176"/>
      <c r="AE899" s="176"/>
      <c r="AF899" s="176"/>
      <c r="AG899" s="176"/>
      <c r="AH899" s="176"/>
      <c r="AI899" s="176"/>
      <c r="AJ899" s="176"/>
      <c r="AK899" s="176"/>
      <c r="AL899" s="176"/>
      <c r="AM899" s="176"/>
      <c r="AN899" s="176"/>
      <c r="AO899" s="176"/>
      <c r="AP899" s="176"/>
      <c r="AQ899" s="176"/>
      <c r="AR899" s="176"/>
      <c r="AS899" s="176"/>
      <c r="AT899" s="176"/>
      <c r="AU899" s="176"/>
      <c r="AV899" s="176"/>
      <c r="AW899" s="176"/>
      <c r="AX899" s="176"/>
      <c r="AY899" s="176"/>
      <c r="AZ899" s="176"/>
      <c r="BA899" s="176"/>
      <c r="BB899" s="176"/>
      <c r="BC899" s="176"/>
      <c r="BD899" s="176"/>
      <c r="BE899" s="176"/>
      <c r="BF899" s="176"/>
      <c r="BG899" s="176"/>
      <c r="BH899" s="176"/>
      <c r="BI899" s="176"/>
      <c r="BJ899" s="176"/>
    </row>
    <row r="900" spans="2:62" x14ac:dyDescent="0.3">
      <c r="B900" s="3"/>
      <c r="C900" s="2"/>
      <c r="D900" s="2"/>
      <c r="E900" s="3"/>
      <c r="O900" s="176"/>
      <c r="P900" s="176"/>
      <c r="Q900" s="176"/>
      <c r="R900" s="176"/>
      <c r="S900" s="176"/>
      <c r="T900" s="176"/>
      <c r="U900" s="176"/>
      <c r="V900" s="176"/>
      <c r="W900" s="176"/>
      <c r="X900" s="176"/>
      <c r="Y900" s="176"/>
      <c r="Z900" s="176"/>
      <c r="AA900" s="176"/>
      <c r="AB900" s="176"/>
      <c r="AC900" s="176"/>
      <c r="AD900" s="176"/>
      <c r="AE900" s="176"/>
      <c r="AF900" s="176"/>
      <c r="AG900" s="176"/>
      <c r="AH900" s="176"/>
      <c r="AI900" s="176"/>
      <c r="AJ900" s="176"/>
      <c r="AK900" s="176"/>
      <c r="AL900" s="176"/>
      <c r="AM900" s="176"/>
      <c r="AN900" s="176"/>
      <c r="AO900" s="176"/>
      <c r="AP900" s="176"/>
      <c r="AQ900" s="176"/>
      <c r="AR900" s="176"/>
      <c r="AS900" s="176"/>
      <c r="AT900" s="176"/>
      <c r="AU900" s="176"/>
      <c r="AV900" s="176"/>
      <c r="AW900" s="176"/>
      <c r="AX900" s="176"/>
      <c r="AY900" s="176"/>
      <c r="AZ900" s="176"/>
      <c r="BA900" s="176"/>
      <c r="BB900" s="176"/>
      <c r="BC900" s="176"/>
      <c r="BD900" s="176"/>
      <c r="BE900" s="176"/>
      <c r="BF900" s="176"/>
      <c r="BG900" s="176"/>
      <c r="BH900" s="176"/>
      <c r="BI900" s="176"/>
      <c r="BJ900" s="176"/>
    </row>
    <row r="901" spans="2:62" x14ac:dyDescent="0.3">
      <c r="B901" s="3"/>
      <c r="C901" s="2"/>
      <c r="D901" s="2"/>
      <c r="E901" s="3"/>
      <c r="O901" s="176"/>
      <c r="P901" s="176"/>
      <c r="Q901" s="176"/>
      <c r="R901" s="176"/>
      <c r="S901" s="176"/>
      <c r="T901" s="176"/>
      <c r="U901" s="176"/>
      <c r="V901" s="176"/>
      <c r="W901" s="176"/>
      <c r="X901" s="176"/>
      <c r="Y901" s="176"/>
      <c r="Z901" s="176"/>
      <c r="AA901" s="176"/>
      <c r="AB901" s="176"/>
      <c r="AC901" s="176"/>
      <c r="AD901" s="176"/>
      <c r="AE901" s="176"/>
      <c r="AF901" s="176"/>
      <c r="AG901" s="176"/>
      <c r="AH901" s="176"/>
      <c r="AI901" s="176"/>
      <c r="AJ901" s="176"/>
      <c r="AK901" s="176"/>
      <c r="AL901" s="176"/>
      <c r="AM901" s="176"/>
      <c r="AN901" s="176"/>
      <c r="AO901" s="176"/>
      <c r="AP901" s="176"/>
      <c r="AQ901" s="176"/>
      <c r="AR901" s="176"/>
      <c r="AS901" s="176"/>
      <c r="AT901" s="176"/>
      <c r="AU901" s="176"/>
      <c r="AV901" s="176"/>
      <c r="AW901" s="176"/>
      <c r="AX901" s="176"/>
      <c r="AY901" s="176"/>
      <c r="AZ901" s="176"/>
      <c r="BA901" s="176"/>
      <c r="BB901" s="176"/>
      <c r="BC901" s="176"/>
      <c r="BD901" s="176"/>
      <c r="BE901" s="176"/>
      <c r="BF901" s="176"/>
      <c r="BG901" s="176"/>
      <c r="BH901" s="176"/>
      <c r="BI901" s="176"/>
      <c r="BJ901" s="176"/>
    </row>
    <row r="902" spans="2:62" x14ac:dyDescent="0.3">
      <c r="B902" s="3"/>
      <c r="C902" s="2"/>
      <c r="D902" s="2"/>
      <c r="E902" s="3"/>
      <c r="O902" s="176"/>
      <c r="P902" s="176"/>
      <c r="Q902" s="176"/>
      <c r="R902" s="176"/>
      <c r="S902" s="176"/>
      <c r="T902" s="176"/>
      <c r="U902" s="176"/>
      <c r="V902" s="176"/>
      <c r="W902" s="176"/>
      <c r="X902" s="176"/>
      <c r="Y902" s="176"/>
      <c r="Z902" s="176"/>
      <c r="AA902" s="176"/>
      <c r="AB902" s="176"/>
      <c r="AC902" s="176"/>
      <c r="AD902" s="176"/>
      <c r="AE902" s="176"/>
      <c r="AF902" s="176"/>
      <c r="AG902" s="176"/>
      <c r="AH902" s="176"/>
      <c r="AI902" s="176"/>
      <c r="AJ902" s="176"/>
      <c r="AK902" s="176"/>
      <c r="AL902" s="176"/>
      <c r="AM902" s="176"/>
      <c r="AN902" s="176"/>
      <c r="AO902" s="176"/>
      <c r="AP902" s="176"/>
      <c r="AQ902" s="176"/>
      <c r="AR902" s="176"/>
      <c r="AS902" s="176"/>
      <c r="AT902" s="176"/>
      <c r="AU902" s="176"/>
      <c r="AV902" s="176"/>
      <c r="AW902" s="176"/>
      <c r="AX902" s="176"/>
      <c r="AY902" s="176"/>
      <c r="AZ902" s="176"/>
      <c r="BA902" s="176"/>
      <c r="BB902" s="176"/>
      <c r="BC902" s="176"/>
      <c r="BD902" s="176"/>
      <c r="BE902" s="176"/>
      <c r="BF902" s="176"/>
      <c r="BG902" s="176"/>
      <c r="BH902" s="176"/>
      <c r="BI902" s="176"/>
      <c r="BJ902" s="176"/>
    </row>
    <row r="903" spans="2:62" x14ac:dyDescent="0.3">
      <c r="B903" s="3"/>
      <c r="C903" s="2"/>
      <c r="D903" s="2"/>
      <c r="E903" s="3"/>
      <c r="O903" s="176"/>
      <c r="P903" s="176"/>
      <c r="Q903" s="176"/>
      <c r="R903" s="176"/>
      <c r="S903" s="176"/>
      <c r="T903" s="176"/>
      <c r="U903" s="176"/>
      <c r="V903" s="176"/>
      <c r="W903" s="176"/>
      <c r="X903" s="176"/>
      <c r="Y903" s="176"/>
      <c r="Z903" s="176"/>
      <c r="AA903" s="176"/>
      <c r="AB903" s="176"/>
      <c r="AC903" s="176"/>
      <c r="AD903" s="176"/>
      <c r="AE903" s="176"/>
      <c r="AF903" s="176"/>
      <c r="AG903" s="176"/>
      <c r="AH903" s="176"/>
      <c r="AI903" s="176"/>
      <c r="AJ903" s="176"/>
      <c r="AK903" s="176"/>
      <c r="AL903" s="176"/>
      <c r="AM903" s="176"/>
      <c r="AN903" s="176"/>
      <c r="AO903" s="176"/>
      <c r="AP903" s="176"/>
      <c r="AQ903" s="176"/>
      <c r="AR903" s="176"/>
      <c r="AS903" s="176"/>
      <c r="AT903" s="176"/>
      <c r="AU903" s="176"/>
      <c r="AV903" s="176"/>
      <c r="AW903" s="176"/>
      <c r="AX903" s="176"/>
      <c r="AY903" s="176"/>
      <c r="AZ903" s="176"/>
      <c r="BA903" s="176"/>
      <c r="BB903" s="176"/>
      <c r="BC903" s="176"/>
      <c r="BD903" s="176"/>
      <c r="BE903" s="176"/>
      <c r="BF903" s="176"/>
      <c r="BG903" s="176"/>
      <c r="BH903" s="176"/>
      <c r="BI903" s="176"/>
      <c r="BJ903" s="176"/>
    </row>
    <row r="904" spans="2:62" x14ac:dyDescent="0.3">
      <c r="B904" s="3"/>
      <c r="C904" s="2"/>
      <c r="D904" s="2"/>
      <c r="E904" s="3"/>
      <c r="O904" s="176"/>
      <c r="P904" s="176"/>
      <c r="Q904" s="176"/>
      <c r="R904" s="176"/>
      <c r="S904" s="176"/>
      <c r="T904" s="176"/>
      <c r="U904" s="176"/>
      <c r="V904" s="176"/>
      <c r="W904" s="176"/>
      <c r="X904" s="176"/>
      <c r="Y904" s="176"/>
      <c r="Z904" s="176"/>
      <c r="AA904" s="176"/>
      <c r="AB904" s="176"/>
      <c r="AC904" s="176"/>
      <c r="AD904" s="176"/>
      <c r="AE904" s="176"/>
      <c r="AF904" s="176"/>
      <c r="AG904" s="176"/>
      <c r="AH904" s="176"/>
      <c r="AI904" s="176"/>
      <c r="AJ904" s="176"/>
      <c r="AK904" s="176"/>
      <c r="AL904" s="176"/>
      <c r="AM904" s="176"/>
      <c r="AN904" s="176"/>
      <c r="AO904" s="176"/>
      <c r="AP904" s="176"/>
      <c r="AQ904" s="176"/>
      <c r="AR904" s="176"/>
      <c r="AS904" s="176"/>
      <c r="AT904" s="176"/>
      <c r="AU904" s="176"/>
      <c r="AV904" s="176"/>
      <c r="AW904" s="176"/>
      <c r="AX904" s="176"/>
      <c r="AY904" s="176"/>
      <c r="AZ904" s="176"/>
      <c r="BA904" s="176"/>
      <c r="BB904" s="176"/>
      <c r="BC904" s="176"/>
      <c r="BD904" s="176"/>
      <c r="BE904" s="176"/>
      <c r="BF904" s="176"/>
      <c r="BG904" s="176"/>
      <c r="BH904" s="176"/>
      <c r="BI904" s="176"/>
      <c r="BJ904" s="176"/>
    </row>
    <row r="905" spans="2:62" x14ac:dyDescent="0.3">
      <c r="B905" s="3"/>
      <c r="C905" s="2"/>
      <c r="D905" s="2"/>
      <c r="E905" s="3"/>
      <c r="O905" s="176"/>
      <c r="P905" s="176"/>
      <c r="Q905" s="176"/>
      <c r="R905" s="176"/>
      <c r="S905" s="176"/>
      <c r="T905" s="176"/>
      <c r="U905" s="176"/>
      <c r="V905" s="176"/>
      <c r="W905" s="176"/>
      <c r="X905" s="176"/>
      <c r="Y905" s="176"/>
      <c r="Z905" s="176"/>
      <c r="AA905" s="176"/>
      <c r="AB905" s="176"/>
      <c r="AC905" s="176"/>
      <c r="AD905" s="176"/>
      <c r="AE905" s="176"/>
      <c r="AF905" s="176"/>
      <c r="AG905" s="176"/>
      <c r="AH905" s="176"/>
      <c r="AI905" s="176"/>
      <c r="AJ905" s="176"/>
      <c r="AK905" s="176"/>
      <c r="AL905" s="176"/>
      <c r="AM905" s="176"/>
      <c r="AN905" s="176"/>
      <c r="AO905" s="176"/>
      <c r="AP905" s="176"/>
      <c r="AQ905" s="176"/>
      <c r="AR905" s="176"/>
      <c r="AS905" s="176"/>
      <c r="AT905" s="176"/>
      <c r="AU905" s="176"/>
      <c r="AV905" s="176"/>
      <c r="AW905" s="176"/>
      <c r="AX905" s="176"/>
      <c r="AY905" s="176"/>
      <c r="AZ905" s="176"/>
      <c r="BA905" s="176"/>
      <c r="BB905" s="176"/>
      <c r="BC905" s="176"/>
      <c r="BD905" s="176"/>
      <c r="BE905" s="176"/>
      <c r="BF905" s="176"/>
      <c r="BG905" s="176"/>
      <c r="BH905" s="176"/>
      <c r="BI905" s="176"/>
      <c r="BJ905" s="176"/>
    </row>
    <row r="906" spans="2:62" x14ac:dyDescent="0.3">
      <c r="B906" s="3"/>
      <c r="C906" s="2"/>
      <c r="D906" s="2"/>
      <c r="E906" s="3"/>
      <c r="O906" s="176"/>
      <c r="P906" s="176"/>
      <c r="Q906" s="176"/>
      <c r="R906" s="176"/>
      <c r="S906" s="176"/>
      <c r="T906" s="176"/>
      <c r="U906" s="176"/>
      <c r="V906" s="176"/>
      <c r="W906" s="176"/>
      <c r="X906" s="176"/>
      <c r="Y906" s="176"/>
      <c r="Z906" s="176"/>
      <c r="AA906" s="176"/>
      <c r="AB906" s="176"/>
      <c r="AC906" s="176"/>
      <c r="AD906" s="176"/>
      <c r="AE906" s="176"/>
      <c r="AF906" s="176"/>
      <c r="AG906" s="176"/>
      <c r="AH906" s="176"/>
      <c r="AI906" s="176"/>
      <c r="AJ906" s="176"/>
      <c r="AK906" s="176"/>
      <c r="AL906" s="176"/>
      <c r="AM906" s="176"/>
      <c r="AN906" s="176"/>
      <c r="AO906" s="176"/>
      <c r="AP906" s="176"/>
      <c r="AQ906" s="176"/>
      <c r="AR906" s="176"/>
      <c r="AS906" s="176"/>
      <c r="AT906" s="176"/>
      <c r="AU906" s="176"/>
      <c r="AV906" s="176"/>
      <c r="AW906" s="176"/>
      <c r="AX906" s="176"/>
      <c r="AY906" s="176"/>
      <c r="AZ906" s="176"/>
      <c r="BA906" s="176"/>
      <c r="BB906" s="176"/>
      <c r="BC906" s="176"/>
      <c r="BD906" s="176"/>
      <c r="BE906" s="176"/>
      <c r="BF906" s="176"/>
      <c r="BG906" s="176"/>
      <c r="BH906" s="176"/>
      <c r="BI906" s="176"/>
      <c r="BJ906" s="176"/>
    </row>
    <row r="907" spans="2:62" x14ac:dyDescent="0.3">
      <c r="B907" s="3"/>
      <c r="C907" s="2"/>
      <c r="D907" s="2"/>
      <c r="E907" s="3"/>
      <c r="O907" s="176"/>
      <c r="P907" s="176"/>
      <c r="Q907" s="176"/>
      <c r="R907" s="176"/>
      <c r="S907" s="176"/>
      <c r="T907" s="176"/>
      <c r="U907" s="176"/>
      <c r="V907" s="176"/>
      <c r="W907" s="176"/>
      <c r="X907" s="176"/>
      <c r="Y907" s="176"/>
      <c r="Z907" s="176"/>
      <c r="AA907" s="176"/>
      <c r="AB907" s="176"/>
      <c r="AC907" s="176"/>
      <c r="AD907" s="176"/>
      <c r="AE907" s="176"/>
      <c r="AF907" s="176"/>
      <c r="AG907" s="176"/>
      <c r="AH907" s="176"/>
      <c r="AI907" s="176"/>
      <c r="AJ907" s="176"/>
      <c r="AK907" s="176"/>
      <c r="AL907" s="176"/>
      <c r="AM907" s="176"/>
      <c r="AN907" s="176"/>
      <c r="AO907" s="176"/>
      <c r="AP907" s="176"/>
      <c r="AQ907" s="176"/>
      <c r="AR907" s="176"/>
      <c r="AS907" s="176"/>
      <c r="AT907" s="176"/>
      <c r="AU907" s="176"/>
      <c r="AV907" s="176"/>
      <c r="AW907" s="176"/>
      <c r="AX907" s="176"/>
      <c r="AY907" s="176"/>
      <c r="AZ907" s="176"/>
      <c r="BA907" s="176"/>
      <c r="BB907" s="176"/>
      <c r="BC907" s="176"/>
      <c r="BD907" s="176"/>
      <c r="BE907" s="176"/>
      <c r="BF907" s="176"/>
      <c r="BG907" s="176"/>
      <c r="BH907" s="176"/>
      <c r="BI907" s="176"/>
      <c r="BJ907" s="176"/>
    </row>
    <row r="908" spans="2:62" x14ac:dyDescent="0.3">
      <c r="B908" s="3"/>
      <c r="C908" s="2"/>
      <c r="D908" s="2"/>
      <c r="E908" s="3"/>
      <c r="O908" s="176"/>
      <c r="P908" s="176"/>
      <c r="Q908" s="176"/>
      <c r="R908" s="176"/>
      <c r="S908" s="176"/>
      <c r="T908" s="176"/>
      <c r="U908" s="176"/>
      <c r="V908" s="176"/>
      <c r="W908" s="176"/>
      <c r="X908" s="176"/>
      <c r="Y908" s="176"/>
      <c r="Z908" s="176"/>
      <c r="AA908" s="176"/>
      <c r="AB908" s="176"/>
      <c r="AC908" s="176"/>
      <c r="AD908" s="176"/>
      <c r="AE908" s="176"/>
      <c r="AF908" s="176"/>
      <c r="AG908" s="176"/>
      <c r="AH908" s="176"/>
      <c r="AI908" s="176"/>
      <c r="AJ908" s="176"/>
      <c r="AK908" s="176"/>
      <c r="AL908" s="176"/>
      <c r="AM908" s="176"/>
      <c r="AN908" s="176"/>
      <c r="AO908" s="176"/>
      <c r="AP908" s="176"/>
      <c r="AQ908" s="176"/>
      <c r="AR908" s="176"/>
      <c r="AS908" s="176"/>
      <c r="AT908" s="176"/>
      <c r="AU908" s="176"/>
      <c r="AV908" s="176"/>
      <c r="AW908" s="176"/>
      <c r="AX908" s="176"/>
      <c r="AY908" s="176"/>
      <c r="AZ908" s="176"/>
      <c r="BA908" s="176"/>
      <c r="BB908" s="176"/>
      <c r="BC908" s="176"/>
      <c r="BD908" s="176"/>
      <c r="BE908" s="176"/>
      <c r="BF908" s="176"/>
      <c r="BG908" s="176"/>
      <c r="BH908" s="176"/>
      <c r="BI908" s="176"/>
      <c r="BJ908" s="176"/>
    </row>
    <row r="909" spans="2:62" x14ac:dyDescent="0.3">
      <c r="B909" s="3"/>
      <c r="C909" s="2"/>
      <c r="D909" s="2"/>
      <c r="E909" s="3"/>
      <c r="O909" s="176"/>
      <c r="P909" s="176"/>
      <c r="Q909" s="176"/>
      <c r="R909" s="176"/>
      <c r="S909" s="176"/>
      <c r="T909" s="176"/>
      <c r="U909" s="176"/>
      <c r="V909" s="176"/>
      <c r="W909" s="176"/>
      <c r="X909" s="176"/>
      <c r="Y909" s="176"/>
      <c r="Z909" s="176"/>
      <c r="AA909" s="176"/>
      <c r="AB909" s="176"/>
      <c r="AC909" s="176"/>
      <c r="AD909" s="176"/>
      <c r="AE909" s="176"/>
      <c r="AF909" s="176"/>
      <c r="AG909" s="176"/>
      <c r="AH909" s="176"/>
      <c r="AI909" s="176"/>
      <c r="AJ909" s="176"/>
      <c r="AK909" s="176"/>
      <c r="AL909" s="176"/>
      <c r="AM909" s="176"/>
      <c r="AN909" s="176"/>
      <c r="AO909" s="176"/>
      <c r="AP909" s="176"/>
      <c r="AQ909" s="176"/>
      <c r="AR909" s="176"/>
      <c r="AS909" s="176"/>
      <c r="AT909" s="176"/>
      <c r="AU909" s="176"/>
      <c r="AV909" s="176"/>
      <c r="AW909" s="176"/>
      <c r="AX909" s="176"/>
      <c r="AY909" s="176"/>
      <c r="AZ909" s="176"/>
      <c r="BA909" s="176"/>
      <c r="BB909" s="176"/>
      <c r="BC909" s="176"/>
      <c r="BD909" s="176"/>
      <c r="BE909" s="176"/>
      <c r="BF909" s="176"/>
      <c r="BG909" s="176"/>
      <c r="BH909" s="176"/>
      <c r="BI909" s="176"/>
      <c r="BJ909" s="176"/>
    </row>
    <row r="910" spans="2:62" x14ac:dyDescent="0.3">
      <c r="B910" s="3"/>
      <c r="C910" s="2"/>
      <c r="D910" s="2"/>
      <c r="E910" s="3"/>
      <c r="O910" s="176"/>
      <c r="P910" s="176"/>
      <c r="Q910" s="176"/>
      <c r="R910" s="176"/>
      <c r="S910" s="176"/>
      <c r="T910" s="176"/>
      <c r="U910" s="176"/>
      <c r="V910" s="176"/>
      <c r="W910" s="176"/>
      <c r="X910" s="176"/>
      <c r="Y910" s="176"/>
      <c r="Z910" s="176"/>
      <c r="AA910" s="176"/>
      <c r="AB910" s="176"/>
      <c r="AC910" s="176"/>
      <c r="AD910" s="176"/>
      <c r="AE910" s="176"/>
      <c r="AF910" s="176"/>
      <c r="AG910" s="176"/>
      <c r="AH910" s="176"/>
      <c r="AI910" s="176"/>
      <c r="AJ910" s="176"/>
      <c r="AK910" s="176"/>
      <c r="AL910" s="176"/>
      <c r="AM910" s="176"/>
      <c r="AN910" s="176"/>
      <c r="AO910" s="176"/>
      <c r="AP910" s="176"/>
      <c r="AQ910" s="176"/>
      <c r="AR910" s="176"/>
      <c r="AS910" s="176"/>
      <c r="AT910" s="176"/>
      <c r="AU910" s="176"/>
      <c r="AV910" s="176"/>
      <c r="AW910" s="176"/>
      <c r="AX910" s="176"/>
      <c r="AY910" s="176"/>
      <c r="AZ910" s="176"/>
      <c r="BA910" s="176"/>
      <c r="BB910" s="176"/>
      <c r="BC910" s="176"/>
      <c r="BD910" s="176"/>
      <c r="BE910" s="176"/>
      <c r="BF910" s="176"/>
      <c r="BG910" s="176"/>
      <c r="BH910" s="176"/>
      <c r="BI910" s="176"/>
      <c r="BJ910" s="176"/>
    </row>
    <row r="911" spans="2:62" x14ac:dyDescent="0.3">
      <c r="B911" s="3"/>
      <c r="C911" s="2"/>
      <c r="D911" s="2"/>
      <c r="E911" s="3"/>
      <c r="O911" s="176"/>
      <c r="P911" s="176"/>
      <c r="Q911" s="176"/>
      <c r="R911" s="176"/>
      <c r="S911" s="176"/>
      <c r="T911" s="176"/>
      <c r="U911" s="176"/>
      <c r="V911" s="176"/>
      <c r="W911" s="176"/>
      <c r="X911" s="176"/>
      <c r="Y911" s="176"/>
      <c r="Z911" s="176"/>
      <c r="AA911" s="176"/>
      <c r="AB911" s="176"/>
      <c r="AC911" s="176"/>
      <c r="AD911" s="176"/>
      <c r="AE911" s="176"/>
      <c r="AF911" s="176"/>
      <c r="AG911" s="176"/>
      <c r="AH911" s="176"/>
      <c r="AI911" s="176"/>
      <c r="AJ911" s="176"/>
      <c r="AK911" s="176"/>
      <c r="AL911" s="176"/>
      <c r="AM911" s="176"/>
      <c r="AN911" s="176"/>
      <c r="AO911" s="176"/>
      <c r="AP911" s="176"/>
      <c r="AQ911" s="176"/>
      <c r="AR911" s="176"/>
      <c r="AS911" s="176"/>
      <c r="AT911" s="176"/>
      <c r="AU911" s="176"/>
      <c r="AV911" s="176"/>
      <c r="AW911" s="176"/>
      <c r="AX911" s="176"/>
      <c r="AY911" s="176"/>
      <c r="AZ911" s="176"/>
      <c r="BA911" s="176"/>
      <c r="BB911" s="176"/>
      <c r="BC911" s="176"/>
      <c r="BD911" s="176"/>
      <c r="BE911" s="176"/>
      <c r="BF911" s="176"/>
      <c r="BG911" s="176"/>
      <c r="BH911" s="176"/>
      <c r="BI911" s="176"/>
      <c r="BJ911" s="176"/>
    </row>
    <row r="912" spans="2:62" x14ac:dyDescent="0.3">
      <c r="B912" s="3"/>
      <c r="C912" s="2"/>
      <c r="D912" s="2"/>
      <c r="E912" s="3"/>
      <c r="O912" s="176"/>
      <c r="P912" s="176"/>
      <c r="Q912" s="176"/>
      <c r="R912" s="176"/>
      <c r="S912" s="176"/>
      <c r="T912" s="176"/>
      <c r="U912" s="176"/>
      <c r="V912" s="176"/>
      <c r="W912" s="176"/>
      <c r="X912" s="176"/>
      <c r="Y912" s="176"/>
      <c r="Z912" s="176"/>
      <c r="AA912" s="176"/>
      <c r="AB912" s="176"/>
      <c r="AC912" s="176"/>
      <c r="AD912" s="176"/>
      <c r="AE912" s="176"/>
      <c r="AF912" s="176"/>
      <c r="AG912" s="176"/>
      <c r="AH912" s="176"/>
      <c r="AI912" s="176"/>
      <c r="AJ912" s="176"/>
      <c r="AK912" s="176"/>
      <c r="AL912" s="176"/>
      <c r="AM912" s="176"/>
      <c r="AN912" s="176"/>
      <c r="AO912" s="176"/>
      <c r="AP912" s="176"/>
      <c r="AQ912" s="176"/>
      <c r="AR912" s="176"/>
      <c r="AS912" s="176"/>
      <c r="AT912" s="176"/>
      <c r="AU912" s="176"/>
      <c r="AV912" s="176"/>
      <c r="AW912" s="176"/>
      <c r="AX912" s="176"/>
      <c r="AY912" s="176"/>
      <c r="AZ912" s="176"/>
      <c r="BA912" s="176"/>
      <c r="BB912" s="176"/>
      <c r="BC912" s="176"/>
      <c r="BD912" s="176"/>
      <c r="BE912" s="176"/>
      <c r="BF912" s="176"/>
      <c r="BG912" s="176"/>
      <c r="BH912" s="176"/>
      <c r="BI912" s="176"/>
      <c r="BJ912" s="176"/>
    </row>
    <row r="913" spans="2:62" x14ac:dyDescent="0.3">
      <c r="B913" s="3"/>
      <c r="C913" s="2"/>
      <c r="D913" s="2"/>
      <c r="E913" s="3"/>
      <c r="O913" s="176"/>
      <c r="P913" s="176"/>
      <c r="Q913" s="176"/>
      <c r="R913" s="176"/>
      <c r="S913" s="176"/>
      <c r="T913" s="176"/>
      <c r="U913" s="176"/>
      <c r="V913" s="176"/>
      <c r="W913" s="176"/>
      <c r="X913" s="176"/>
      <c r="Y913" s="176"/>
      <c r="Z913" s="176"/>
      <c r="AA913" s="176"/>
      <c r="AB913" s="176"/>
      <c r="AC913" s="176"/>
      <c r="AD913" s="176"/>
      <c r="AE913" s="176"/>
      <c r="AF913" s="176"/>
      <c r="AG913" s="176"/>
      <c r="AH913" s="176"/>
      <c r="AI913" s="176"/>
      <c r="AJ913" s="176"/>
      <c r="AK913" s="176"/>
      <c r="AL913" s="176"/>
      <c r="AM913" s="176"/>
      <c r="AN913" s="176"/>
      <c r="AO913" s="176"/>
      <c r="AP913" s="176"/>
      <c r="AQ913" s="176"/>
      <c r="AR913" s="176"/>
      <c r="AS913" s="176"/>
      <c r="AT913" s="176"/>
      <c r="AU913" s="176"/>
      <c r="AV913" s="176"/>
      <c r="AW913" s="176"/>
      <c r="AX913" s="176"/>
      <c r="AY913" s="176"/>
      <c r="AZ913" s="176"/>
      <c r="BA913" s="176"/>
      <c r="BB913" s="176"/>
      <c r="BC913" s="176"/>
      <c r="BD913" s="176"/>
      <c r="BE913" s="176"/>
      <c r="BF913" s="176"/>
      <c r="BG913" s="176"/>
      <c r="BH913" s="176"/>
      <c r="BI913" s="176"/>
      <c r="BJ913" s="176"/>
    </row>
    <row r="914" spans="2:62" x14ac:dyDescent="0.3">
      <c r="B914" s="3"/>
      <c r="C914" s="2"/>
      <c r="D914" s="2"/>
      <c r="E914" s="3"/>
      <c r="O914" s="176"/>
      <c r="P914" s="176"/>
      <c r="Q914" s="176"/>
      <c r="R914" s="176"/>
      <c r="S914" s="176"/>
      <c r="T914" s="176"/>
      <c r="U914" s="176"/>
      <c r="V914" s="176"/>
      <c r="W914" s="176"/>
      <c r="X914" s="176"/>
      <c r="Y914" s="176"/>
      <c r="Z914" s="176"/>
      <c r="AA914" s="176"/>
      <c r="AB914" s="176"/>
      <c r="AC914" s="176"/>
      <c r="AD914" s="176"/>
      <c r="AE914" s="176"/>
      <c r="AF914" s="176"/>
      <c r="AG914" s="176"/>
      <c r="AH914" s="176"/>
      <c r="AI914" s="176"/>
      <c r="AJ914" s="176"/>
      <c r="AK914" s="176"/>
      <c r="AL914" s="176"/>
      <c r="AM914" s="176"/>
      <c r="AN914" s="176"/>
      <c r="AO914" s="176"/>
      <c r="AP914" s="176"/>
      <c r="AQ914" s="176"/>
      <c r="AR914" s="176"/>
      <c r="AS914" s="176"/>
      <c r="AT914" s="176"/>
      <c r="AU914" s="176"/>
      <c r="AV914" s="176"/>
      <c r="AW914" s="176"/>
      <c r="AX914" s="176"/>
      <c r="AY914" s="176"/>
      <c r="AZ914" s="176"/>
      <c r="BA914" s="176"/>
      <c r="BB914" s="176"/>
      <c r="BC914" s="176"/>
      <c r="BD914" s="176"/>
      <c r="BE914" s="176"/>
      <c r="BF914" s="176"/>
      <c r="BG914" s="176"/>
      <c r="BH914" s="176"/>
      <c r="BI914" s="176"/>
      <c r="BJ914" s="176"/>
    </row>
    <row r="915" spans="2:62" x14ac:dyDescent="0.3">
      <c r="B915" s="3"/>
      <c r="C915" s="2"/>
      <c r="D915" s="2"/>
      <c r="E915" s="3"/>
      <c r="O915" s="176"/>
      <c r="P915" s="176"/>
      <c r="Q915" s="176"/>
      <c r="R915" s="176"/>
      <c r="S915" s="176"/>
      <c r="T915" s="176"/>
      <c r="U915" s="176"/>
      <c r="V915" s="176"/>
      <c r="W915" s="176"/>
      <c r="X915" s="176"/>
      <c r="Y915" s="176"/>
      <c r="Z915" s="176"/>
      <c r="AA915" s="176"/>
      <c r="AB915" s="176"/>
      <c r="AC915" s="176"/>
      <c r="AD915" s="176"/>
      <c r="AE915" s="176"/>
      <c r="AF915" s="176"/>
      <c r="AG915" s="176"/>
      <c r="AH915" s="176"/>
      <c r="AI915" s="176"/>
      <c r="AJ915" s="176"/>
      <c r="AK915" s="176"/>
      <c r="AL915" s="176"/>
      <c r="AM915" s="176"/>
      <c r="AN915" s="176"/>
      <c r="AO915" s="176"/>
      <c r="AP915" s="176"/>
      <c r="AQ915" s="176"/>
      <c r="AR915" s="176"/>
      <c r="AS915" s="176"/>
      <c r="AT915" s="176"/>
      <c r="AU915" s="176"/>
      <c r="AV915" s="176"/>
      <c r="AW915" s="176"/>
      <c r="AX915" s="176"/>
      <c r="AY915" s="176"/>
      <c r="AZ915" s="176"/>
      <c r="BA915" s="176"/>
      <c r="BB915" s="176"/>
      <c r="BC915" s="176"/>
      <c r="BD915" s="176"/>
      <c r="BE915" s="176"/>
      <c r="BF915" s="176"/>
      <c r="BG915" s="176"/>
      <c r="BH915" s="176"/>
      <c r="BI915" s="176"/>
      <c r="BJ915" s="176"/>
    </row>
    <row r="916" spans="2:62" x14ac:dyDescent="0.3">
      <c r="B916" s="3"/>
      <c r="C916" s="2"/>
      <c r="D916" s="2"/>
      <c r="E916" s="3"/>
      <c r="O916" s="176"/>
      <c r="P916" s="176"/>
      <c r="Q916" s="176"/>
      <c r="R916" s="176"/>
      <c r="S916" s="176"/>
      <c r="T916" s="176"/>
      <c r="U916" s="176"/>
      <c r="V916" s="176"/>
      <c r="W916" s="176"/>
      <c r="X916" s="176"/>
      <c r="Y916" s="176"/>
      <c r="Z916" s="176"/>
      <c r="AA916" s="176"/>
      <c r="AB916" s="176"/>
      <c r="AC916" s="176"/>
      <c r="AD916" s="176"/>
      <c r="AE916" s="176"/>
      <c r="AF916" s="176"/>
      <c r="AG916" s="176"/>
      <c r="AH916" s="176"/>
      <c r="AI916" s="176"/>
      <c r="AJ916" s="176"/>
      <c r="AK916" s="176"/>
      <c r="AL916" s="176"/>
      <c r="AM916" s="176"/>
      <c r="AN916" s="176"/>
      <c r="AO916" s="176"/>
      <c r="AP916" s="176"/>
      <c r="AQ916" s="176"/>
      <c r="AR916" s="176"/>
      <c r="AS916" s="176"/>
      <c r="AT916" s="176"/>
      <c r="AU916" s="176"/>
      <c r="AV916" s="176"/>
      <c r="AW916" s="176"/>
      <c r="AX916" s="176"/>
      <c r="AY916" s="176"/>
      <c r="AZ916" s="176"/>
      <c r="BA916" s="176"/>
      <c r="BB916" s="176"/>
      <c r="BC916" s="176"/>
      <c r="BD916" s="176"/>
      <c r="BE916" s="176"/>
      <c r="BF916" s="176"/>
      <c r="BG916" s="176"/>
      <c r="BH916" s="176"/>
      <c r="BI916" s="176"/>
      <c r="BJ916" s="176"/>
    </row>
    <row r="917" spans="2:62" x14ac:dyDescent="0.3">
      <c r="B917" s="3"/>
      <c r="C917" s="2"/>
      <c r="D917" s="2"/>
      <c r="E917" s="3"/>
      <c r="O917" s="176"/>
      <c r="P917" s="176"/>
      <c r="Q917" s="176"/>
      <c r="R917" s="176"/>
      <c r="S917" s="176"/>
      <c r="T917" s="176"/>
      <c r="U917" s="176"/>
      <c r="V917" s="176"/>
      <c r="W917" s="176"/>
      <c r="X917" s="176"/>
      <c r="Y917" s="176"/>
      <c r="Z917" s="176"/>
      <c r="AA917" s="176"/>
      <c r="AB917" s="176"/>
      <c r="AC917" s="176"/>
      <c r="AD917" s="176"/>
      <c r="AE917" s="176"/>
      <c r="AF917" s="176"/>
      <c r="AG917" s="176"/>
      <c r="AH917" s="176"/>
      <c r="AI917" s="176"/>
      <c r="AJ917" s="176"/>
      <c r="AK917" s="176"/>
      <c r="AL917" s="176"/>
      <c r="AM917" s="176"/>
      <c r="AN917" s="176"/>
      <c r="AO917" s="176"/>
      <c r="AP917" s="176"/>
      <c r="AQ917" s="176"/>
      <c r="AR917" s="176"/>
      <c r="AS917" s="176"/>
      <c r="AT917" s="176"/>
      <c r="AU917" s="176"/>
      <c r="AV917" s="176"/>
      <c r="AW917" s="176"/>
      <c r="AX917" s="176"/>
      <c r="AY917" s="176"/>
      <c r="AZ917" s="176"/>
      <c r="BA917" s="176"/>
      <c r="BB917" s="176"/>
      <c r="BC917" s="176"/>
      <c r="BD917" s="176"/>
      <c r="BE917" s="176"/>
      <c r="BF917" s="176"/>
      <c r="BG917" s="176"/>
      <c r="BH917" s="176"/>
      <c r="BI917" s="176"/>
      <c r="BJ917" s="176"/>
    </row>
    <row r="918" spans="2:62" x14ac:dyDescent="0.3">
      <c r="B918" s="3"/>
      <c r="C918" s="2"/>
      <c r="D918" s="2"/>
      <c r="E918" s="3"/>
      <c r="O918" s="176"/>
      <c r="P918" s="176"/>
      <c r="Q918" s="176"/>
      <c r="R918" s="176"/>
      <c r="S918" s="176"/>
      <c r="T918" s="176"/>
      <c r="U918" s="176"/>
      <c r="V918" s="176"/>
      <c r="W918" s="176"/>
      <c r="X918" s="176"/>
      <c r="Y918" s="176"/>
      <c r="Z918" s="176"/>
      <c r="AA918" s="176"/>
      <c r="AB918" s="176"/>
      <c r="AC918" s="176"/>
      <c r="AD918" s="176"/>
      <c r="AE918" s="176"/>
      <c r="AF918" s="176"/>
      <c r="AG918" s="176"/>
      <c r="AH918" s="176"/>
      <c r="AI918" s="176"/>
      <c r="AJ918" s="176"/>
      <c r="AK918" s="176"/>
      <c r="AL918" s="176"/>
      <c r="AM918" s="176"/>
      <c r="AN918" s="176"/>
      <c r="AO918" s="176"/>
      <c r="AP918" s="176"/>
      <c r="AQ918" s="176"/>
      <c r="AR918" s="176"/>
      <c r="AS918" s="176"/>
      <c r="AT918" s="176"/>
      <c r="AU918" s="176"/>
      <c r="AV918" s="176"/>
      <c r="AW918" s="176"/>
      <c r="AX918" s="176"/>
      <c r="AY918" s="176"/>
      <c r="AZ918" s="176"/>
      <c r="BA918" s="176"/>
      <c r="BB918" s="176"/>
      <c r="BC918" s="176"/>
      <c r="BD918" s="176"/>
      <c r="BE918" s="176"/>
      <c r="BF918" s="176"/>
      <c r="BG918" s="176"/>
      <c r="BH918" s="176"/>
      <c r="BI918" s="176"/>
      <c r="BJ918" s="176"/>
    </row>
    <row r="919" spans="2:62" x14ac:dyDescent="0.3">
      <c r="B919" s="3"/>
      <c r="C919" s="2"/>
      <c r="D919" s="2"/>
      <c r="E919" s="3"/>
      <c r="O919" s="176"/>
      <c r="P919" s="176"/>
      <c r="Q919" s="176"/>
      <c r="R919" s="176"/>
      <c r="S919" s="176"/>
      <c r="T919" s="176"/>
      <c r="U919" s="176"/>
      <c r="V919" s="176"/>
      <c r="W919" s="176"/>
      <c r="X919" s="176"/>
      <c r="Y919" s="176"/>
      <c r="Z919" s="176"/>
      <c r="AA919" s="176"/>
      <c r="AB919" s="176"/>
      <c r="AC919" s="176"/>
      <c r="AD919" s="176"/>
      <c r="AE919" s="176"/>
      <c r="AF919" s="176"/>
      <c r="AG919" s="176"/>
      <c r="AH919" s="176"/>
      <c r="AI919" s="176"/>
      <c r="AJ919" s="176"/>
      <c r="AK919" s="176"/>
      <c r="AL919" s="176"/>
      <c r="AM919" s="176"/>
      <c r="AN919" s="176"/>
      <c r="AO919" s="176"/>
      <c r="AP919" s="176"/>
      <c r="AQ919" s="176"/>
      <c r="AR919" s="176"/>
      <c r="AS919" s="176"/>
      <c r="AT919" s="176"/>
      <c r="AU919" s="176"/>
      <c r="AV919" s="176"/>
      <c r="AW919" s="176"/>
      <c r="AX919" s="176"/>
      <c r="AY919" s="176"/>
      <c r="AZ919" s="176"/>
      <c r="BA919" s="176"/>
      <c r="BB919" s="176"/>
      <c r="BC919" s="176"/>
      <c r="BD919" s="176"/>
      <c r="BE919" s="176"/>
      <c r="BF919" s="176"/>
      <c r="BG919" s="176"/>
      <c r="BH919" s="176"/>
      <c r="BI919" s="176"/>
      <c r="BJ919" s="176"/>
    </row>
    <row r="920" spans="2:62" x14ac:dyDescent="0.3">
      <c r="B920" s="3"/>
      <c r="C920" s="2"/>
      <c r="D920" s="2"/>
      <c r="E920" s="3"/>
      <c r="O920" s="176"/>
      <c r="P920" s="176"/>
      <c r="Q920" s="176"/>
      <c r="R920" s="176"/>
      <c r="S920" s="176"/>
      <c r="T920" s="176"/>
      <c r="U920" s="176"/>
      <c r="V920" s="176"/>
      <c r="W920" s="176"/>
      <c r="X920" s="176"/>
      <c r="Y920" s="176"/>
      <c r="Z920" s="176"/>
      <c r="AA920" s="176"/>
      <c r="AB920" s="176"/>
      <c r="AC920" s="176"/>
      <c r="AD920" s="176"/>
      <c r="AE920" s="176"/>
      <c r="AF920" s="176"/>
      <c r="AG920" s="176"/>
      <c r="AH920" s="176"/>
      <c r="AI920" s="176"/>
      <c r="AJ920" s="176"/>
      <c r="AK920" s="176"/>
      <c r="AL920" s="176"/>
      <c r="AM920" s="176"/>
      <c r="AN920" s="176"/>
      <c r="AO920" s="176"/>
      <c r="AP920" s="176"/>
      <c r="AQ920" s="176"/>
      <c r="AR920" s="176"/>
      <c r="AS920" s="176"/>
      <c r="AT920" s="176"/>
      <c r="AU920" s="176"/>
      <c r="AV920" s="176"/>
      <c r="AW920" s="176"/>
      <c r="AX920" s="176"/>
      <c r="AY920" s="176"/>
      <c r="AZ920" s="176"/>
      <c r="BA920" s="176"/>
      <c r="BB920" s="176"/>
      <c r="BC920" s="176"/>
      <c r="BD920" s="176"/>
      <c r="BE920" s="176"/>
      <c r="BF920" s="176"/>
      <c r="BG920" s="176"/>
      <c r="BH920" s="176"/>
      <c r="BI920" s="176"/>
      <c r="BJ920" s="176"/>
    </row>
    <row r="921" spans="2:62" x14ac:dyDescent="0.3">
      <c r="B921" s="3"/>
      <c r="C921" s="2"/>
      <c r="D921" s="2"/>
      <c r="E921" s="3"/>
      <c r="O921" s="176"/>
      <c r="P921" s="176"/>
      <c r="Q921" s="176"/>
      <c r="R921" s="176"/>
      <c r="S921" s="176"/>
      <c r="T921" s="176"/>
      <c r="U921" s="176"/>
      <c r="V921" s="176"/>
      <c r="W921" s="176"/>
      <c r="X921" s="176"/>
      <c r="Y921" s="176"/>
      <c r="Z921" s="176"/>
      <c r="AA921" s="176"/>
      <c r="AB921" s="176"/>
      <c r="AC921" s="176"/>
      <c r="AD921" s="176"/>
      <c r="AE921" s="176"/>
      <c r="AF921" s="176"/>
      <c r="AG921" s="176"/>
      <c r="AH921" s="176"/>
      <c r="AI921" s="176"/>
      <c r="AJ921" s="176"/>
      <c r="AK921" s="176"/>
      <c r="AL921" s="176"/>
      <c r="AM921" s="176"/>
      <c r="AN921" s="176"/>
      <c r="AO921" s="176"/>
      <c r="AP921" s="176"/>
      <c r="AQ921" s="176"/>
      <c r="AR921" s="176"/>
      <c r="AS921" s="176"/>
      <c r="AT921" s="176"/>
      <c r="AU921" s="176"/>
      <c r="AV921" s="176"/>
      <c r="AW921" s="176"/>
      <c r="AX921" s="176"/>
      <c r="AY921" s="176"/>
      <c r="AZ921" s="176"/>
      <c r="BA921" s="176"/>
      <c r="BB921" s="176"/>
      <c r="BC921" s="176"/>
      <c r="BD921" s="176"/>
      <c r="BE921" s="176"/>
      <c r="BF921" s="176"/>
      <c r="BG921" s="176"/>
      <c r="BH921" s="176"/>
      <c r="BI921" s="176"/>
      <c r="BJ921" s="176"/>
    </row>
    <row r="922" spans="2:62" x14ac:dyDescent="0.3">
      <c r="B922" s="3"/>
      <c r="C922" s="2"/>
      <c r="D922" s="2"/>
      <c r="E922" s="3"/>
      <c r="O922" s="176"/>
      <c r="P922" s="176"/>
      <c r="Q922" s="176"/>
      <c r="R922" s="176"/>
      <c r="S922" s="176"/>
      <c r="T922" s="176"/>
      <c r="U922" s="176"/>
      <c r="V922" s="176"/>
      <c r="W922" s="176"/>
      <c r="X922" s="176"/>
      <c r="Y922" s="176"/>
      <c r="Z922" s="176"/>
      <c r="AA922" s="176"/>
      <c r="AB922" s="176"/>
      <c r="AC922" s="176"/>
      <c r="AD922" s="176"/>
      <c r="AE922" s="176"/>
      <c r="AF922" s="176"/>
      <c r="AG922" s="176"/>
      <c r="AH922" s="176"/>
      <c r="AI922" s="176"/>
      <c r="AJ922" s="176"/>
      <c r="AK922" s="176"/>
      <c r="AL922" s="176"/>
      <c r="AM922" s="176"/>
      <c r="AN922" s="176"/>
      <c r="AO922" s="176"/>
      <c r="AP922" s="176"/>
      <c r="AQ922" s="176"/>
      <c r="AR922" s="176"/>
      <c r="AS922" s="176"/>
      <c r="AT922" s="176"/>
      <c r="AU922" s="176"/>
      <c r="AV922" s="176"/>
      <c r="AW922" s="176"/>
      <c r="AX922" s="176"/>
      <c r="AY922" s="176"/>
      <c r="AZ922" s="176"/>
      <c r="BA922" s="176"/>
      <c r="BB922" s="176"/>
      <c r="BC922" s="176"/>
      <c r="BD922" s="176"/>
      <c r="BE922" s="176"/>
      <c r="BF922" s="176"/>
      <c r="BG922" s="176"/>
      <c r="BH922" s="176"/>
      <c r="BI922" s="176"/>
      <c r="BJ922" s="176"/>
    </row>
    <row r="923" spans="2:62" x14ac:dyDescent="0.3">
      <c r="B923" s="3"/>
      <c r="C923" s="2"/>
      <c r="D923" s="2"/>
      <c r="E923" s="3"/>
      <c r="O923" s="176"/>
      <c r="P923" s="176"/>
      <c r="Q923" s="176"/>
      <c r="R923" s="176"/>
      <c r="S923" s="176"/>
      <c r="T923" s="176"/>
      <c r="U923" s="176"/>
      <c r="V923" s="176"/>
      <c r="W923" s="176"/>
      <c r="X923" s="176"/>
      <c r="Y923" s="176"/>
      <c r="Z923" s="176"/>
      <c r="AA923" s="176"/>
      <c r="AB923" s="176"/>
      <c r="AC923" s="176"/>
      <c r="AD923" s="176"/>
      <c r="AE923" s="176"/>
      <c r="AF923" s="176"/>
      <c r="AG923" s="176"/>
      <c r="AH923" s="176"/>
      <c r="AI923" s="176"/>
      <c r="AJ923" s="176"/>
      <c r="AK923" s="176"/>
      <c r="AL923" s="176"/>
      <c r="AM923" s="176"/>
      <c r="AN923" s="176"/>
      <c r="AO923" s="176"/>
      <c r="AP923" s="176"/>
      <c r="AQ923" s="176"/>
      <c r="AR923" s="176"/>
      <c r="AS923" s="176"/>
      <c r="AT923" s="176"/>
      <c r="AU923" s="176"/>
      <c r="AV923" s="176"/>
      <c r="AW923" s="176"/>
      <c r="AX923" s="176"/>
      <c r="AY923" s="176"/>
      <c r="AZ923" s="176"/>
      <c r="BA923" s="176"/>
      <c r="BB923" s="176"/>
      <c r="BC923" s="176"/>
      <c r="BD923" s="176"/>
      <c r="BE923" s="176"/>
      <c r="BF923" s="176"/>
      <c r="BG923" s="176"/>
      <c r="BH923" s="176"/>
      <c r="BI923" s="176"/>
      <c r="BJ923" s="176"/>
    </row>
    <row r="924" spans="2:62" x14ac:dyDescent="0.3">
      <c r="B924" s="3"/>
      <c r="C924" s="2"/>
      <c r="D924" s="2"/>
      <c r="E924" s="3"/>
      <c r="O924" s="176"/>
      <c r="P924" s="176"/>
      <c r="Q924" s="176"/>
      <c r="R924" s="176"/>
      <c r="S924" s="176"/>
      <c r="T924" s="176"/>
      <c r="U924" s="176"/>
      <c r="V924" s="176"/>
      <c r="W924" s="176"/>
      <c r="X924" s="176"/>
      <c r="Y924" s="176"/>
      <c r="Z924" s="176"/>
      <c r="AA924" s="176"/>
      <c r="AB924" s="176"/>
      <c r="AC924" s="176"/>
      <c r="AD924" s="176"/>
      <c r="AE924" s="176"/>
      <c r="AF924" s="176"/>
      <c r="AG924" s="176"/>
      <c r="AH924" s="176"/>
      <c r="AI924" s="176"/>
      <c r="AJ924" s="176"/>
      <c r="AK924" s="176"/>
      <c r="AL924" s="176"/>
      <c r="AM924" s="176"/>
      <c r="AN924" s="176"/>
      <c r="AO924" s="176"/>
      <c r="AP924" s="176"/>
      <c r="AQ924" s="176"/>
      <c r="AR924" s="176"/>
      <c r="AS924" s="176"/>
      <c r="AT924" s="176"/>
      <c r="AU924" s="176"/>
      <c r="AV924" s="176"/>
      <c r="AW924" s="176"/>
      <c r="AX924" s="176"/>
      <c r="AY924" s="176"/>
      <c r="AZ924" s="176"/>
      <c r="BA924" s="176"/>
      <c r="BB924" s="176"/>
      <c r="BC924" s="176"/>
      <c r="BD924" s="176"/>
      <c r="BE924" s="176"/>
      <c r="BF924" s="176"/>
      <c r="BG924" s="176"/>
      <c r="BH924" s="176"/>
      <c r="BI924" s="176"/>
      <c r="BJ924" s="176"/>
    </row>
    <row r="925" spans="2:62" x14ac:dyDescent="0.3">
      <c r="B925" s="3"/>
      <c r="C925" s="2"/>
      <c r="D925" s="2"/>
      <c r="E925" s="3"/>
      <c r="O925" s="176"/>
      <c r="P925" s="176"/>
      <c r="Q925" s="176"/>
      <c r="R925" s="176"/>
      <c r="S925" s="176"/>
      <c r="T925" s="176"/>
      <c r="U925" s="176"/>
      <c r="V925" s="176"/>
      <c r="W925" s="176"/>
      <c r="X925" s="176"/>
      <c r="Y925" s="176"/>
      <c r="Z925" s="176"/>
      <c r="AA925" s="176"/>
      <c r="AB925" s="176"/>
      <c r="AC925" s="176"/>
      <c r="AD925" s="176"/>
      <c r="AE925" s="176"/>
      <c r="AF925" s="176"/>
      <c r="AG925" s="176"/>
      <c r="AH925" s="176"/>
      <c r="AI925" s="176"/>
      <c r="AJ925" s="176"/>
      <c r="AK925" s="176"/>
      <c r="AL925" s="176"/>
      <c r="AM925" s="176"/>
      <c r="AN925" s="176"/>
      <c r="AO925" s="176"/>
      <c r="AP925" s="176"/>
      <c r="AQ925" s="176"/>
      <c r="AR925" s="176"/>
      <c r="AS925" s="176"/>
      <c r="AT925" s="176"/>
      <c r="AU925" s="176"/>
      <c r="AV925" s="176"/>
      <c r="AW925" s="176"/>
      <c r="AX925" s="176"/>
      <c r="AY925" s="176"/>
      <c r="AZ925" s="176"/>
      <c r="BA925" s="176"/>
      <c r="BB925" s="176"/>
      <c r="BC925" s="176"/>
      <c r="BD925" s="176"/>
      <c r="BE925" s="176"/>
      <c r="BF925" s="176"/>
      <c r="BG925" s="176"/>
      <c r="BH925" s="176"/>
      <c r="BI925" s="176"/>
      <c r="BJ925" s="176"/>
    </row>
    <row r="926" spans="2:62" x14ac:dyDescent="0.3">
      <c r="B926" s="3"/>
      <c r="C926" s="2"/>
      <c r="D926" s="2"/>
      <c r="E926" s="3"/>
      <c r="O926" s="176"/>
      <c r="P926" s="176"/>
      <c r="Q926" s="176"/>
      <c r="R926" s="176"/>
      <c r="S926" s="176"/>
      <c r="T926" s="176"/>
      <c r="U926" s="176"/>
      <c r="V926" s="176"/>
      <c r="W926" s="176"/>
      <c r="X926" s="176"/>
      <c r="Y926" s="176"/>
      <c r="Z926" s="176"/>
      <c r="AA926" s="176"/>
      <c r="AB926" s="176"/>
      <c r="AC926" s="176"/>
      <c r="AD926" s="176"/>
      <c r="AE926" s="176"/>
      <c r="AF926" s="176"/>
      <c r="AG926" s="176"/>
      <c r="AH926" s="176"/>
      <c r="AI926" s="176"/>
      <c r="AJ926" s="176"/>
      <c r="AK926" s="176"/>
      <c r="AL926" s="176"/>
      <c r="AM926" s="176"/>
      <c r="AN926" s="176"/>
      <c r="AO926" s="176"/>
      <c r="AP926" s="176"/>
      <c r="AQ926" s="176"/>
      <c r="AR926" s="176"/>
      <c r="AS926" s="176"/>
      <c r="AT926" s="176"/>
      <c r="AU926" s="176"/>
      <c r="AV926" s="176"/>
      <c r="AW926" s="176"/>
      <c r="AX926" s="176"/>
      <c r="AY926" s="176"/>
      <c r="AZ926" s="176"/>
      <c r="BA926" s="176"/>
      <c r="BB926" s="176"/>
      <c r="BC926" s="176"/>
      <c r="BD926" s="176"/>
      <c r="BE926" s="176"/>
      <c r="BF926" s="176"/>
      <c r="BG926" s="176"/>
      <c r="BH926" s="176"/>
      <c r="BI926" s="176"/>
      <c r="BJ926" s="176"/>
    </row>
    <row r="927" spans="2:62" x14ac:dyDescent="0.3">
      <c r="B927" s="3"/>
      <c r="C927" s="2"/>
      <c r="D927" s="2"/>
      <c r="E927" s="3"/>
      <c r="O927" s="176"/>
      <c r="P927" s="176"/>
      <c r="Q927" s="176"/>
      <c r="R927" s="176"/>
      <c r="S927" s="176"/>
      <c r="T927" s="176"/>
      <c r="U927" s="176"/>
      <c r="V927" s="176"/>
      <c r="W927" s="176"/>
      <c r="X927" s="176"/>
      <c r="Y927" s="176"/>
      <c r="Z927" s="176"/>
      <c r="AA927" s="176"/>
      <c r="AB927" s="176"/>
      <c r="AC927" s="176"/>
      <c r="AD927" s="176"/>
      <c r="AE927" s="176"/>
      <c r="AF927" s="176"/>
      <c r="AG927" s="176"/>
      <c r="AH927" s="176"/>
      <c r="AI927" s="176"/>
      <c r="AJ927" s="176"/>
      <c r="AK927" s="176"/>
      <c r="AL927" s="176"/>
      <c r="AM927" s="176"/>
      <c r="AN927" s="176"/>
      <c r="AO927" s="176"/>
      <c r="AP927" s="176"/>
      <c r="AQ927" s="176"/>
      <c r="AR927" s="176"/>
      <c r="AS927" s="176"/>
      <c r="AT927" s="176"/>
      <c r="AU927" s="176"/>
      <c r="AV927" s="176"/>
      <c r="AW927" s="176"/>
      <c r="AX927" s="176"/>
      <c r="AY927" s="176"/>
      <c r="AZ927" s="176"/>
      <c r="BA927" s="176"/>
      <c r="BB927" s="176"/>
      <c r="BC927" s="176"/>
      <c r="BD927" s="176"/>
      <c r="BE927" s="176"/>
      <c r="BF927" s="176"/>
      <c r="BG927" s="176"/>
      <c r="BH927" s="176"/>
      <c r="BI927" s="176"/>
      <c r="BJ927" s="176"/>
    </row>
    <row r="928" spans="2:62" x14ac:dyDescent="0.3">
      <c r="B928" s="3"/>
      <c r="C928" s="2"/>
      <c r="D928" s="2"/>
      <c r="E928" s="3"/>
      <c r="O928" s="176"/>
      <c r="P928" s="176"/>
      <c r="Q928" s="176"/>
      <c r="R928" s="176"/>
      <c r="S928" s="176"/>
      <c r="T928" s="176"/>
      <c r="U928" s="176"/>
      <c r="V928" s="176"/>
      <c r="W928" s="176"/>
      <c r="X928" s="176"/>
      <c r="Y928" s="176"/>
      <c r="Z928" s="176"/>
      <c r="AA928" s="176"/>
      <c r="AB928" s="176"/>
      <c r="AC928" s="176"/>
      <c r="AD928" s="176"/>
      <c r="AE928" s="176"/>
      <c r="AF928" s="176"/>
      <c r="AG928" s="176"/>
      <c r="AH928" s="176"/>
      <c r="AI928" s="176"/>
      <c r="AJ928" s="176"/>
      <c r="AK928" s="176"/>
      <c r="AL928" s="176"/>
      <c r="AM928" s="176"/>
      <c r="AN928" s="176"/>
      <c r="AO928" s="176"/>
      <c r="AP928" s="176"/>
      <c r="AQ928" s="176"/>
      <c r="AR928" s="176"/>
      <c r="AS928" s="176"/>
      <c r="AT928" s="176"/>
      <c r="AU928" s="176"/>
      <c r="AV928" s="176"/>
      <c r="AW928" s="176"/>
      <c r="AX928" s="176"/>
      <c r="AY928" s="176"/>
      <c r="AZ928" s="176"/>
      <c r="BA928" s="176"/>
      <c r="BB928" s="176"/>
      <c r="BC928" s="176"/>
      <c r="BD928" s="176"/>
      <c r="BE928" s="176"/>
      <c r="BF928" s="176"/>
      <c r="BG928" s="176"/>
      <c r="BH928" s="176"/>
      <c r="BI928" s="176"/>
      <c r="BJ928" s="176"/>
    </row>
    <row r="929" spans="2:62" x14ac:dyDescent="0.3">
      <c r="B929" s="3"/>
      <c r="C929" s="2"/>
      <c r="D929" s="2"/>
      <c r="E929" s="3"/>
      <c r="O929" s="176"/>
      <c r="P929" s="176"/>
      <c r="Q929" s="176"/>
      <c r="R929" s="176"/>
      <c r="S929" s="176"/>
      <c r="T929" s="176"/>
      <c r="U929" s="176"/>
      <c r="V929" s="176"/>
      <c r="W929" s="176"/>
      <c r="X929" s="176"/>
      <c r="Y929" s="176"/>
      <c r="Z929" s="176"/>
      <c r="AA929" s="176"/>
      <c r="AB929" s="176"/>
      <c r="AC929" s="176"/>
      <c r="AD929" s="176"/>
      <c r="AE929" s="176"/>
      <c r="AF929" s="176"/>
      <c r="AG929" s="176"/>
      <c r="AH929" s="176"/>
      <c r="AI929" s="176"/>
      <c r="AJ929" s="176"/>
      <c r="AK929" s="176"/>
      <c r="AL929" s="176"/>
      <c r="AM929" s="176"/>
      <c r="AN929" s="176"/>
      <c r="AO929" s="176"/>
      <c r="AP929" s="176"/>
      <c r="AQ929" s="176"/>
      <c r="AR929" s="176"/>
      <c r="AS929" s="176"/>
      <c r="AT929" s="176"/>
      <c r="AU929" s="176"/>
      <c r="AV929" s="176"/>
      <c r="AW929" s="176"/>
      <c r="AX929" s="176"/>
      <c r="AY929" s="176"/>
      <c r="AZ929" s="176"/>
      <c r="BA929" s="176"/>
      <c r="BB929" s="176"/>
      <c r="BC929" s="176"/>
      <c r="BD929" s="176"/>
      <c r="BE929" s="176"/>
      <c r="BF929" s="176"/>
      <c r="BG929" s="176"/>
      <c r="BH929" s="176"/>
      <c r="BI929" s="176"/>
      <c r="BJ929" s="176"/>
    </row>
    <row r="930" spans="2:62" x14ac:dyDescent="0.3">
      <c r="B930" s="3"/>
      <c r="C930" s="2"/>
      <c r="D930" s="2"/>
      <c r="E930" s="3"/>
      <c r="O930" s="176"/>
      <c r="P930" s="176"/>
      <c r="Q930" s="176"/>
      <c r="R930" s="176"/>
      <c r="S930" s="176"/>
      <c r="T930" s="176"/>
      <c r="U930" s="176"/>
      <c r="V930" s="176"/>
      <c r="W930" s="176"/>
      <c r="X930" s="176"/>
      <c r="Y930" s="176"/>
      <c r="Z930" s="176"/>
      <c r="AA930" s="176"/>
      <c r="AB930" s="176"/>
      <c r="AC930" s="176"/>
      <c r="AD930" s="176"/>
      <c r="AE930" s="176"/>
      <c r="AF930" s="176"/>
      <c r="AG930" s="176"/>
      <c r="AH930" s="176"/>
      <c r="AI930" s="176"/>
      <c r="AJ930" s="176"/>
      <c r="AK930" s="176"/>
      <c r="AL930" s="176"/>
      <c r="AM930" s="176"/>
      <c r="AN930" s="176"/>
      <c r="AO930" s="176"/>
      <c r="AP930" s="176"/>
      <c r="AQ930" s="176"/>
      <c r="AR930" s="176"/>
      <c r="AS930" s="176"/>
      <c r="AT930" s="176"/>
      <c r="AU930" s="176"/>
      <c r="AV930" s="176"/>
      <c r="AW930" s="176"/>
      <c r="AX930" s="176"/>
      <c r="AY930" s="176"/>
      <c r="AZ930" s="176"/>
      <c r="BA930" s="176"/>
      <c r="BB930" s="176"/>
      <c r="BC930" s="176"/>
      <c r="BD930" s="176"/>
      <c r="BE930" s="176"/>
      <c r="BF930" s="176"/>
      <c r="BG930" s="176"/>
      <c r="BH930" s="176"/>
      <c r="BI930" s="176"/>
      <c r="BJ930" s="176"/>
    </row>
    <row r="931" spans="2:62" x14ac:dyDescent="0.3">
      <c r="B931" s="3"/>
      <c r="C931" s="2"/>
      <c r="D931" s="2"/>
      <c r="E931" s="3"/>
      <c r="O931" s="176"/>
      <c r="P931" s="176"/>
      <c r="Q931" s="176"/>
      <c r="R931" s="176"/>
      <c r="S931" s="176"/>
      <c r="T931" s="176"/>
      <c r="U931" s="176"/>
      <c r="V931" s="176"/>
      <c r="W931" s="176"/>
      <c r="X931" s="176"/>
      <c r="Y931" s="176"/>
      <c r="Z931" s="176"/>
      <c r="AA931" s="176"/>
      <c r="AB931" s="176"/>
      <c r="AC931" s="176"/>
      <c r="AD931" s="176"/>
      <c r="AE931" s="176"/>
      <c r="AF931" s="176"/>
      <c r="AG931" s="176"/>
      <c r="AH931" s="176"/>
      <c r="AI931" s="176"/>
      <c r="AJ931" s="176"/>
      <c r="AK931" s="176"/>
      <c r="AL931" s="176"/>
      <c r="AM931" s="176"/>
      <c r="AN931" s="176"/>
      <c r="AO931" s="176"/>
      <c r="AP931" s="176"/>
      <c r="AQ931" s="176"/>
      <c r="AR931" s="176"/>
      <c r="AS931" s="176"/>
      <c r="AT931" s="176"/>
      <c r="AU931" s="176"/>
      <c r="AV931" s="176"/>
      <c r="AW931" s="176"/>
      <c r="AX931" s="176"/>
      <c r="AY931" s="176"/>
      <c r="AZ931" s="176"/>
      <c r="BA931" s="176"/>
      <c r="BB931" s="176"/>
      <c r="BC931" s="176"/>
      <c r="BD931" s="176"/>
      <c r="BE931" s="176"/>
      <c r="BF931" s="176"/>
      <c r="BG931" s="176"/>
      <c r="BH931" s="176"/>
      <c r="BI931" s="176"/>
      <c r="BJ931" s="176"/>
    </row>
    <row r="932" spans="2:62" x14ac:dyDescent="0.3">
      <c r="B932" s="3"/>
      <c r="C932" s="2"/>
      <c r="D932" s="2"/>
      <c r="E932" s="3"/>
      <c r="O932" s="176"/>
      <c r="P932" s="176"/>
      <c r="Q932" s="176"/>
      <c r="R932" s="176"/>
      <c r="S932" s="176"/>
      <c r="T932" s="176"/>
      <c r="U932" s="176"/>
      <c r="V932" s="176"/>
      <c r="W932" s="176"/>
      <c r="X932" s="176"/>
      <c r="Y932" s="176"/>
      <c r="Z932" s="176"/>
      <c r="AA932" s="176"/>
      <c r="AB932" s="176"/>
      <c r="AC932" s="176"/>
      <c r="AD932" s="176"/>
      <c r="AE932" s="176"/>
      <c r="AF932" s="176"/>
      <c r="AG932" s="176"/>
      <c r="AH932" s="176"/>
      <c r="AI932" s="176"/>
      <c r="AJ932" s="176"/>
      <c r="AK932" s="176"/>
      <c r="AL932" s="176"/>
      <c r="AM932" s="176"/>
      <c r="AN932" s="176"/>
      <c r="AO932" s="176"/>
      <c r="AP932" s="176"/>
      <c r="AQ932" s="176"/>
      <c r="AR932" s="176"/>
      <c r="AS932" s="176"/>
      <c r="AT932" s="176"/>
      <c r="AU932" s="176"/>
      <c r="AV932" s="176"/>
      <c r="AW932" s="176"/>
      <c r="AX932" s="176"/>
      <c r="AY932" s="176"/>
      <c r="AZ932" s="176"/>
      <c r="BA932" s="176"/>
      <c r="BB932" s="176"/>
      <c r="BC932" s="176"/>
      <c r="BD932" s="176"/>
      <c r="BE932" s="176"/>
      <c r="BF932" s="176"/>
      <c r="BG932" s="176"/>
      <c r="BH932" s="176"/>
      <c r="BI932" s="176"/>
      <c r="BJ932" s="176"/>
    </row>
    <row r="933" spans="2:62" x14ac:dyDescent="0.3">
      <c r="B933" s="3"/>
      <c r="C933" s="2"/>
      <c r="D933" s="2"/>
      <c r="E933" s="3"/>
      <c r="O933" s="176"/>
      <c r="P933" s="176"/>
      <c r="Q933" s="176"/>
      <c r="R933" s="176"/>
      <c r="S933" s="176"/>
      <c r="T933" s="176"/>
      <c r="U933" s="176"/>
      <c r="V933" s="176"/>
      <c r="W933" s="176"/>
      <c r="X933" s="176"/>
      <c r="Y933" s="176"/>
      <c r="Z933" s="176"/>
      <c r="AA933" s="176"/>
      <c r="AB933" s="176"/>
      <c r="AC933" s="176"/>
      <c r="AD933" s="176"/>
      <c r="AE933" s="176"/>
      <c r="AF933" s="176"/>
      <c r="AG933" s="176"/>
      <c r="AH933" s="176"/>
      <c r="AI933" s="176"/>
      <c r="AJ933" s="176"/>
      <c r="AK933" s="176"/>
      <c r="AL933" s="176"/>
      <c r="AM933" s="176"/>
      <c r="AN933" s="176"/>
      <c r="AO933" s="176"/>
      <c r="AP933" s="176"/>
      <c r="AQ933" s="176"/>
      <c r="AR933" s="176"/>
      <c r="AS933" s="176"/>
      <c r="AT933" s="176"/>
      <c r="AU933" s="176"/>
      <c r="AV933" s="176"/>
      <c r="AW933" s="176"/>
      <c r="AX933" s="176"/>
      <c r="AY933" s="176"/>
      <c r="AZ933" s="176"/>
      <c r="BA933" s="176"/>
      <c r="BB933" s="176"/>
      <c r="BC933" s="176"/>
      <c r="BD933" s="176"/>
      <c r="BE933" s="176"/>
      <c r="BF933" s="176"/>
      <c r="BG933" s="176"/>
      <c r="BH933" s="176"/>
      <c r="BI933" s="176"/>
      <c r="BJ933" s="176"/>
    </row>
    <row r="934" spans="2:62" x14ac:dyDescent="0.3">
      <c r="B934" s="3"/>
      <c r="C934" s="2"/>
      <c r="D934" s="2"/>
      <c r="E934" s="3"/>
      <c r="O934" s="176"/>
      <c r="P934" s="176"/>
      <c r="Q934" s="176"/>
      <c r="R934" s="176"/>
      <c r="S934" s="176"/>
      <c r="T934" s="176"/>
      <c r="U934" s="176"/>
      <c r="V934" s="176"/>
      <c r="W934" s="176"/>
      <c r="X934" s="176"/>
      <c r="Y934" s="176"/>
      <c r="Z934" s="176"/>
      <c r="AA934" s="176"/>
      <c r="AB934" s="176"/>
      <c r="AC934" s="176"/>
      <c r="AD934" s="176"/>
      <c r="AE934" s="176"/>
      <c r="AF934" s="176"/>
      <c r="AG934" s="176"/>
      <c r="AH934" s="176"/>
      <c r="AI934" s="176"/>
      <c r="AJ934" s="176"/>
      <c r="AK934" s="176"/>
      <c r="AL934" s="176"/>
      <c r="AM934" s="176"/>
      <c r="AN934" s="176"/>
      <c r="AO934" s="176"/>
      <c r="AP934" s="176"/>
      <c r="AQ934" s="176"/>
      <c r="AR934" s="176"/>
      <c r="AS934" s="176"/>
      <c r="AT934" s="176"/>
      <c r="AU934" s="176"/>
      <c r="AV934" s="176"/>
      <c r="AW934" s="176"/>
      <c r="AX934" s="176"/>
      <c r="AY934" s="176"/>
      <c r="AZ934" s="176"/>
      <c r="BA934" s="176"/>
      <c r="BB934" s="176"/>
      <c r="BC934" s="176"/>
      <c r="BD934" s="176"/>
      <c r="BE934" s="176"/>
      <c r="BF934" s="176"/>
      <c r="BG934" s="176"/>
      <c r="BH934" s="176"/>
      <c r="BI934" s="176"/>
      <c r="BJ934" s="176"/>
    </row>
    <row r="935" spans="2:62" x14ac:dyDescent="0.3">
      <c r="B935" s="3"/>
      <c r="C935" s="2"/>
      <c r="D935" s="2"/>
      <c r="E935" s="3"/>
      <c r="O935" s="176"/>
      <c r="P935" s="176"/>
      <c r="Q935" s="176"/>
      <c r="R935" s="176"/>
      <c r="S935" s="176"/>
      <c r="T935" s="176"/>
      <c r="U935" s="176"/>
      <c r="V935" s="176"/>
      <c r="W935" s="176"/>
      <c r="X935" s="176"/>
      <c r="Y935" s="176"/>
      <c r="Z935" s="176"/>
      <c r="AA935" s="176"/>
      <c r="AB935" s="176"/>
      <c r="AC935" s="176"/>
      <c r="AD935" s="176"/>
      <c r="AE935" s="176"/>
      <c r="AF935" s="176"/>
      <c r="AG935" s="176"/>
      <c r="AH935" s="176"/>
      <c r="AI935" s="176"/>
      <c r="AJ935" s="176"/>
      <c r="AK935" s="176"/>
      <c r="AL935" s="176"/>
      <c r="AM935" s="176"/>
      <c r="AN935" s="176"/>
      <c r="AO935" s="176"/>
      <c r="AP935" s="176"/>
      <c r="AQ935" s="176"/>
      <c r="AR935" s="176"/>
      <c r="AS935" s="176"/>
      <c r="AT935" s="176"/>
      <c r="AU935" s="176"/>
      <c r="AV935" s="176"/>
      <c r="AW935" s="176"/>
      <c r="AX935" s="176"/>
      <c r="AY935" s="176"/>
      <c r="AZ935" s="176"/>
      <c r="BA935" s="176"/>
      <c r="BB935" s="176"/>
      <c r="BC935" s="176"/>
      <c r="BD935" s="176"/>
      <c r="BE935" s="176"/>
      <c r="BF935" s="176"/>
      <c r="BG935" s="176"/>
      <c r="BH935" s="176"/>
      <c r="BI935" s="176"/>
      <c r="BJ935" s="176"/>
    </row>
    <row r="936" spans="2:62" x14ac:dyDescent="0.3">
      <c r="B936" s="3"/>
      <c r="C936" s="2"/>
      <c r="D936" s="2"/>
      <c r="E936" s="3"/>
      <c r="O936" s="176"/>
      <c r="P936" s="176"/>
      <c r="Q936" s="176"/>
      <c r="R936" s="176"/>
      <c r="S936" s="176"/>
      <c r="T936" s="176"/>
      <c r="U936" s="176"/>
      <c r="V936" s="176"/>
      <c r="W936" s="176"/>
      <c r="X936" s="176"/>
      <c r="Y936" s="176"/>
      <c r="Z936" s="176"/>
      <c r="AA936" s="176"/>
      <c r="AB936" s="176"/>
      <c r="AC936" s="176"/>
      <c r="AD936" s="176"/>
      <c r="AE936" s="176"/>
      <c r="AF936" s="176"/>
      <c r="AG936" s="176"/>
      <c r="AH936" s="176"/>
      <c r="AI936" s="176"/>
      <c r="AJ936" s="176"/>
      <c r="AK936" s="176"/>
      <c r="AL936" s="176"/>
      <c r="AM936" s="176"/>
      <c r="AN936" s="176"/>
      <c r="AO936" s="176"/>
      <c r="AP936" s="176"/>
      <c r="AQ936" s="176"/>
      <c r="AR936" s="176"/>
      <c r="AS936" s="176"/>
      <c r="AT936" s="176"/>
      <c r="AU936" s="176"/>
      <c r="AV936" s="176"/>
      <c r="AW936" s="176"/>
      <c r="AX936" s="176"/>
      <c r="AY936" s="176"/>
      <c r="AZ936" s="176"/>
      <c r="BA936" s="176"/>
      <c r="BB936" s="176"/>
      <c r="BC936" s="176"/>
      <c r="BD936" s="176"/>
      <c r="BE936" s="176"/>
      <c r="BF936" s="176"/>
      <c r="BG936" s="176"/>
      <c r="BH936" s="176"/>
      <c r="BI936" s="176"/>
      <c r="BJ936" s="176"/>
    </row>
    <row r="937" spans="2:62" x14ac:dyDescent="0.3">
      <c r="B937" s="3"/>
      <c r="C937" s="2"/>
      <c r="D937" s="2"/>
      <c r="E937" s="3"/>
      <c r="O937" s="176"/>
      <c r="P937" s="176"/>
      <c r="Q937" s="176"/>
      <c r="R937" s="176"/>
      <c r="S937" s="176"/>
      <c r="T937" s="176"/>
      <c r="U937" s="176"/>
      <c r="V937" s="176"/>
      <c r="W937" s="176"/>
      <c r="X937" s="176"/>
      <c r="Y937" s="176"/>
      <c r="Z937" s="176"/>
      <c r="AA937" s="176"/>
      <c r="AB937" s="176"/>
      <c r="AC937" s="176"/>
      <c r="AD937" s="176"/>
      <c r="AE937" s="176"/>
      <c r="AF937" s="176"/>
      <c r="AG937" s="176"/>
      <c r="AH937" s="176"/>
      <c r="AI937" s="176"/>
      <c r="AJ937" s="176"/>
      <c r="AK937" s="176"/>
      <c r="AL937" s="176"/>
      <c r="AM937" s="176"/>
      <c r="AN937" s="176"/>
      <c r="AO937" s="176"/>
      <c r="AP937" s="176"/>
      <c r="AQ937" s="176"/>
      <c r="AR937" s="176"/>
      <c r="AS937" s="176"/>
      <c r="AT937" s="176"/>
      <c r="AU937" s="176"/>
      <c r="AV937" s="176"/>
      <c r="AW937" s="176"/>
      <c r="AX937" s="176"/>
      <c r="AY937" s="176"/>
      <c r="AZ937" s="176"/>
      <c r="BA937" s="176"/>
      <c r="BB937" s="176"/>
      <c r="BC937" s="176"/>
      <c r="BD937" s="176"/>
      <c r="BE937" s="176"/>
      <c r="BF937" s="176"/>
      <c r="BG937" s="176"/>
      <c r="BH937" s="176"/>
      <c r="BI937" s="176"/>
      <c r="BJ937" s="176"/>
    </row>
    <row r="938" spans="2:62" x14ac:dyDescent="0.3">
      <c r="B938" s="3"/>
      <c r="C938" s="2"/>
      <c r="D938" s="2"/>
      <c r="E938" s="3"/>
      <c r="O938" s="176"/>
      <c r="P938" s="176"/>
      <c r="Q938" s="176"/>
      <c r="R938" s="176"/>
      <c r="S938" s="176"/>
      <c r="T938" s="176"/>
      <c r="U938" s="176"/>
      <c r="V938" s="176"/>
      <c r="W938" s="176"/>
      <c r="X938" s="176"/>
      <c r="Y938" s="176"/>
      <c r="Z938" s="176"/>
      <c r="AA938" s="176"/>
      <c r="AB938" s="176"/>
      <c r="AC938" s="176"/>
      <c r="AD938" s="176"/>
      <c r="AE938" s="176"/>
      <c r="AF938" s="176"/>
      <c r="AG938" s="176"/>
      <c r="AH938" s="176"/>
      <c r="AI938" s="176"/>
      <c r="AJ938" s="176"/>
      <c r="AK938" s="176"/>
      <c r="AL938" s="176"/>
      <c r="AM938" s="176"/>
      <c r="AN938" s="176"/>
      <c r="AO938" s="176"/>
      <c r="AP938" s="176"/>
      <c r="AQ938" s="176"/>
      <c r="AR938" s="176"/>
      <c r="AS938" s="176"/>
      <c r="AT938" s="176"/>
      <c r="AU938" s="176"/>
      <c r="AV938" s="176"/>
      <c r="AW938" s="176"/>
      <c r="AX938" s="176"/>
      <c r="AY938" s="176"/>
      <c r="AZ938" s="176"/>
      <c r="BA938" s="176"/>
      <c r="BB938" s="176"/>
      <c r="BC938" s="176"/>
      <c r="BD938" s="176"/>
      <c r="BE938" s="176"/>
      <c r="BF938" s="176"/>
      <c r="BG938" s="176"/>
      <c r="BH938" s="176"/>
      <c r="BI938" s="176"/>
      <c r="BJ938" s="176"/>
    </row>
    <row r="939" spans="2:62" x14ac:dyDescent="0.3">
      <c r="B939" s="3"/>
      <c r="C939" s="2"/>
      <c r="D939" s="2"/>
      <c r="E939" s="3"/>
      <c r="O939" s="176"/>
      <c r="P939" s="176"/>
      <c r="Q939" s="176"/>
      <c r="R939" s="176"/>
      <c r="S939" s="176"/>
      <c r="T939" s="176"/>
      <c r="U939" s="176"/>
      <c r="V939" s="176"/>
      <c r="W939" s="176"/>
      <c r="X939" s="176"/>
      <c r="Y939" s="176"/>
      <c r="Z939" s="176"/>
      <c r="AA939" s="176"/>
      <c r="AB939" s="176"/>
      <c r="AC939" s="176"/>
      <c r="AD939" s="176"/>
      <c r="AE939" s="176"/>
      <c r="AF939" s="176"/>
      <c r="AG939" s="176"/>
      <c r="AH939" s="176"/>
      <c r="AI939" s="176"/>
      <c r="AJ939" s="176"/>
      <c r="AK939" s="176"/>
      <c r="AL939" s="176"/>
      <c r="AM939" s="176"/>
      <c r="AN939" s="176"/>
      <c r="AO939" s="176"/>
      <c r="AP939" s="176"/>
      <c r="AQ939" s="176"/>
      <c r="AR939" s="176"/>
      <c r="AS939" s="176"/>
      <c r="AT939" s="176"/>
      <c r="AU939" s="176"/>
      <c r="AV939" s="176"/>
      <c r="AW939" s="176"/>
      <c r="AX939" s="176"/>
      <c r="AY939" s="176"/>
      <c r="AZ939" s="176"/>
      <c r="BA939" s="176"/>
      <c r="BB939" s="176"/>
      <c r="BC939" s="176"/>
      <c r="BD939" s="176"/>
      <c r="BE939" s="176"/>
      <c r="BF939" s="176"/>
      <c r="BG939" s="176"/>
      <c r="BH939" s="176"/>
      <c r="BI939" s="176"/>
      <c r="BJ939" s="176"/>
    </row>
    <row r="940" spans="2:62" x14ac:dyDescent="0.3">
      <c r="B940" s="3"/>
      <c r="C940" s="2"/>
      <c r="D940" s="2"/>
      <c r="E940" s="3"/>
      <c r="O940" s="176"/>
      <c r="P940" s="176"/>
      <c r="Q940" s="176"/>
      <c r="R940" s="176"/>
      <c r="S940" s="176"/>
      <c r="T940" s="176"/>
      <c r="U940" s="176"/>
      <c r="V940" s="176"/>
      <c r="W940" s="176"/>
      <c r="X940" s="176"/>
      <c r="Y940" s="176"/>
      <c r="Z940" s="176"/>
      <c r="AA940" s="176"/>
      <c r="AB940" s="176"/>
      <c r="AC940" s="176"/>
      <c r="AD940" s="176"/>
      <c r="AE940" s="176"/>
      <c r="AF940" s="176"/>
      <c r="AG940" s="176"/>
      <c r="AH940" s="176"/>
      <c r="AI940" s="176"/>
      <c r="AJ940" s="176"/>
      <c r="AK940" s="176"/>
      <c r="AL940" s="176"/>
      <c r="AM940" s="176"/>
      <c r="AN940" s="176"/>
      <c r="AO940" s="176"/>
      <c r="AP940" s="176"/>
      <c r="AQ940" s="176"/>
      <c r="AR940" s="176"/>
      <c r="AS940" s="176"/>
      <c r="AT940" s="176"/>
      <c r="AU940" s="176"/>
      <c r="AV940" s="176"/>
      <c r="AW940" s="176"/>
      <c r="AX940" s="176"/>
      <c r="AY940" s="176"/>
      <c r="AZ940" s="176"/>
      <c r="BA940" s="176"/>
      <c r="BB940" s="176"/>
      <c r="BC940" s="176"/>
      <c r="BD940" s="176"/>
      <c r="BE940" s="176"/>
      <c r="BF940" s="176"/>
      <c r="BG940" s="176"/>
      <c r="BH940" s="176"/>
      <c r="BI940" s="176"/>
      <c r="BJ940" s="176"/>
    </row>
    <row r="941" spans="2:62" x14ac:dyDescent="0.3">
      <c r="B941" s="3"/>
      <c r="C941" s="2"/>
      <c r="D941" s="2"/>
      <c r="E941" s="3"/>
      <c r="O941" s="176"/>
      <c r="P941" s="176"/>
      <c r="Q941" s="176"/>
      <c r="R941" s="176"/>
      <c r="S941" s="176"/>
      <c r="T941" s="176"/>
      <c r="U941" s="176"/>
      <c r="V941" s="176"/>
      <c r="W941" s="176"/>
      <c r="X941" s="176"/>
      <c r="Y941" s="176"/>
      <c r="Z941" s="176"/>
      <c r="AA941" s="176"/>
      <c r="AB941" s="176"/>
      <c r="AC941" s="176"/>
      <c r="AD941" s="176"/>
      <c r="AE941" s="176"/>
      <c r="AF941" s="176"/>
      <c r="AG941" s="176"/>
      <c r="AH941" s="176"/>
      <c r="AI941" s="176"/>
      <c r="AJ941" s="176"/>
      <c r="AK941" s="176"/>
      <c r="AL941" s="176"/>
      <c r="AM941" s="176"/>
      <c r="AN941" s="176"/>
      <c r="AO941" s="176"/>
      <c r="AP941" s="176"/>
      <c r="AQ941" s="176"/>
      <c r="AR941" s="176"/>
      <c r="AS941" s="176"/>
      <c r="AT941" s="176"/>
      <c r="AU941" s="176"/>
      <c r="AV941" s="176"/>
      <c r="AW941" s="176"/>
      <c r="AX941" s="176"/>
      <c r="AY941" s="176"/>
      <c r="AZ941" s="176"/>
      <c r="BA941" s="176"/>
      <c r="BB941" s="176"/>
      <c r="BC941" s="176"/>
      <c r="BD941" s="176"/>
      <c r="BE941" s="176"/>
      <c r="BF941" s="176"/>
      <c r="BG941" s="176"/>
      <c r="BH941" s="176"/>
      <c r="BI941" s="176"/>
      <c r="BJ941" s="176"/>
    </row>
    <row r="942" spans="2:62" x14ac:dyDescent="0.3">
      <c r="B942" s="3"/>
      <c r="C942" s="2"/>
      <c r="D942" s="2"/>
      <c r="E942" s="3"/>
      <c r="O942" s="176"/>
      <c r="P942" s="176"/>
      <c r="Q942" s="176"/>
      <c r="R942" s="176"/>
      <c r="S942" s="176"/>
      <c r="T942" s="176"/>
      <c r="U942" s="176"/>
      <c r="V942" s="176"/>
      <c r="W942" s="176"/>
      <c r="X942" s="176"/>
      <c r="Y942" s="176"/>
      <c r="Z942" s="176"/>
      <c r="AA942" s="176"/>
      <c r="AB942" s="176"/>
      <c r="AC942" s="176"/>
      <c r="AD942" s="176"/>
      <c r="AE942" s="176"/>
      <c r="AF942" s="176"/>
      <c r="AG942" s="176"/>
      <c r="AH942" s="176"/>
      <c r="AI942" s="176"/>
      <c r="AJ942" s="176"/>
      <c r="AK942" s="176"/>
      <c r="AL942" s="176"/>
      <c r="AM942" s="176"/>
      <c r="AN942" s="176"/>
      <c r="AO942" s="176"/>
      <c r="AP942" s="176"/>
      <c r="AQ942" s="176"/>
      <c r="AR942" s="176"/>
      <c r="AS942" s="176"/>
      <c r="AT942" s="176"/>
      <c r="AU942" s="176"/>
      <c r="AV942" s="176"/>
      <c r="AW942" s="176"/>
      <c r="AX942" s="176"/>
      <c r="AY942" s="176"/>
      <c r="AZ942" s="176"/>
      <c r="BA942" s="176"/>
      <c r="BB942" s="176"/>
      <c r="BC942" s="176"/>
      <c r="BD942" s="176"/>
      <c r="BE942" s="176"/>
      <c r="BF942" s="176"/>
      <c r="BG942" s="176"/>
      <c r="BH942" s="176"/>
      <c r="BI942" s="176"/>
      <c r="BJ942" s="176"/>
    </row>
    <row r="943" spans="2:62" x14ac:dyDescent="0.3">
      <c r="B943" s="3"/>
      <c r="C943" s="2"/>
      <c r="D943" s="2"/>
      <c r="E943" s="3"/>
      <c r="O943" s="176"/>
      <c r="P943" s="176"/>
      <c r="Q943" s="176"/>
      <c r="R943" s="176"/>
      <c r="S943" s="176"/>
      <c r="T943" s="176"/>
      <c r="U943" s="176"/>
      <c r="V943" s="176"/>
      <c r="W943" s="176"/>
      <c r="X943" s="176"/>
      <c r="Y943" s="176"/>
      <c r="Z943" s="176"/>
      <c r="AA943" s="176"/>
      <c r="AB943" s="176"/>
      <c r="AC943" s="176"/>
      <c r="AD943" s="176"/>
      <c r="AE943" s="176"/>
      <c r="AF943" s="176"/>
      <c r="AG943" s="176"/>
      <c r="AH943" s="176"/>
      <c r="AI943" s="176"/>
      <c r="AJ943" s="176"/>
      <c r="AK943" s="176"/>
      <c r="AL943" s="176"/>
      <c r="AM943" s="176"/>
      <c r="AN943" s="176"/>
      <c r="AO943" s="176"/>
      <c r="AP943" s="176"/>
      <c r="AQ943" s="176"/>
      <c r="AR943" s="176"/>
      <c r="AS943" s="176"/>
      <c r="AT943" s="176"/>
      <c r="AU943" s="176"/>
      <c r="AV943" s="176"/>
      <c r="AW943" s="176"/>
      <c r="AX943" s="176"/>
      <c r="AY943" s="176"/>
      <c r="AZ943" s="176"/>
      <c r="BA943" s="176"/>
      <c r="BB943" s="176"/>
      <c r="BC943" s="176"/>
      <c r="BD943" s="176"/>
      <c r="BE943" s="176"/>
      <c r="BF943" s="176"/>
      <c r="BG943" s="176"/>
      <c r="BH943" s="176"/>
      <c r="BI943" s="176"/>
      <c r="BJ943" s="176"/>
    </row>
    <row r="944" spans="2:62" x14ac:dyDescent="0.3">
      <c r="B944" s="3"/>
      <c r="C944" s="2"/>
      <c r="D944" s="2"/>
      <c r="E944" s="3"/>
      <c r="O944" s="176"/>
      <c r="P944" s="176"/>
      <c r="Q944" s="176"/>
      <c r="R944" s="176"/>
      <c r="S944" s="176"/>
      <c r="T944" s="176"/>
      <c r="U944" s="176"/>
      <c r="V944" s="176"/>
      <c r="W944" s="176"/>
      <c r="X944" s="176"/>
      <c r="Y944" s="176"/>
      <c r="Z944" s="176"/>
      <c r="AA944" s="176"/>
      <c r="AB944" s="176"/>
      <c r="AC944" s="176"/>
      <c r="AD944" s="176"/>
      <c r="AE944" s="176"/>
      <c r="AF944" s="176"/>
      <c r="AG944" s="176"/>
      <c r="AH944" s="176"/>
      <c r="AI944" s="176"/>
      <c r="AJ944" s="176"/>
      <c r="AK944" s="176"/>
      <c r="AL944" s="176"/>
      <c r="AM944" s="176"/>
      <c r="AN944" s="176"/>
      <c r="AO944" s="176"/>
      <c r="AP944" s="176"/>
      <c r="AQ944" s="176"/>
      <c r="AR944" s="176"/>
      <c r="AS944" s="176"/>
      <c r="AT944" s="176"/>
      <c r="AU944" s="176"/>
      <c r="AV944" s="176"/>
      <c r="AW944" s="176"/>
      <c r="AX944" s="176"/>
      <c r="AY944" s="176"/>
      <c r="AZ944" s="176"/>
      <c r="BA944" s="176"/>
      <c r="BB944" s="176"/>
      <c r="BC944" s="176"/>
      <c r="BD944" s="176"/>
      <c r="BE944" s="176"/>
      <c r="BF944" s="176"/>
      <c r="BG944" s="176"/>
      <c r="BH944" s="176"/>
      <c r="BI944" s="176"/>
      <c r="BJ944" s="176"/>
    </row>
    <row r="945" spans="2:62" x14ac:dyDescent="0.3">
      <c r="B945" s="3"/>
      <c r="C945" s="2"/>
      <c r="D945" s="2"/>
      <c r="E945" s="3"/>
      <c r="O945" s="176"/>
      <c r="P945" s="176"/>
      <c r="Q945" s="176"/>
      <c r="R945" s="176"/>
      <c r="S945" s="176"/>
      <c r="T945" s="176"/>
      <c r="U945" s="176"/>
      <c r="V945" s="176"/>
      <c r="W945" s="176"/>
      <c r="X945" s="176"/>
      <c r="Y945" s="176"/>
      <c r="Z945" s="176"/>
      <c r="AA945" s="176"/>
      <c r="AB945" s="176"/>
      <c r="AC945" s="176"/>
      <c r="AD945" s="176"/>
      <c r="AE945" s="176"/>
      <c r="AF945" s="176"/>
      <c r="AG945" s="176"/>
      <c r="AH945" s="176"/>
      <c r="AI945" s="176"/>
      <c r="AJ945" s="176"/>
      <c r="AK945" s="176"/>
      <c r="AL945" s="176"/>
      <c r="AM945" s="176"/>
      <c r="AN945" s="176"/>
      <c r="AO945" s="176"/>
      <c r="AP945" s="176"/>
      <c r="AQ945" s="176"/>
      <c r="AR945" s="176"/>
      <c r="AS945" s="176"/>
      <c r="AT945" s="176"/>
      <c r="AU945" s="176"/>
      <c r="AV945" s="176"/>
      <c r="AW945" s="176"/>
      <c r="AX945" s="176"/>
      <c r="AY945" s="176"/>
      <c r="AZ945" s="176"/>
      <c r="BA945" s="176"/>
      <c r="BB945" s="176"/>
      <c r="BC945" s="176"/>
      <c r="BD945" s="176"/>
      <c r="BE945" s="176"/>
      <c r="BF945" s="176"/>
      <c r="BG945" s="176"/>
      <c r="BH945" s="176"/>
      <c r="BI945" s="176"/>
      <c r="BJ945" s="176"/>
    </row>
    <row r="946" spans="2:62" x14ac:dyDescent="0.3">
      <c r="B946" s="3"/>
      <c r="C946" s="2"/>
      <c r="D946" s="2"/>
      <c r="E946" s="3"/>
      <c r="O946" s="176"/>
      <c r="P946" s="176"/>
      <c r="Q946" s="176"/>
      <c r="R946" s="176"/>
      <c r="S946" s="176"/>
      <c r="T946" s="176"/>
      <c r="U946" s="176"/>
      <c r="V946" s="176"/>
      <c r="W946" s="176"/>
      <c r="X946" s="176"/>
      <c r="Y946" s="176"/>
      <c r="Z946" s="176"/>
      <c r="AA946" s="176"/>
      <c r="AB946" s="176"/>
      <c r="AC946" s="176"/>
      <c r="AD946" s="176"/>
      <c r="AE946" s="176"/>
      <c r="AF946" s="176"/>
      <c r="AG946" s="176"/>
      <c r="AH946" s="176"/>
      <c r="AI946" s="176"/>
      <c r="AJ946" s="176"/>
      <c r="AK946" s="176"/>
      <c r="AL946" s="176"/>
      <c r="AM946" s="176"/>
      <c r="AN946" s="176"/>
      <c r="AO946" s="176"/>
      <c r="AP946" s="176"/>
      <c r="AQ946" s="176"/>
      <c r="AR946" s="176"/>
      <c r="AS946" s="176"/>
      <c r="AT946" s="176"/>
      <c r="AU946" s="176"/>
      <c r="AV946" s="176"/>
      <c r="AW946" s="176"/>
      <c r="AX946" s="176"/>
      <c r="AY946" s="176"/>
      <c r="AZ946" s="176"/>
      <c r="BA946" s="176"/>
      <c r="BB946" s="176"/>
      <c r="BC946" s="176"/>
      <c r="BD946" s="176"/>
      <c r="BE946" s="176"/>
      <c r="BF946" s="176"/>
      <c r="BG946" s="176"/>
      <c r="BH946" s="176"/>
      <c r="BI946" s="176"/>
      <c r="BJ946" s="176"/>
    </row>
    <row r="947" spans="2:62" x14ac:dyDescent="0.3">
      <c r="B947" s="3"/>
      <c r="C947" s="2"/>
      <c r="D947" s="2"/>
      <c r="E947" s="3"/>
      <c r="O947" s="176"/>
      <c r="P947" s="176"/>
      <c r="Q947" s="176"/>
      <c r="R947" s="176"/>
      <c r="S947" s="176"/>
      <c r="T947" s="176"/>
      <c r="U947" s="176"/>
      <c r="V947" s="176"/>
      <c r="W947" s="176"/>
      <c r="X947" s="176"/>
      <c r="Y947" s="176"/>
      <c r="Z947" s="176"/>
      <c r="AA947" s="176"/>
      <c r="AB947" s="176"/>
      <c r="AC947" s="176"/>
      <c r="AD947" s="176"/>
      <c r="AE947" s="176"/>
      <c r="AF947" s="176"/>
      <c r="AG947" s="176"/>
      <c r="AH947" s="176"/>
      <c r="AI947" s="176"/>
      <c r="AJ947" s="176"/>
      <c r="AK947" s="176"/>
      <c r="AL947" s="176"/>
      <c r="AM947" s="176"/>
      <c r="AN947" s="176"/>
      <c r="AO947" s="176"/>
      <c r="AP947" s="176"/>
      <c r="AQ947" s="176"/>
      <c r="AR947" s="176"/>
      <c r="AS947" s="176"/>
      <c r="AT947" s="176"/>
      <c r="AU947" s="176"/>
      <c r="AV947" s="176"/>
      <c r="AW947" s="176"/>
      <c r="AX947" s="176"/>
      <c r="AY947" s="176"/>
      <c r="AZ947" s="176"/>
      <c r="BA947" s="176"/>
      <c r="BB947" s="176"/>
      <c r="BC947" s="176"/>
      <c r="BD947" s="176"/>
      <c r="BE947" s="176"/>
      <c r="BF947" s="176"/>
      <c r="BG947" s="176"/>
      <c r="BH947" s="176"/>
      <c r="BI947" s="176"/>
      <c r="BJ947" s="176"/>
    </row>
    <row r="948" spans="2:62" x14ac:dyDescent="0.3">
      <c r="B948" s="3"/>
      <c r="C948" s="2"/>
      <c r="D948" s="2"/>
      <c r="E948" s="3"/>
      <c r="O948" s="176"/>
      <c r="P948" s="176"/>
      <c r="Q948" s="176"/>
      <c r="R948" s="176"/>
      <c r="S948" s="176"/>
      <c r="T948" s="176"/>
      <c r="U948" s="176"/>
      <c r="V948" s="176"/>
      <c r="W948" s="176"/>
      <c r="X948" s="176"/>
      <c r="Y948" s="176"/>
      <c r="Z948" s="176"/>
      <c r="AA948" s="176"/>
      <c r="AB948" s="176"/>
      <c r="AC948" s="176"/>
      <c r="AD948" s="176"/>
      <c r="AE948" s="176"/>
      <c r="AF948" s="176"/>
      <c r="AG948" s="176"/>
      <c r="AH948" s="176"/>
      <c r="AI948" s="176"/>
      <c r="AJ948" s="176"/>
      <c r="AK948" s="176"/>
      <c r="AL948" s="176"/>
      <c r="AM948" s="176"/>
      <c r="AN948" s="176"/>
      <c r="AO948" s="176"/>
      <c r="AP948" s="176"/>
      <c r="AQ948" s="176"/>
      <c r="AR948" s="176"/>
      <c r="AS948" s="176"/>
      <c r="AT948" s="176"/>
      <c r="AU948" s="176"/>
      <c r="AV948" s="176"/>
      <c r="AW948" s="176"/>
      <c r="AX948" s="176"/>
      <c r="AY948" s="176"/>
      <c r="AZ948" s="176"/>
      <c r="BA948" s="176"/>
      <c r="BB948" s="176"/>
      <c r="BC948" s="176"/>
      <c r="BD948" s="176"/>
      <c r="BE948" s="176"/>
      <c r="BF948" s="176"/>
      <c r="BG948" s="176"/>
      <c r="BH948" s="176"/>
      <c r="BI948" s="176"/>
      <c r="BJ948" s="176"/>
    </row>
    <row r="949" spans="2:62" x14ac:dyDescent="0.3">
      <c r="B949" s="3"/>
      <c r="C949" s="2"/>
      <c r="D949" s="2"/>
      <c r="E949" s="3"/>
      <c r="O949" s="176"/>
      <c r="P949" s="176"/>
      <c r="Q949" s="176"/>
      <c r="R949" s="176"/>
      <c r="S949" s="176"/>
      <c r="T949" s="176"/>
      <c r="U949" s="176"/>
      <c r="V949" s="176"/>
      <c r="W949" s="176"/>
      <c r="X949" s="176"/>
      <c r="Y949" s="176"/>
      <c r="Z949" s="176"/>
      <c r="AA949" s="176"/>
      <c r="AB949" s="176"/>
      <c r="AC949" s="176"/>
      <c r="AD949" s="176"/>
      <c r="AE949" s="176"/>
      <c r="AF949" s="176"/>
      <c r="AG949" s="176"/>
      <c r="AH949" s="176"/>
      <c r="AI949" s="176"/>
      <c r="AJ949" s="176"/>
      <c r="AK949" s="176"/>
      <c r="AL949" s="176"/>
      <c r="AM949" s="176"/>
      <c r="AN949" s="176"/>
      <c r="AO949" s="176"/>
      <c r="AP949" s="176"/>
      <c r="AQ949" s="176"/>
      <c r="AR949" s="176"/>
      <c r="AS949" s="176"/>
      <c r="AT949" s="176"/>
      <c r="AU949" s="176"/>
      <c r="AV949" s="176"/>
      <c r="AW949" s="176"/>
      <c r="AX949" s="176"/>
      <c r="AY949" s="176"/>
      <c r="AZ949" s="176"/>
      <c r="BA949" s="176"/>
      <c r="BB949" s="176"/>
      <c r="BC949" s="176"/>
      <c r="BD949" s="176"/>
      <c r="BE949" s="176"/>
      <c r="BF949" s="176"/>
      <c r="BG949" s="176"/>
      <c r="BH949" s="176"/>
      <c r="BI949" s="176"/>
      <c r="BJ949" s="176"/>
    </row>
    <row r="950" spans="2:62" x14ac:dyDescent="0.3">
      <c r="B950" s="3"/>
      <c r="C950" s="2"/>
      <c r="D950" s="2"/>
      <c r="E950" s="3"/>
      <c r="O950" s="176"/>
      <c r="P950" s="176"/>
      <c r="Q950" s="176"/>
      <c r="R950" s="176"/>
      <c r="S950" s="176"/>
      <c r="T950" s="176"/>
      <c r="U950" s="176"/>
      <c r="V950" s="176"/>
      <c r="W950" s="176"/>
      <c r="X950" s="176"/>
      <c r="Y950" s="176"/>
      <c r="Z950" s="176"/>
      <c r="AA950" s="176"/>
      <c r="AB950" s="176"/>
      <c r="AC950" s="176"/>
      <c r="AD950" s="176"/>
      <c r="AE950" s="176"/>
      <c r="AF950" s="176"/>
      <c r="AG950" s="176"/>
      <c r="AH950" s="176"/>
      <c r="AI950" s="176"/>
      <c r="AJ950" s="176"/>
      <c r="AK950" s="176"/>
      <c r="AL950" s="176"/>
      <c r="AM950" s="176"/>
      <c r="AN950" s="176"/>
      <c r="AO950" s="176"/>
      <c r="AP950" s="176"/>
      <c r="AQ950" s="176"/>
      <c r="AR950" s="176"/>
      <c r="AS950" s="176"/>
      <c r="AT950" s="176"/>
      <c r="AU950" s="176"/>
      <c r="AV950" s="176"/>
      <c r="AW950" s="176"/>
      <c r="AX950" s="176"/>
      <c r="AY950" s="176"/>
      <c r="AZ950" s="176"/>
      <c r="BA950" s="176"/>
      <c r="BB950" s="176"/>
      <c r="BC950" s="176"/>
      <c r="BD950" s="176"/>
      <c r="BE950" s="176"/>
      <c r="BF950" s="176"/>
      <c r="BG950" s="176"/>
      <c r="BH950" s="176"/>
      <c r="BI950" s="176"/>
      <c r="BJ950" s="176"/>
    </row>
    <row r="951" spans="2:62" x14ac:dyDescent="0.3">
      <c r="B951" s="3"/>
      <c r="C951" s="2"/>
      <c r="D951" s="2"/>
      <c r="E951" s="3"/>
      <c r="O951" s="176"/>
      <c r="P951" s="176"/>
      <c r="Q951" s="176"/>
      <c r="R951" s="176"/>
      <c r="S951" s="176"/>
      <c r="T951" s="176"/>
      <c r="U951" s="176"/>
      <c r="V951" s="176"/>
      <c r="W951" s="176"/>
      <c r="X951" s="176"/>
      <c r="Y951" s="176"/>
      <c r="Z951" s="176"/>
      <c r="AA951" s="176"/>
      <c r="AB951" s="176"/>
      <c r="AC951" s="176"/>
      <c r="AD951" s="176"/>
      <c r="AE951" s="176"/>
      <c r="AF951" s="176"/>
      <c r="AG951" s="176"/>
      <c r="AH951" s="176"/>
      <c r="AI951" s="176"/>
      <c r="AJ951" s="176"/>
      <c r="AK951" s="176"/>
      <c r="AL951" s="176"/>
      <c r="AM951" s="176"/>
      <c r="AN951" s="176"/>
      <c r="AO951" s="176"/>
      <c r="AP951" s="176"/>
      <c r="AQ951" s="176"/>
      <c r="AR951" s="176"/>
      <c r="AS951" s="176"/>
      <c r="AT951" s="176"/>
      <c r="AU951" s="176"/>
      <c r="AV951" s="176"/>
      <c r="AW951" s="176"/>
      <c r="AX951" s="176"/>
      <c r="AY951" s="176"/>
      <c r="AZ951" s="176"/>
      <c r="BA951" s="176"/>
      <c r="BB951" s="176"/>
      <c r="BC951" s="176"/>
      <c r="BD951" s="176"/>
      <c r="BE951" s="176"/>
      <c r="BF951" s="176"/>
      <c r="BG951" s="176"/>
      <c r="BH951" s="176"/>
      <c r="BI951" s="176"/>
      <c r="BJ951" s="176"/>
    </row>
    <row r="952" spans="2:62" x14ac:dyDescent="0.3">
      <c r="B952" s="3"/>
      <c r="C952" s="2"/>
      <c r="D952" s="2"/>
      <c r="E952" s="3"/>
      <c r="O952" s="176"/>
      <c r="P952" s="176"/>
      <c r="Q952" s="176"/>
      <c r="R952" s="176"/>
      <c r="S952" s="176"/>
      <c r="T952" s="176"/>
      <c r="U952" s="176"/>
      <c r="V952" s="176"/>
      <c r="W952" s="176"/>
      <c r="X952" s="176"/>
      <c r="Y952" s="176"/>
      <c r="Z952" s="176"/>
      <c r="AA952" s="176"/>
      <c r="AB952" s="176"/>
      <c r="AC952" s="176"/>
      <c r="AD952" s="176"/>
      <c r="AE952" s="176"/>
      <c r="AF952" s="176"/>
      <c r="AG952" s="176"/>
      <c r="AH952" s="176"/>
      <c r="AI952" s="176"/>
      <c r="AJ952" s="176"/>
      <c r="AK952" s="176"/>
      <c r="AL952" s="176"/>
      <c r="AM952" s="176"/>
      <c r="AN952" s="176"/>
      <c r="AO952" s="176"/>
      <c r="AP952" s="176"/>
      <c r="AQ952" s="176"/>
      <c r="AR952" s="176"/>
      <c r="AS952" s="176"/>
      <c r="AT952" s="176"/>
      <c r="AU952" s="176"/>
      <c r="AV952" s="176"/>
      <c r="AW952" s="176"/>
      <c r="AX952" s="176"/>
      <c r="AY952" s="176"/>
      <c r="AZ952" s="176"/>
      <c r="BA952" s="176"/>
      <c r="BB952" s="176"/>
      <c r="BC952" s="176"/>
      <c r="BD952" s="176"/>
      <c r="BE952" s="176"/>
      <c r="BF952" s="176"/>
      <c r="BG952" s="176"/>
      <c r="BH952" s="176"/>
      <c r="BI952" s="176"/>
      <c r="BJ952" s="176"/>
    </row>
    <row r="953" spans="2:62" x14ac:dyDescent="0.3">
      <c r="B953" s="3"/>
      <c r="C953" s="2"/>
      <c r="D953" s="2"/>
      <c r="E953" s="3"/>
      <c r="O953" s="176"/>
      <c r="P953" s="176"/>
      <c r="Q953" s="176"/>
      <c r="R953" s="176"/>
      <c r="S953" s="176"/>
      <c r="T953" s="176"/>
      <c r="U953" s="176"/>
      <c r="V953" s="176"/>
      <c r="W953" s="176"/>
      <c r="X953" s="176"/>
      <c r="Y953" s="176"/>
      <c r="Z953" s="176"/>
      <c r="AA953" s="176"/>
      <c r="AB953" s="176"/>
      <c r="AC953" s="176"/>
      <c r="AD953" s="176"/>
      <c r="AE953" s="176"/>
      <c r="AF953" s="176"/>
      <c r="AG953" s="176"/>
      <c r="AH953" s="176"/>
      <c r="AI953" s="176"/>
      <c r="AJ953" s="176"/>
      <c r="AK953" s="176"/>
      <c r="AL953" s="176"/>
      <c r="AM953" s="176"/>
      <c r="AN953" s="176"/>
      <c r="AO953" s="176"/>
      <c r="AP953" s="176"/>
      <c r="AQ953" s="176"/>
      <c r="AR953" s="176"/>
      <c r="AS953" s="176"/>
      <c r="AT953" s="176"/>
      <c r="AU953" s="176"/>
      <c r="AV953" s="176"/>
      <c r="AW953" s="176"/>
      <c r="AX953" s="176"/>
      <c r="AY953" s="176"/>
      <c r="AZ953" s="176"/>
      <c r="BA953" s="176"/>
      <c r="BB953" s="176"/>
      <c r="BC953" s="176"/>
      <c r="BD953" s="176"/>
      <c r="BE953" s="176"/>
      <c r="BF953" s="176"/>
      <c r="BG953" s="176"/>
      <c r="BH953" s="176"/>
      <c r="BI953" s="176"/>
      <c r="BJ953" s="176"/>
    </row>
    <row r="954" spans="2:62" x14ac:dyDescent="0.3">
      <c r="B954" s="3"/>
      <c r="C954" s="2"/>
      <c r="D954" s="2"/>
      <c r="E954" s="3"/>
      <c r="O954" s="176"/>
      <c r="P954" s="176"/>
      <c r="Q954" s="176"/>
      <c r="R954" s="176"/>
      <c r="S954" s="176"/>
      <c r="T954" s="176"/>
      <c r="U954" s="176"/>
      <c r="V954" s="176"/>
      <c r="W954" s="176"/>
      <c r="X954" s="176"/>
      <c r="Y954" s="176"/>
      <c r="Z954" s="176"/>
      <c r="AA954" s="176"/>
      <c r="AB954" s="176"/>
      <c r="AC954" s="176"/>
      <c r="AD954" s="176"/>
      <c r="AE954" s="176"/>
      <c r="AF954" s="176"/>
      <c r="AG954" s="176"/>
      <c r="AH954" s="176"/>
      <c r="AI954" s="176"/>
      <c r="AJ954" s="176"/>
      <c r="AK954" s="176"/>
      <c r="AL954" s="176"/>
      <c r="AM954" s="176"/>
      <c r="AN954" s="176"/>
      <c r="AO954" s="176"/>
      <c r="AP954" s="176"/>
      <c r="AQ954" s="176"/>
      <c r="AR954" s="176"/>
      <c r="AS954" s="176"/>
      <c r="AT954" s="176"/>
      <c r="AU954" s="176"/>
      <c r="AV954" s="176"/>
      <c r="AW954" s="176"/>
      <c r="AX954" s="176"/>
      <c r="AY954" s="176"/>
      <c r="AZ954" s="176"/>
      <c r="BA954" s="176"/>
      <c r="BB954" s="176"/>
      <c r="BC954" s="176"/>
      <c r="BD954" s="176"/>
      <c r="BE954" s="176"/>
      <c r="BF954" s="176"/>
      <c r="BG954" s="176"/>
      <c r="BH954" s="176"/>
      <c r="BI954" s="176"/>
      <c r="BJ954" s="176"/>
    </row>
    <row r="955" spans="2:62" x14ac:dyDescent="0.3">
      <c r="B955" s="3"/>
      <c r="C955" s="2"/>
      <c r="D955" s="2"/>
      <c r="E955" s="3"/>
      <c r="O955" s="176"/>
      <c r="P955" s="176"/>
      <c r="Q955" s="176"/>
      <c r="R955" s="176"/>
      <c r="S955" s="176"/>
      <c r="T955" s="176"/>
      <c r="U955" s="176"/>
      <c r="V955" s="176"/>
      <c r="W955" s="176"/>
      <c r="X955" s="176"/>
      <c r="Y955" s="176"/>
      <c r="Z955" s="176"/>
      <c r="AA955" s="176"/>
      <c r="AB955" s="176"/>
      <c r="AC955" s="176"/>
      <c r="AD955" s="176"/>
      <c r="AE955" s="176"/>
      <c r="AF955" s="176"/>
      <c r="AG955" s="176"/>
      <c r="AH955" s="176"/>
      <c r="AI955" s="176"/>
      <c r="AJ955" s="176"/>
      <c r="AK955" s="176"/>
      <c r="AL955" s="176"/>
      <c r="AM955" s="176"/>
      <c r="AN955" s="176"/>
      <c r="AO955" s="176"/>
      <c r="AP955" s="176"/>
      <c r="AQ955" s="176"/>
      <c r="AR955" s="176"/>
      <c r="AS955" s="176"/>
      <c r="AT955" s="176"/>
      <c r="AU955" s="176"/>
      <c r="AV955" s="176"/>
      <c r="AW955" s="176"/>
      <c r="AX955" s="176"/>
      <c r="AY955" s="176"/>
      <c r="AZ955" s="176"/>
      <c r="BA955" s="176"/>
      <c r="BB955" s="176"/>
      <c r="BC955" s="176"/>
      <c r="BD955" s="176"/>
      <c r="BE955" s="176"/>
      <c r="BF955" s="176"/>
      <c r="BG955" s="176"/>
      <c r="BH955" s="176"/>
      <c r="BI955" s="176"/>
      <c r="BJ955" s="176"/>
    </row>
    <row r="956" spans="2:62" x14ac:dyDescent="0.3">
      <c r="B956" s="3"/>
      <c r="C956" s="2"/>
      <c r="D956" s="2"/>
      <c r="E956" s="3"/>
      <c r="O956" s="176"/>
      <c r="P956" s="176"/>
      <c r="Q956" s="176"/>
      <c r="R956" s="176"/>
      <c r="S956" s="176"/>
      <c r="T956" s="176"/>
      <c r="U956" s="176"/>
      <c r="V956" s="176"/>
      <c r="W956" s="176"/>
      <c r="X956" s="176"/>
      <c r="Y956" s="176"/>
      <c r="Z956" s="176"/>
      <c r="AA956" s="176"/>
      <c r="AB956" s="176"/>
      <c r="AC956" s="176"/>
      <c r="AD956" s="176"/>
      <c r="AE956" s="176"/>
      <c r="AF956" s="176"/>
      <c r="AG956" s="176"/>
      <c r="AH956" s="176"/>
      <c r="AI956" s="176"/>
      <c r="AJ956" s="176"/>
      <c r="AK956" s="176"/>
      <c r="AL956" s="176"/>
      <c r="AM956" s="176"/>
      <c r="AN956" s="176"/>
      <c r="AO956" s="176"/>
      <c r="AP956" s="176"/>
      <c r="AQ956" s="176"/>
      <c r="AR956" s="176"/>
      <c r="AS956" s="176"/>
      <c r="AT956" s="176"/>
      <c r="AU956" s="176"/>
      <c r="AV956" s="176"/>
      <c r="AW956" s="176"/>
      <c r="AX956" s="176"/>
      <c r="AY956" s="176"/>
      <c r="AZ956" s="176"/>
      <c r="BA956" s="176"/>
      <c r="BB956" s="176"/>
      <c r="BC956" s="176"/>
      <c r="BD956" s="176"/>
      <c r="BE956" s="176"/>
      <c r="BF956" s="176"/>
      <c r="BG956" s="176"/>
      <c r="BH956" s="176"/>
      <c r="BI956" s="176"/>
      <c r="BJ956" s="176"/>
    </row>
    <row r="957" spans="2:62" x14ac:dyDescent="0.3">
      <c r="B957" s="3"/>
      <c r="C957" s="2"/>
      <c r="D957" s="2"/>
      <c r="E957" s="3"/>
      <c r="O957" s="176"/>
      <c r="P957" s="176"/>
      <c r="Q957" s="176"/>
      <c r="R957" s="176"/>
      <c r="S957" s="176"/>
      <c r="T957" s="176"/>
      <c r="U957" s="176"/>
      <c r="V957" s="176"/>
      <c r="W957" s="176"/>
      <c r="X957" s="176"/>
      <c r="Y957" s="176"/>
      <c r="Z957" s="176"/>
      <c r="AA957" s="176"/>
      <c r="AB957" s="176"/>
      <c r="AC957" s="176"/>
      <c r="AD957" s="176"/>
      <c r="AE957" s="176"/>
      <c r="AF957" s="176"/>
      <c r="AG957" s="176"/>
      <c r="AH957" s="176"/>
      <c r="AI957" s="176"/>
      <c r="AJ957" s="176"/>
      <c r="AK957" s="176"/>
      <c r="AL957" s="176"/>
      <c r="AM957" s="176"/>
      <c r="AN957" s="176"/>
      <c r="AO957" s="176"/>
      <c r="AP957" s="176"/>
      <c r="AQ957" s="176"/>
      <c r="AR957" s="176"/>
      <c r="AS957" s="176"/>
      <c r="AT957" s="176"/>
      <c r="AU957" s="176"/>
      <c r="AV957" s="176"/>
      <c r="AW957" s="176"/>
      <c r="AX957" s="176"/>
      <c r="AY957" s="176"/>
      <c r="AZ957" s="176"/>
      <c r="BA957" s="176"/>
      <c r="BB957" s="176"/>
      <c r="BC957" s="176"/>
      <c r="BD957" s="176"/>
      <c r="BE957" s="176"/>
      <c r="BF957" s="176"/>
      <c r="BG957" s="176"/>
      <c r="BH957" s="176"/>
      <c r="BI957" s="176"/>
      <c r="BJ957" s="176"/>
    </row>
    <row r="958" spans="2:62" x14ac:dyDescent="0.3">
      <c r="B958" s="3"/>
      <c r="C958" s="2"/>
      <c r="D958" s="2"/>
      <c r="E958" s="3"/>
      <c r="O958" s="176"/>
      <c r="P958" s="176"/>
      <c r="Q958" s="176"/>
      <c r="R958" s="176"/>
      <c r="S958" s="176"/>
      <c r="T958" s="176"/>
      <c r="U958" s="176"/>
      <c r="V958" s="176"/>
      <c r="W958" s="176"/>
      <c r="X958" s="176"/>
      <c r="Y958" s="176"/>
      <c r="Z958" s="176"/>
      <c r="AA958" s="176"/>
      <c r="AB958" s="176"/>
      <c r="AC958" s="176"/>
      <c r="AD958" s="176"/>
      <c r="AE958" s="176"/>
      <c r="AF958" s="176"/>
      <c r="AG958" s="176"/>
      <c r="AH958" s="176"/>
      <c r="AI958" s="176"/>
      <c r="AJ958" s="176"/>
      <c r="AK958" s="176"/>
      <c r="AL958" s="176"/>
      <c r="AM958" s="176"/>
      <c r="AN958" s="176"/>
      <c r="AO958" s="176"/>
      <c r="AP958" s="176"/>
      <c r="AQ958" s="176"/>
      <c r="AR958" s="176"/>
      <c r="AS958" s="176"/>
      <c r="AT958" s="176"/>
      <c r="AU958" s="176"/>
      <c r="AV958" s="176"/>
      <c r="AW958" s="176"/>
      <c r="AX958" s="176"/>
      <c r="AY958" s="176"/>
      <c r="AZ958" s="176"/>
      <c r="BA958" s="176"/>
      <c r="BB958" s="176"/>
      <c r="BC958" s="176"/>
      <c r="BD958" s="176"/>
      <c r="BE958" s="176"/>
      <c r="BF958" s="176"/>
      <c r="BG958" s="176"/>
      <c r="BH958" s="176"/>
      <c r="BI958" s="176"/>
      <c r="BJ958" s="176"/>
    </row>
    <row r="959" spans="2:62" x14ac:dyDescent="0.3">
      <c r="B959" s="3"/>
      <c r="C959" s="2"/>
      <c r="D959" s="2"/>
      <c r="E959" s="3"/>
      <c r="O959" s="176"/>
      <c r="P959" s="176"/>
      <c r="Q959" s="176"/>
      <c r="R959" s="176"/>
      <c r="S959" s="176"/>
      <c r="T959" s="176"/>
      <c r="U959" s="176"/>
      <c r="V959" s="176"/>
      <c r="W959" s="176"/>
      <c r="X959" s="176"/>
      <c r="Y959" s="176"/>
      <c r="Z959" s="176"/>
      <c r="AA959" s="176"/>
      <c r="AB959" s="176"/>
      <c r="AC959" s="176"/>
      <c r="AD959" s="176"/>
      <c r="AE959" s="176"/>
      <c r="AF959" s="176"/>
      <c r="AG959" s="176"/>
      <c r="AH959" s="176"/>
      <c r="AI959" s="176"/>
      <c r="AJ959" s="176"/>
      <c r="AK959" s="176"/>
      <c r="AL959" s="176"/>
      <c r="AM959" s="176"/>
      <c r="AN959" s="176"/>
      <c r="AO959" s="176"/>
      <c r="AP959" s="176"/>
      <c r="AQ959" s="176"/>
      <c r="AR959" s="176"/>
      <c r="AS959" s="176"/>
      <c r="AT959" s="176"/>
      <c r="AU959" s="176"/>
      <c r="AV959" s="176"/>
      <c r="AW959" s="176"/>
      <c r="AX959" s="176"/>
      <c r="AY959" s="176"/>
      <c r="AZ959" s="176"/>
      <c r="BA959" s="176"/>
      <c r="BB959" s="176"/>
      <c r="BC959" s="176"/>
      <c r="BD959" s="176"/>
      <c r="BE959" s="176"/>
      <c r="BF959" s="176"/>
      <c r="BG959" s="176"/>
      <c r="BH959" s="176"/>
      <c r="BI959" s="176"/>
      <c r="BJ959" s="176"/>
    </row>
    <row r="960" spans="2:62" x14ac:dyDescent="0.3">
      <c r="B960" s="3"/>
      <c r="C960" s="2"/>
      <c r="D960" s="2"/>
      <c r="E960" s="3"/>
      <c r="O960" s="176"/>
      <c r="P960" s="176"/>
      <c r="Q960" s="176"/>
      <c r="R960" s="176"/>
      <c r="S960" s="176"/>
      <c r="T960" s="176"/>
      <c r="U960" s="176"/>
      <c r="V960" s="176"/>
      <c r="W960" s="176"/>
      <c r="X960" s="176"/>
      <c r="Y960" s="176"/>
      <c r="Z960" s="176"/>
      <c r="AA960" s="176"/>
      <c r="AB960" s="176"/>
      <c r="AC960" s="176"/>
      <c r="AD960" s="176"/>
      <c r="AE960" s="176"/>
      <c r="AF960" s="176"/>
      <c r="AG960" s="176"/>
      <c r="AH960" s="176"/>
      <c r="AI960" s="176"/>
      <c r="AJ960" s="176"/>
      <c r="AK960" s="176"/>
      <c r="AL960" s="176"/>
      <c r="AM960" s="176"/>
      <c r="AN960" s="176"/>
      <c r="AO960" s="176"/>
      <c r="AP960" s="176"/>
      <c r="AQ960" s="176"/>
      <c r="AR960" s="176"/>
      <c r="AS960" s="176"/>
      <c r="AT960" s="176"/>
      <c r="AU960" s="176"/>
      <c r="AV960" s="176"/>
      <c r="AW960" s="176"/>
      <c r="AX960" s="176"/>
      <c r="AY960" s="176"/>
      <c r="AZ960" s="176"/>
      <c r="BA960" s="176"/>
      <c r="BB960" s="176"/>
      <c r="BC960" s="176"/>
      <c r="BD960" s="176"/>
      <c r="BE960" s="176"/>
      <c r="BF960" s="176"/>
      <c r="BG960" s="176"/>
      <c r="BH960" s="176"/>
      <c r="BI960" s="176"/>
      <c r="BJ960" s="176"/>
    </row>
    <row r="961" spans="2:62" x14ac:dyDescent="0.3">
      <c r="B961" s="3"/>
      <c r="C961" s="2"/>
      <c r="D961" s="2"/>
      <c r="E961" s="3"/>
      <c r="O961" s="176"/>
      <c r="P961" s="176"/>
      <c r="Q961" s="176"/>
      <c r="R961" s="176"/>
      <c r="S961" s="176"/>
      <c r="T961" s="176"/>
      <c r="U961" s="176"/>
      <c r="V961" s="176"/>
      <c r="W961" s="176"/>
      <c r="X961" s="176"/>
      <c r="Y961" s="176"/>
      <c r="Z961" s="176"/>
      <c r="AA961" s="176"/>
      <c r="AB961" s="176"/>
      <c r="AC961" s="176"/>
      <c r="AD961" s="176"/>
      <c r="AE961" s="176"/>
      <c r="AF961" s="176"/>
      <c r="AG961" s="176"/>
      <c r="AH961" s="176"/>
      <c r="AI961" s="176"/>
      <c r="AJ961" s="176"/>
      <c r="AK961" s="176"/>
      <c r="AL961" s="176"/>
      <c r="AM961" s="176"/>
      <c r="AN961" s="176"/>
      <c r="AO961" s="176"/>
      <c r="AP961" s="176"/>
      <c r="AQ961" s="176"/>
      <c r="AR961" s="176"/>
      <c r="AS961" s="176"/>
      <c r="AT961" s="176"/>
      <c r="AU961" s="176"/>
      <c r="AV961" s="176"/>
      <c r="AW961" s="176"/>
      <c r="AX961" s="176"/>
      <c r="AY961" s="176"/>
      <c r="AZ961" s="176"/>
      <c r="BA961" s="176"/>
      <c r="BB961" s="176"/>
      <c r="BC961" s="176"/>
      <c r="BD961" s="176"/>
      <c r="BE961" s="176"/>
      <c r="BF961" s="176"/>
      <c r="BG961" s="176"/>
      <c r="BH961" s="176"/>
      <c r="BI961" s="176"/>
      <c r="BJ961" s="176"/>
    </row>
    <row r="962" spans="2:62" x14ac:dyDescent="0.3">
      <c r="B962" s="3"/>
      <c r="C962" s="2"/>
      <c r="D962" s="2"/>
      <c r="E962" s="3"/>
      <c r="O962" s="176"/>
      <c r="P962" s="176"/>
      <c r="Q962" s="176"/>
      <c r="R962" s="176"/>
      <c r="S962" s="176"/>
      <c r="T962" s="176"/>
      <c r="U962" s="176"/>
      <c r="V962" s="176"/>
      <c r="W962" s="176"/>
      <c r="X962" s="176"/>
      <c r="Y962" s="176"/>
      <c r="Z962" s="176"/>
      <c r="AA962" s="176"/>
      <c r="AB962" s="176"/>
      <c r="AC962" s="176"/>
      <c r="AD962" s="176"/>
      <c r="AE962" s="176"/>
      <c r="AF962" s="176"/>
      <c r="AG962" s="176"/>
      <c r="AH962" s="176"/>
      <c r="AI962" s="176"/>
      <c r="AJ962" s="176"/>
      <c r="AK962" s="176"/>
      <c r="AL962" s="176"/>
      <c r="AM962" s="176"/>
      <c r="AN962" s="176"/>
      <c r="AO962" s="176"/>
      <c r="AP962" s="176"/>
      <c r="AQ962" s="176"/>
      <c r="AR962" s="176"/>
      <c r="AS962" s="176"/>
      <c r="AT962" s="176"/>
      <c r="AU962" s="176"/>
      <c r="AV962" s="176"/>
      <c r="AW962" s="176"/>
      <c r="AX962" s="176"/>
      <c r="AY962" s="176"/>
      <c r="AZ962" s="176"/>
      <c r="BA962" s="176"/>
      <c r="BB962" s="176"/>
      <c r="BC962" s="176"/>
      <c r="BD962" s="176"/>
      <c r="BE962" s="176"/>
      <c r="BF962" s="176"/>
      <c r="BG962" s="176"/>
      <c r="BH962" s="176"/>
      <c r="BI962" s="176"/>
      <c r="BJ962" s="176"/>
    </row>
    <row r="963" spans="2:62" x14ac:dyDescent="0.3">
      <c r="B963" s="3"/>
      <c r="C963" s="2"/>
      <c r="D963" s="2"/>
      <c r="E963" s="3"/>
      <c r="O963" s="176"/>
      <c r="P963" s="176"/>
      <c r="Q963" s="176"/>
      <c r="R963" s="176"/>
      <c r="S963" s="176"/>
      <c r="T963" s="176"/>
      <c r="U963" s="176"/>
      <c r="V963" s="176"/>
      <c r="W963" s="176"/>
      <c r="X963" s="176"/>
      <c r="Y963" s="176"/>
      <c r="Z963" s="176"/>
      <c r="AA963" s="176"/>
      <c r="AB963" s="176"/>
      <c r="AC963" s="176"/>
      <c r="AD963" s="176"/>
      <c r="AE963" s="176"/>
      <c r="AF963" s="176"/>
      <c r="AG963" s="176"/>
      <c r="AH963" s="176"/>
      <c r="AI963" s="176"/>
      <c r="AJ963" s="176"/>
      <c r="AK963" s="176"/>
      <c r="AL963" s="176"/>
      <c r="AM963" s="176"/>
      <c r="AN963" s="176"/>
      <c r="AO963" s="176"/>
      <c r="AP963" s="176"/>
      <c r="AQ963" s="176"/>
      <c r="AR963" s="176"/>
      <c r="AS963" s="176"/>
      <c r="AT963" s="176"/>
      <c r="AU963" s="176"/>
      <c r="AV963" s="176"/>
      <c r="AW963" s="176"/>
      <c r="AX963" s="176"/>
      <c r="AY963" s="176"/>
      <c r="AZ963" s="176"/>
      <c r="BA963" s="176"/>
      <c r="BB963" s="176"/>
      <c r="BC963" s="176"/>
      <c r="BD963" s="176"/>
      <c r="BE963" s="176"/>
      <c r="BF963" s="176"/>
      <c r="BG963" s="176"/>
      <c r="BH963" s="176"/>
      <c r="BI963" s="176"/>
      <c r="BJ963" s="176"/>
    </row>
    <row r="964" spans="2:62" x14ac:dyDescent="0.3">
      <c r="B964" s="3"/>
      <c r="C964" s="2"/>
      <c r="D964" s="2"/>
      <c r="E964" s="3"/>
      <c r="O964" s="176"/>
      <c r="P964" s="176"/>
      <c r="Q964" s="176"/>
      <c r="R964" s="176"/>
      <c r="S964" s="176"/>
      <c r="T964" s="176"/>
      <c r="U964" s="176"/>
      <c r="V964" s="176"/>
      <c r="W964" s="176"/>
      <c r="X964" s="176"/>
      <c r="Y964" s="176"/>
      <c r="Z964" s="176"/>
      <c r="AA964" s="176"/>
      <c r="AB964" s="176"/>
      <c r="AC964" s="176"/>
      <c r="AD964" s="176"/>
      <c r="AE964" s="176"/>
      <c r="AF964" s="176"/>
      <c r="AG964" s="176"/>
      <c r="AH964" s="176"/>
      <c r="AI964" s="176"/>
      <c r="AJ964" s="176"/>
      <c r="AK964" s="176"/>
      <c r="AL964" s="176"/>
      <c r="AM964" s="176"/>
      <c r="AN964" s="176"/>
      <c r="AO964" s="176"/>
      <c r="AP964" s="176"/>
      <c r="AQ964" s="176"/>
      <c r="AR964" s="176"/>
      <c r="AS964" s="176"/>
      <c r="AT964" s="176"/>
      <c r="AU964" s="176"/>
      <c r="AV964" s="176"/>
      <c r="AW964" s="176"/>
      <c r="AX964" s="176"/>
      <c r="AY964" s="176"/>
      <c r="AZ964" s="176"/>
      <c r="BA964" s="176"/>
      <c r="BB964" s="176"/>
      <c r="BC964" s="176"/>
      <c r="BD964" s="176"/>
      <c r="BE964" s="176"/>
      <c r="BF964" s="176"/>
      <c r="BG964" s="176"/>
      <c r="BH964" s="176"/>
      <c r="BI964" s="176"/>
      <c r="BJ964" s="176"/>
    </row>
    <row r="965" spans="2:62" x14ac:dyDescent="0.3">
      <c r="B965" s="3"/>
      <c r="C965" s="2"/>
      <c r="D965" s="2"/>
      <c r="E965" s="3"/>
      <c r="O965" s="176"/>
      <c r="P965" s="176"/>
      <c r="Q965" s="176"/>
      <c r="R965" s="176"/>
      <c r="S965" s="176"/>
      <c r="T965" s="176"/>
      <c r="U965" s="176"/>
      <c r="V965" s="176"/>
      <c r="W965" s="176"/>
      <c r="X965" s="176"/>
      <c r="Y965" s="176"/>
      <c r="Z965" s="176"/>
      <c r="AA965" s="176"/>
      <c r="AB965" s="176"/>
      <c r="AC965" s="176"/>
      <c r="AD965" s="176"/>
      <c r="AE965" s="176"/>
      <c r="AF965" s="176"/>
      <c r="AG965" s="176"/>
      <c r="AH965" s="176"/>
      <c r="AI965" s="176"/>
      <c r="AJ965" s="176"/>
      <c r="AK965" s="176"/>
      <c r="AL965" s="176"/>
      <c r="AM965" s="176"/>
      <c r="AN965" s="176"/>
      <c r="AO965" s="176"/>
      <c r="AP965" s="176"/>
      <c r="AQ965" s="176"/>
      <c r="AR965" s="176"/>
      <c r="AS965" s="176"/>
      <c r="AT965" s="176"/>
      <c r="AU965" s="176"/>
      <c r="AV965" s="176"/>
      <c r="AW965" s="176"/>
      <c r="AX965" s="176"/>
      <c r="AY965" s="176"/>
      <c r="AZ965" s="176"/>
      <c r="BA965" s="176"/>
      <c r="BB965" s="176"/>
      <c r="BC965" s="176"/>
      <c r="BD965" s="176"/>
      <c r="BE965" s="176"/>
      <c r="BF965" s="176"/>
      <c r="BG965" s="176"/>
      <c r="BH965" s="176"/>
      <c r="BI965" s="176"/>
      <c r="BJ965" s="176"/>
    </row>
    <row r="966" spans="2:62" x14ac:dyDescent="0.3">
      <c r="B966" s="3"/>
      <c r="C966" s="2"/>
      <c r="D966" s="2"/>
      <c r="E966" s="3"/>
      <c r="O966" s="176"/>
      <c r="P966" s="176"/>
      <c r="Q966" s="176"/>
      <c r="R966" s="176"/>
      <c r="S966" s="176"/>
      <c r="T966" s="176"/>
      <c r="U966" s="176"/>
      <c r="V966" s="176"/>
      <c r="W966" s="176"/>
      <c r="X966" s="176"/>
      <c r="Y966" s="176"/>
      <c r="Z966" s="176"/>
      <c r="AA966" s="176"/>
      <c r="AB966" s="176"/>
      <c r="AC966" s="176"/>
      <c r="AD966" s="176"/>
      <c r="AE966" s="176"/>
      <c r="AF966" s="176"/>
      <c r="AG966" s="176"/>
      <c r="AH966" s="176"/>
      <c r="AI966" s="176"/>
      <c r="AJ966" s="176"/>
      <c r="AK966" s="176"/>
      <c r="AL966" s="176"/>
      <c r="AM966" s="176"/>
      <c r="AN966" s="176"/>
      <c r="AO966" s="176"/>
      <c r="AP966" s="176"/>
      <c r="AQ966" s="176"/>
      <c r="AR966" s="176"/>
      <c r="AS966" s="176"/>
      <c r="AT966" s="176"/>
      <c r="AU966" s="176"/>
      <c r="AV966" s="176"/>
      <c r="AW966" s="176"/>
      <c r="AX966" s="176"/>
      <c r="AY966" s="176"/>
      <c r="AZ966" s="176"/>
      <c r="BA966" s="176"/>
      <c r="BB966" s="176"/>
      <c r="BC966" s="176"/>
      <c r="BD966" s="176"/>
      <c r="BE966" s="176"/>
      <c r="BF966" s="176"/>
      <c r="BG966" s="176"/>
      <c r="BH966" s="176"/>
      <c r="BI966" s="176"/>
      <c r="BJ966" s="176"/>
    </row>
    <row r="967" spans="2:62" x14ac:dyDescent="0.3">
      <c r="B967" s="3"/>
      <c r="C967" s="2"/>
      <c r="D967" s="2"/>
      <c r="E967" s="3"/>
      <c r="O967" s="176"/>
      <c r="P967" s="176"/>
      <c r="Q967" s="176"/>
      <c r="R967" s="176"/>
      <c r="S967" s="176"/>
      <c r="T967" s="176"/>
      <c r="U967" s="176"/>
      <c r="V967" s="176"/>
      <c r="W967" s="176"/>
      <c r="X967" s="176"/>
      <c r="Y967" s="176"/>
      <c r="Z967" s="176"/>
      <c r="AA967" s="176"/>
      <c r="AB967" s="176"/>
      <c r="AC967" s="176"/>
      <c r="AD967" s="176"/>
      <c r="AE967" s="176"/>
      <c r="AF967" s="176"/>
      <c r="AG967" s="176"/>
      <c r="AH967" s="176"/>
      <c r="AI967" s="176"/>
      <c r="AJ967" s="176"/>
      <c r="AK967" s="176"/>
      <c r="AL967" s="176"/>
      <c r="AM967" s="176"/>
      <c r="AN967" s="176"/>
      <c r="AO967" s="176"/>
      <c r="AP967" s="176"/>
      <c r="AQ967" s="176"/>
      <c r="AR967" s="176"/>
      <c r="AS967" s="176"/>
      <c r="AT967" s="176"/>
      <c r="AU967" s="176"/>
      <c r="AV967" s="176"/>
      <c r="AW967" s="176"/>
      <c r="AX967" s="176"/>
      <c r="AY967" s="176"/>
      <c r="AZ967" s="176"/>
      <c r="BA967" s="176"/>
      <c r="BB967" s="176"/>
      <c r="BC967" s="176"/>
      <c r="BD967" s="176"/>
      <c r="BE967" s="176"/>
      <c r="BF967" s="176"/>
      <c r="BG967" s="176"/>
      <c r="BH967" s="176"/>
      <c r="BI967" s="176"/>
      <c r="BJ967" s="176"/>
    </row>
    <row r="968" spans="2:62" x14ac:dyDescent="0.3">
      <c r="B968" s="3"/>
      <c r="C968" s="2"/>
      <c r="D968" s="2"/>
      <c r="E968" s="3"/>
      <c r="O968" s="176"/>
      <c r="P968" s="176"/>
      <c r="Q968" s="176"/>
      <c r="R968" s="176"/>
      <c r="S968" s="176"/>
      <c r="T968" s="176"/>
      <c r="U968" s="176"/>
      <c r="V968" s="176"/>
      <c r="W968" s="176"/>
      <c r="X968" s="176"/>
      <c r="Y968" s="176"/>
      <c r="Z968" s="176"/>
      <c r="AA968" s="176"/>
      <c r="AB968" s="176"/>
      <c r="AC968" s="176"/>
      <c r="AD968" s="176"/>
      <c r="AE968" s="176"/>
      <c r="AF968" s="176"/>
      <c r="AG968" s="176"/>
      <c r="AH968" s="176"/>
      <c r="AI968" s="176"/>
      <c r="AJ968" s="176"/>
      <c r="AK968" s="176"/>
      <c r="AL968" s="176"/>
      <c r="AM968" s="176"/>
      <c r="AN968" s="176"/>
      <c r="AO968" s="176"/>
      <c r="AP968" s="176"/>
      <c r="AQ968" s="176"/>
      <c r="AR968" s="176"/>
      <c r="AS968" s="176"/>
      <c r="AT968" s="176"/>
      <c r="AU968" s="176"/>
      <c r="AV968" s="176"/>
      <c r="AW968" s="176"/>
      <c r="AX968" s="176"/>
      <c r="AY968" s="176"/>
      <c r="AZ968" s="176"/>
      <c r="BA968" s="176"/>
      <c r="BB968" s="176"/>
      <c r="BC968" s="176"/>
      <c r="BD968" s="176"/>
      <c r="BE968" s="176"/>
      <c r="BF968" s="176"/>
      <c r="BG968" s="176"/>
      <c r="BH968" s="176"/>
      <c r="BI968" s="176"/>
      <c r="BJ968" s="176"/>
    </row>
    <row r="969" spans="2:62" x14ac:dyDescent="0.3">
      <c r="B969" s="3"/>
      <c r="C969" s="2"/>
      <c r="D969" s="2"/>
      <c r="E969" s="3"/>
      <c r="O969" s="176"/>
      <c r="P969" s="176"/>
      <c r="Q969" s="176"/>
      <c r="R969" s="176"/>
      <c r="S969" s="176"/>
      <c r="T969" s="176"/>
      <c r="U969" s="176"/>
      <c r="V969" s="176"/>
      <c r="W969" s="176"/>
      <c r="X969" s="176"/>
      <c r="Y969" s="176"/>
      <c r="Z969" s="176"/>
      <c r="AA969" s="176"/>
      <c r="AB969" s="176"/>
      <c r="AC969" s="176"/>
      <c r="AD969" s="176"/>
      <c r="AE969" s="176"/>
      <c r="AF969" s="176"/>
      <c r="AG969" s="176"/>
      <c r="AH969" s="176"/>
      <c r="AI969" s="176"/>
      <c r="AJ969" s="176"/>
      <c r="AK969" s="176"/>
      <c r="AL969" s="176"/>
      <c r="AM969" s="176"/>
      <c r="AN969" s="176"/>
      <c r="AO969" s="176"/>
      <c r="AP969" s="176"/>
      <c r="AQ969" s="176"/>
      <c r="AR969" s="176"/>
      <c r="AS969" s="176"/>
      <c r="AT969" s="176"/>
      <c r="AU969" s="176"/>
      <c r="AV969" s="176"/>
      <c r="AW969" s="176"/>
      <c r="AX969" s="176"/>
      <c r="AY969" s="176"/>
      <c r="AZ969" s="176"/>
      <c r="BA969" s="176"/>
      <c r="BB969" s="176"/>
      <c r="BC969" s="176"/>
      <c r="BD969" s="176"/>
      <c r="BE969" s="176"/>
      <c r="BF969" s="176"/>
      <c r="BG969" s="176"/>
      <c r="BH969" s="176"/>
      <c r="BI969" s="176"/>
      <c r="BJ969" s="176"/>
    </row>
    <row r="970" spans="2:62" x14ac:dyDescent="0.3">
      <c r="B970" s="3"/>
      <c r="C970" s="2"/>
      <c r="D970" s="2"/>
      <c r="E970" s="3"/>
      <c r="O970" s="176"/>
      <c r="P970" s="176"/>
      <c r="Q970" s="176"/>
      <c r="R970" s="176"/>
      <c r="S970" s="176"/>
      <c r="T970" s="176"/>
      <c r="U970" s="176"/>
      <c r="V970" s="176"/>
      <c r="W970" s="176"/>
      <c r="X970" s="176"/>
      <c r="Y970" s="176"/>
      <c r="Z970" s="176"/>
      <c r="AA970" s="176"/>
      <c r="AB970" s="176"/>
      <c r="AC970" s="176"/>
      <c r="AD970" s="176"/>
      <c r="AE970" s="176"/>
      <c r="AF970" s="176"/>
      <c r="AG970" s="176"/>
      <c r="AH970" s="176"/>
      <c r="AI970" s="176"/>
      <c r="AJ970" s="176"/>
      <c r="AK970" s="176"/>
      <c r="AL970" s="176"/>
      <c r="AM970" s="176"/>
      <c r="AN970" s="176"/>
      <c r="AO970" s="176"/>
      <c r="AP970" s="176"/>
      <c r="AQ970" s="176"/>
      <c r="AR970" s="176"/>
      <c r="AS970" s="176"/>
      <c r="AT970" s="176"/>
      <c r="AU970" s="176"/>
      <c r="AV970" s="176"/>
      <c r="AW970" s="176"/>
      <c r="AX970" s="176"/>
      <c r="AY970" s="176"/>
      <c r="AZ970" s="176"/>
      <c r="BA970" s="176"/>
      <c r="BB970" s="176"/>
      <c r="BC970" s="176"/>
      <c r="BD970" s="176"/>
      <c r="BE970" s="176"/>
      <c r="BF970" s="176"/>
      <c r="BG970" s="176"/>
      <c r="BH970" s="176"/>
      <c r="BI970" s="176"/>
      <c r="BJ970" s="176"/>
    </row>
    <row r="971" spans="2:62" x14ac:dyDescent="0.3">
      <c r="B971" s="3"/>
      <c r="C971" s="2"/>
      <c r="D971" s="2"/>
      <c r="E971" s="3"/>
      <c r="O971" s="176"/>
      <c r="P971" s="176"/>
      <c r="Q971" s="176"/>
      <c r="R971" s="176"/>
      <c r="S971" s="176"/>
      <c r="T971" s="176"/>
      <c r="U971" s="176"/>
      <c r="V971" s="176"/>
      <c r="W971" s="176"/>
      <c r="X971" s="176"/>
      <c r="Y971" s="176"/>
      <c r="Z971" s="176"/>
      <c r="AA971" s="176"/>
      <c r="AB971" s="176"/>
      <c r="AC971" s="176"/>
      <c r="AD971" s="176"/>
      <c r="AE971" s="176"/>
      <c r="AF971" s="176"/>
      <c r="AG971" s="176"/>
      <c r="AH971" s="176"/>
      <c r="AI971" s="176"/>
      <c r="AJ971" s="176"/>
      <c r="AK971" s="176"/>
      <c r="AL971" s="176"/>
      <c r="AM971" s="176"/>
      <c r="AN971" s="176"/>
      <c r="AO971" s="176"/>
      <c r="AP971" s="176"/>
      <c r="AQ971" s="176"/>
      <c r="AR971" s="176"/>
      <c r="AS971" s="176"/>
      <c r="AT971" s="176"/>
      <c r="AU971" s="176"/>
      <c r="AV971" s="176"/>
      <c r="AW971" s="176"/>
      <c r="AX971" s="176"/>
      <c r="AY971" s="176"/>
      <c r="AZ971" s="176"/>
      <c r="BA971" s="176"/>
      <c r="BB971" s="176"/>
      <c r="BC971" s="176"/>
      <c r="BD971" s="176"/>
      <c r="BE971" s="176"/>
      <c r="BF971" s="176"/>
      <c r="BG971" s="176"/>
      <c r="BH971" s="176"/>
      <c r="BI971" s="176"/>
      <c r="BJ971" s="176"/>
    </row>
    <row r="972" spans="2:62" x14ac:dyDescent="0.3">
      <c r="B972" s="3"/>
      <c r="C972" s="2"/>
      <c r="D972" s="2"/>
      <c r="E972" s="3"/>
      <c r="O972" s="176"/>
      <c r="P972" s="176"/>
      <c r="Q972" s="176"/>
      <c r="R972" s="176"/>
      <c r="S972" s="176"/>
      <c r="T972" s="176"/>
      <c r="U972" s="176"/>
      <c r="V972" s="176"/>
      <c r="W972" s="176"/>
      <c r="X972" s="176"/>
      <c r="Y972" s="176"/>
      <c r="Z972" s="176"/>
      <c r="AA972" s="176"/>
      <c r="AB972" s="176"/>
      <c r="AC972" s="176"/>
      <c r="AD972" s="176"/>
      <c r="AE972" s="176"/>
      <c r="AF972" s="176"/>
      <c r="AG972" s="176"/>
      <c r="AH972" s="176"/>
      <c r="AI972" s="176"/>
      <c r="AJ972" s="176"/>
      <c r="AK972" s="176"/>
      <c r="AL972" s="176"/>
      <c r="AM972" s="176"/>
      <c r="AN972" s="176"/>
      <c r="AO972" s="176"/>
      <c r="AP972" s="176"/>
      <c r="AQ972" s="176"/>
      <c r="AR972" s="176"/>
      <c r="AS972" s="176"/>
      <c r="AT972" s="176"/>
      <c r="AU972" s="176"/>
      <c r="AV972" s="176"/>
      <c r="AW972" s="176"/>
      <c r="AX972" s="176"/>
      <c r="AY972" s="176"/>
      <c r="AZ972" s="176"/>
      <c r="BA972" s="176"/>
      <c r="BB972" s="176"/>
      <c r="BC972" s="176"/>
      <c r="BD972" s="176"/>
      <c r="BE972" s="176"/>
      <c r="BF972" s="176"/>
      <c r="BG972" s="176"/>
      <c r="BH972" s="176"/>
      <c r="BI972" s="176"/>
      <c r="BJ972" s="176"/>
    </row>
    <row r="973" spans="2:62" x14ac:dyDescent="0.3">
      <c r="B973" s="3"/>
      <c r="C973" s="2"/>
      <c r="D973" s="2"/>
      <c r="E973" s="3"/>
      <c r="O973" s="176"/>
      <c r="P973" s="176"/>
      <c r="Q973" s="176"/>
      <c r="R973" s="176"/>
      <c r="S973" s="176"/>
      <c r="T973" s="176"/>
      <c r="U973" s="176"/>
      <c r="V973" s="176"/>
      <c r="W973" s="176"/>
      <c r="X973" s="176"/>
      <c r="Y973" s="176"/>
      <c r="Z973" s="176"/>
      <c r="AA973" s="176"/>
      <c r="AB973" s="176"/>
      <c r="AC973" s="176"/>
      <c r="AD973" s="176"/>
      <c r="AE973" s="176"/>
      <c r="AF973" s="176"/>
      <c r="AG973" s="176"/>
      <c r="AH973" s="176"/>
      <c r="AI973" s="176"/>
      <c r="AJ973" s="176"/>
      <c r="AK973" s="176"/>
      <c r="AL973" s="176"/>
      <c r="AM973" s="176"/>
      <c r="AN973" s="176"/>
      <c r="AO973" s="176"/>
      <c r="AP973" s="176"/>
      <c r="AQ973" s="176"/>
      <c r="AR973" s="176"/>
      <c r="AS973" s="176"/>
      <c r="AT973" s="176"/>
      <c r="AU973" s="176"/>
      <c r="AV973" s="176"/>
      <c r="AW973" s="176"/>
      <c r="AX973" s="176"/>
      <c r="AY973" s="176"/>
      <c r="AZ973" s="176"/>
      <c r="BA973" s="176"/>
      <c r="BB973" s="176"/>
      <c r="BC973" s="176"/>
      <c r="BD973" s="176"/>
      <c r="BE973" s="176"/>
      <c r="BF973" s="176"/>
      <c r="BG973" s="176"/>
      <c r="BH973" s="176"/>
      <c r="BI973" s="176"/>
      <c r="BJ973" s="176"/>
    </row>
    <row r="974" spans="2:62" x14ac:dyDescent="0.3">
      <c r="B974" s="3"/>
      <c r="C974" s="2"/>
      <c r="D974" s="2"/>
      <c r="E974" s="3"/>
      <c r="O974" s="176"/>
      <c r="P974" s="176"/>
      <c r="Q974" s="176"/>
      <c r="R974" s="176"/>
      <c r="S974" s="176"/>
      <c r="T974" s="176"/>
      <c r="U974" s="176"/>
      <c r="V974" s="176"/>
      <c r="W974" s="176"/>
      <c r="X974" s="176"/>
      <c r="Y974" s="176"/>
      <c r="Z974" s="176"/>
      <c r="AA974" s="176"/>
      <c r="AB974" s="176"/>
      <c r="AC974" s="176"/>
      <c r="AD974" s="176"/>
      <c r="AE974" s="176"/>
      <c r="AF974" s="176"/>
      <c r="AG974" s="176"/>
      <c r="AH974" s="176"/>
      <c r="AI974" s="176"/>
      <c r="AJ974" s="176"/>
      <c r="AK974" s="176"/>
      <c r="AL974" s="176"/>
      <c r="AM974" s="176"/>
      <c r="AN974" s="176"/>
      <c r="AO974" s="176"/>
      <c r="AP974" s="176"/>
      <c r="AQ974" s="176"/>
      <c r="AR974" s="176"/>
      <c r="AS974" s="176"/>
      <c r="AT974" s="176"/>
      <c r="AU974" s="176"/>
      <c r="AV974" s="176"/>
      <c r="AW974" s="176"/>
      <c r="AX974" s="176"/>
      <c r="AY974" s="176"/>
      <c r="AZ974" s="176"/>
      <c r="BA974" s="176"/>
      <c r="BB974" s="176"/>
      <c r="BC974" s="176"/>
      <c r="BD974" s="176"/>
      <c r="BE974" s="176"/>
      <c r="BF974" s="176"/>
      <c r="BG974" s="176"/>
      <c r="BH974" s="176"/>
      <c r="BI974" s="176"/>
      <c r="BJ974" s="176"/>
    </row>
    <row r="975" spans="2:62" x14ac:dyDescent="0.3">
      <c r="B975" s="3"/>
      <c r="C975" s="2"/>
      <c r="D975" s="2"/>
      <c r="E975" s="3"/>
      <c r="O975" s="176"/>
      <c r="P975" s="176"/>
      <c r="Q975" s="176"/>
      <c r="R975" s="176"/>
      <c r="S975" s="176"/>
      <c r="T975" s="176"/>
      <c r="U975" s="176"/>
      <c r="V975" s="176"/>
      <c r="W975" s="176"/>
      <c r="X975" s="176"/>
      <c r="Y975" s="176"/>
      <c r="Z975" s="176"/>
      <c r="AA975" s="176"/>
      <c r="AB975" s="176"/>
      <c r="AC975" s="176"/>
      <c r="AD975" s="176"/>
      <c r="AE975" s="176"/>
      <c r="AF975" s="176"/>
      <c r="AG975" s="176"/>
      <c r="AH975" s="176"/>
      <c r="AI975" s="176"/>
      <c r="AJ975" s="176"/>
      <c r="AK975" s="176"/>
      <c r="AL975" s="176"/>
      <c r="AM975" s="176"/>
      <c r="AN975" s="176"/>
      <c r="AO975" s="176"/>
      <c r="AP975" s="176"/>
      <c r="AQ975" s="176"/>
      <c r="AR975" s="176"/>
      <c r="AS975" s="176"/>
      <c r="AT975" s="176"/>
      <c r="AU975" s="176"/>
      <c r="AV975" s="176"/>
      <c r="AW975" s="176"/>
      <c r="AX975" s="176"/>
      <c r="AY975" s="176"/>
      <c r="AZ975" s="176"/>
      <c r="BA975" s="176"/>
      <c r="BB975" s="176"/>
      <c r="BC975" s="176"/>
      <c r="BD975" s="176"/>
      <c r="BE975" s="176"/>
      <c r="BF975" s="176"/>
      <c r="BG975" s="176"/>
      <c r="BH975" s="176"/>
      <c r="BI975" s="176"/>
      <c r="BJ975" s="176"/>
    </row>
    <row r="976" spans="2:62" x14ac:dyDescent="0.3">
      <c r="B976" s="3"/>
      <c r="C976" s="2"/>
      <c r="D976" s="2"/>
      <c r="E976" s="3"/>
      <c r="O976" s="176"/>
      <c r="P976" s="176"/>
      <c r="Q976" s="176"/>
      <c r="R976" s="176"/>
      <c r="S976" s="176"/>
      <c r="T976" s="176"/>
      <c r="U976" s="176"/>
      <c r="V976" s="176"/>
      <c r="W976" s="176"/>
      <c r="X976" s="176"/>
      <c r="Y976" s="176"/>
      <c r="Z976" s="176"/>
      <c r="AA976" s="176"/>
      <c r="AB976" s="176"/>
      <c r="AC976" s="176"/>
      <c r="AD976" s="176"/>
      <c r="AE976" s="176"/>
      <c r="AF976" s="176"/>
      <c r="AG976" s="176"/>
      <c r="AH976" s="176"/>
      <c r="AI976" s="176"/>
      <c r="AJ976" s="176"/>
      <c r="AK976" s="176"/>
      <c r="AL976" s="176"/>
      <c r="AM976" s="176"/>
      <c r="AN976" s="176"/>
      <c r="AO976" s="176"/>
      <c r="AP976" s="176"/>
      <c r="AQ976" s="176"/>
      <c r="AR976" s="176"/>
      <c r="AS976" s="176"/>
      <c r="AT976" s="176"/>
      <c r="AU976" s="176"/>
      <c r="AV976" s="176"/>
      <c r="AW976" s="176"/>
      <c r="AX976" s="176"/>
      <c r="AY976" s="176"/>
      <c r="AZ976" s="176"/>
      <c r="BA976" s="176"/>
      <c r="BB976" s="176"/>
      <c r="BC976" s="176"/>
      <c r="BD976" s="176"/>
      <c r="BE976" s="176"/>
      <c r="BF976" s="176"/>
      <c r="BG976" s="176"/>
      <c r="BH976" s="176"/>
      <c r="BI976" s="176"/>
      <c r="BJ976" s="176"/>
    </row>
    <row r="977" spans="2:62" x14ac:dyDescent="0.3">
      <c r="B977" s="3"/>
      <c r="C977" s="2"/>
      <c r="D977" s="2"/>
      <c r="E977" s="3"/>
      <c r="O977" s="176"/>
      <c r="P977" s="176"/>
      <c r="Q977" s="176"/>
      <c r="R977" s="176"/>
      <c r="S977" s="176"/>
      <c r="T977" s="176"/>
      <c r="U977" s="176"/>
      <c r="V977" s="176"/>
      <c r="W977" s="176"/>
      <c r="X977" s="176"/>
      <c r="Y977" s="176"/>
      <c r="Z977" s="176"/>
      <c r="AA977" s="176"/>
      <c r="AB977" s="176"/>
      <c r="AC977" s="176"/>
      <c r="AD977" s="176"/>
      <c r="AE977" s="176"/>
      <c r="AF977" s="176"/>
      <c r="AG977" s="176"/>
      <c r="AH977" s="176"/>
      <c r="AI977" s="176"/>
      <c r="AJ977" s="176"/>
      <c r="AK977" s="176"/>
      <c r="AL977" s="176"/>
      <c r="AM977" s="176"/>
      <c r="AN977" s="176"/>
      <c r="AO977" s="176"/>
      <c r="AP977" s="176"/>
      <c r="AQ977" s="176"/>
      <c r="AR977" s="176"/>
      <c r="AS977" s="176"/>
      <c r="AT977" s="176"/>
      <c r="AU977" s="176"/>
      <c r="AV977" s="176"/>
      <c r="AW977" s="176"/>
      <c r="AX977" s="176"/>
      <c r="AY977" s="176"/>
      <c r="AZ977" s="176"/>
      <c r="BA977" s="176"/>
      <c r="BB977" s="176"/>
      <c r="BC977" s="176"/>
      <c r="BD977" s="176"/>
      <c r="BE977" s="176"/>
      <c r="BF977" s="176"/>
      <c r="BG977" s="176"/>
      <c r="BH977" s="176"/>
      <c r="BI977" s="176"/>
      <c r="BJ977" s="176"/>
    </row>
    <row r="978" spans="2:62" x14ac:dyDescent="0.3">
      <c r="B978" s="3"/>
      <c r="C978" s="2"/>
      <c r="D978" s="2"/>
      <c r="E978" s="3"/>
      <c r="O978" s="176"/>
      <c r="P978" s="176"/>
      <c r="Q978" s="176"/>
      <c r="R978" s="176"/>
      <c r="S978" s="176"/>
      <c r="T978" s="176"/>
      <c r="U978" s="176"/>
      <c r="V978" s="176"/>
      <c r="W978" s="176"/>
      <c r="X978" s="176"/>
      <c r="Y978" s="176"/>
      <c r="Z978" s="176"/>
      <c r="AA978" s="176"/>
      <c r="AB978" s="176"/>
      <c r="AC978" s="176"/>
      <c r="AD978" s="176"/>
      <c r="AE978" s="176"/>
      <c r="AF978" s="176"/>
      <c r="AG978" s="176"/>
      <c r="AH978" s="176"/>
      <c r="AI978" s="176"/>
      <c r="AJ978" s="176"/>
      <c r="AK978" s="176"/>
      <c r="AL978" s="176"/>
      <c r="AM978" s="176"/>
      <c r="AN978" s="176"/>
      <c r="AO978" s="176"/>
      <c r="AP978" s="176"/>
      <c r="AQ978" s="176"/>
      <c r="AR978" s="176"/>
      <c r="AS978" s="176"/>
      <c r="AT978" s="176"/>
      <c r="AU978" s="176"/>
      <c r="AV978" s="176"/>
      <c r="AW978" s="176"/>
      <c r="AX978" s="176"/>
      <c r="AY978" s="176"/>
      <c r="AZ978" s="176"/>
      <c r="BA978" s="176"/>
      <c r="BB978" s="176"/>
      <c r="BC978" s="176"/>
      <c r="BD978" s="176"/>
      <c r="BE978" s="176"/>
      <c r="BF978" s="176"/>
      <c r="BG978" s="176"/>
      <c r="BH978" s="176"/>
      <c r="BI978" s="176"/>
      <c r="BJ978" s="176"/>
    </row>
    <row r="979" spans="2:62" x14ac:dyDescent="0.3">
      <c r="B979" s="3"/>
      <c r="C979" s="2"/>
      <c r="D979" s="2"/>
      <c r="E979" s="3"/>
      <c r="O979" s="176"/>
      <c r="P979" s="176"/>
      <c r="Q979" s="176"/>
      <c r="R979" s="176"/>
      <c r="S979" s="176"/>
      <c r="T979" s="176"/>
      <c r="U979" s="176"/>
      <c r="V979" s="176"/>
      <c r="W979" s="176"/>
      <c r="X979" s="176"/>
      <c r="Y979" s="176"/>
      <c r="Z979" s="176"/>
      <c r="AA979" s="176"/>
      <c r="AB979" s="176"/>
      <c r="AC979" s="176"/>
      <c r="AD979" s="176"/>
      <c r="AE979" s="176"/>
      <c r="AF979" s="176"/>
      <c r="AG979" s="176"/>
      <c r="AH979" s="176"/>
      <c r="AI979" s="176"/>
      <c r="AJ979" s="176"/>
      <c r="AK979" s="176"/>
      <c r="AL979" s="176"/>
      <c r="AM979" s="176"/>
      <c r="AN979" s="176"/>
      <c r="AO979" s="176"/>
      <c r="AP979" s="176"/>
      <c r="AQ979" s="176"/>
      <c r="AR979" s="176"/>
      <c r="AS979" s="176"/>
      <c r="AT979" s="176"/>
      <c r="AU979" s="176"/>
      <c r="AV979" s="176"/>
      <c r="AW979" s="176"/>
      <c r="AX979" s="176"/>
      <c r="AY979" s="176"/>
      <c r="AZ979" s="176"/>
      <c r="BA979" s="176"/>
      <c r="BB979" s="176"/>
      <c r="BC979" s="176"/>
      <c r="BD979" s="176"/>
      <c r="BE979" s="176"/>
      <c r="BF979" s="176"/>
      <c r="BG979" s="176"/>
      <c r="BH979" s="176"/>
      <c r="BI979" s="176"/>
      <c r="BJ979" s="176"/>
    </row>
    <row r="980" spans="2:62" x14ac:dyDescent="0.3">
      <c r="B980" s="3"/>
      <c r="C980" s="2"/>
      <c r="D980" s="2"/>
      <c r="E980" s="3"/>
      <c r="O980" s="176"/>
      <c r="P980" s="176"/>
      <c r="Q980" s="176"/>
      <c r="R980" s="176"/>
      <c r="S980" s="176"/>
      <c r="T980" s="176"/>
      <c r="U980" s="176"/>
      <c r="V980" s="176"/>
      <c r="W980" s="176"/>
      <c r="X980" s="176"/>
      <c r="Y980" s="176"/>
      <c r="Z980" s="176"/>
      <c r="AA980" s="176"/>
      <c r="AB980" s="176"/>
      <c r="AC980" s="176"/>
      <c r="AD980" s="176"/>
      <c r="AE980" s="176"/>
      <c r="AF980" s="176"/>
      <c r="AG980" s="176"/>
      <c r="AH980" s="176"/>
      <c r="AI980" s="176"/>
      <c r="AJ980" s="176"/>
      <c r="AK980" s="176"/>
      <c r="AL980" s="176"/>
      <c r="AM980" s="176"/>
      <c r="AN980" s="176"/>
      <c r="AO980" s="176"/>
      <c r="AP980" s="176"/>
      <c r="AQ980" s="176"/>
      <c r="AR980" s="176"/>
      <c r="AS980" s="176"/>
      <c r="AT980" s="176"/>
      <c r="AU980" s="176"/>
      <c r="AV980" s="176"/>
      <c r="AW980" s="176"/>
      <c r="AX980" s="176"/>
      <c r="AY980" s="176"/>
      <c r="AZ980" s="176"/>
      <c r="BA980" s="176"/>
      <c r="BB980" s="176"/>
      <c r="BC980" s="176"/>
      <c r="BD980" s="176"/>
      <c r="BE980" s="176"/>
      <c r="BF980" s="176"/>
      <c r="BG980" s="176"/>
      <c r="BH980" s="176"/>
      <c r="BI980" s="176"/>
      <c r="BJ980" s="176"/>
    </row>
    <row r="981" spans="2:62" x14ac:dyDescent="0.3">
      <c r="B981" s="3"/>
      <c r="C981" s="2"/>
      <c r="D981" s="2"/>
      <c r="E981" s="3"/>
      <c r="O981" s="176"/>
      <c r="P981" s="176"/>
      <c r="Q981" s="176"/>
      <c r="R981" s="176"/>
      <c r="S981" s="176"/>
      <c r="T981" s="176"/>
      <c r="U981" s="176"/>
      <c r="V981" s="176"/>
      <c r="W981" s="176"/>
      <c r="X981" s="176"/>
      <c r="Y981" s="176"/>
      <c r="Z981" s="176"/>
      <c r="AA981" s="176"/>
      <c r="AB981" s="176"/>
      <c r="AC981" s="176"/>
      <c r="AD981" s="176"/>
      <c r="AE981" s="176"/>
      <c r="AF981" s="176"/>
      <c r="AG981" s="176"/>
      <c r="AH981" s="176"/>
      <c r="AI981" s="176"/>
      <c r="AJ981" s="176"/>
      <c r="AK981" s="176"/>
      <c r="AL981" s="176"/>
      <c r="AM981" s="176"/>
      <c r="AN981" s="176"/>
      <c r="AO981" s="176"/>
      <c r="AP981" s="176"/>
      <c r="AQ981" s="176"/>
      <c r="AR981" s="176"/>
      <c r="AS981" s="176"/>
      <c r="AT981" s="176"/>
      <c r="AU981" s="176"/>
      <c r="AV981" s="176"/>
      <c r="AW981" s="176"/>
      <c r="AX981" s="176"/>
      <c r="AY981" s="176"/>
      <c r="AZ981" s="176"/>
      <c r="BA981" s="176"/>
      <c r="BB981" s="176"/>
      <c r="BC981" s="176"/>
      <c r="BD981" s="176"/>
      <c r="BE981" s="176"/>
      <c r="BF981" s="176"/>
      <c r="BG981" s="176"/>
      <c r="BH981" s="176"/>
      <c r="BI981" s="176"/>
      <c r="BJ981" s="176"/>
    </row>
    <row r="982" spans="2:62" x14ac:dyDescent="0.3">
      <c r="B982" s="3"/>
      <c r="C982" s="2"/>
      <c r="D982" s="2"/>
      <c r="E982" s="3"/>
      <c r="O982" s="176"/>
      <c r="P982" s="176"/>
      <c r="Q982" s="176"/>
      <c r="R982" s="176"/>
      <c r="S982" s="176"/>
      <c r="T982" s="176"/>
      <c r="U982" s="176"/>
      <c r="V982" s="176"/>
      <c r="W982" s="176"/>
      <c r="X982" s="176"/>
      <c r="Y982" s="176"/>
      <c r="Z982" s="176"/>
      <c r="AA982" s="176"/>
      <c r="AB982" s="176"/>
      <c r="AC982" s="176"/>
      <c r="AD982" s="176"/>
      <c r="AE982" s="176"/>
      <c r="AF982" s="176"/>
      <c r="AG982" s="176"/>
      <c r="AH982" s="176"/>
      <c r="AI982" s="176"/>
      <c r="AJ982" s="176"/>
      <c r="AK982" s="176"/>
      <c r="AL982" s="176"/>
      <c r="AM982" s="176"/>
      <c r="AN982" s="176"/>
      <c r="AO982" s="176"/>
      <c r="AP982" s="176"/>
      <c r="AQ982" s="176"/>
      <c r="AR982" s="176"/>
      <c r="AS982" s="176"/>
      <c r="AT982" s="176"/>
      <c r="AU982" s="176"/>
      <c r="AV982" s="176"/>
      <c r="AW982" s="176"/>
      <c r="AX982" s="176"/>
      <c r="AY982" s="176"/>
      <c r="AZ982" s="176"/>
      <c r="BA982" s="176"/>
      <c r="BB982" s="176"/>
      <c r="BC982" s="176"/>
      <c r="BD982" s="176"/>
      <c r="BE982" s="176"/>
      <c r="BF982" s="176"/>
      <c r="BG982" s="176"/>
      <c r="BH982" s="176"/>
      <c r="BI982" s="176"/>
      <c r="BJ982" s="176"/>
    </row>
    <row r="983" spans="2:62" x14ac:dyDescent="0.3">
      <c r="B983" s="3"/>
      <c r="C983" s="2"/>
      <c r="D983" s="2"/>
      <c r="E983" s="3"/>
      <c r="O983" s="176"/>
      <c r="P983" s="176"/>
      <c r="Q983" s="176"/>
      <c r="R983" s="176"/>
      <c r="S983" s="176"/>
      <c r="T983" s="176"/>
      <c r="U983" s="176"/>
      <c r="V983" s="176"/>
      <c r="W983" s="176"/>
      <c r="X983" s="176"/>
      <c r="Y983" s="176"/>
      <c r="Z983" s="176"/>
      <c r="AA983" s="176"/>
      <c r="AB983" s="176"/>
      <c r="AC983" s="176"/>
      <c r="AD983" s="176"/>
      <c r="AE983" s="176"/>
      <c r="AF983" s="176"/>
      <c r="AG983" s="176"/>
      <c r="AH983" s="176"/>
      <c r="AI983" s="176"/>
      <c r="AJ983" s="176"/>
      <c r="AK983" s="176"/>
      <c r="AL983" s="176"/>
      <c r="AM983" s="176"/>
      <c r="AN983" s="176"/>
      <c r="AO983" s="176"/>
      <c r="AP983" s="176"/>
      <c r="AQ983" s="176"/>
      <c r="AR983" s="176"/>
      <c r="AS983" s="176"/>
      <c r="AT983" s="176"/>
      <c r="AU983" s="176"/>
      <c r="AV983" s="176"/>
      <c r="AW983" s="176"/>
      <c r="AX983" s="176"/>
      <c r="AY983" s="176"/>
      <c r="AZ983" s="176"/>
      <c r="BA983" s="176"/>
      <c r="BB983" s="176"/>
      <c r="BC983" s="176"/>
      <c r="BD983" s="176"/>
      <c r="BE983" s="176"/>
      <c r="BF983" s="176"/>
      <c r="BG983" s="176"/>
      <c r="BH983" s="176"/>
      <c r="BI983" s="176"/>
      <c r="BJ983" s="176"/>
    </row>
    <row r="984" spans="2:62" x14ac:dyDescent="0.3">
      <c r="B984" s="3"/>
      <c r="C984" s="2"/>
      <c r="D984" s="2"/>
      <c r="E984" s="3"/>
      <c r="O984" s="176"/>
      <c r="P984" s="176"/>
      <c r="Q984" s="176"/>
      <c r="R984" s="176"/>
      <c r="S984" s="176"/>
      <c r="T984" s="176"/>
      <c r="U984" s="176"/>
      <c r="V984" s="176"/>
      <c r="W984" s="176"/>
      <c r="X984" s="176"/>
      <c r="Y984" s="176"/>
      <c r="Z984" s="176"/>
      <c r="AA984" s="176"/>
      <c r="AB984" s="176"/>
      <c r="AC984" s="176"/>
      <c r="AD984" s="176"/>
      <c r="AE984" s="176"/>
      <c r="AF984" s="176"/>
      <c r="AG984" s="176"/>
      <c r="AH984" s="176"/>
      <c r="AI984" s="176"/>
      <c r="AJ984" s="176"/>
      <c r="AK984" s="176"/>
      <c r="AL984" s="176"/>
      <c r="AM984" s="176"/>
      <c r="AN984" s="176"/>
      <c r="AO984" s="176"/>
      <c r="AP984" s="176"/>
      <c r="AQ984" s="176"/>
      <c r="AR984" s="176"/>
      <c r="AS984" s="176"/>
      <c r="AT984" s="176"/>
      <c r="AU984" s="176"/>
      <c r="AV984" s="176"/>
      <c r="AW984" s="176"/>
      <c r="AX984" s="176"/>
      <c r="AY984" s="176"/>
      <c r="AZ984" s="176"/>
      <c r="BA984" s="176"/>
      <c r="BB984" s="176"/>
      <c r="BC984" s="176"/>
      <c r="BD984" s="176"/>
      <c r="BE984" s="176"/>
      <c r="BF984" s="176"/>
      <c r="BG984" s="176"/>
      <c r="BH984" s="176"/>
      <c r="BI984" s="176"/>
      <c r="BJ984" s="176"/>
    </row>
    <row r="985" spans="2:62" x14ac:dyDescent="0.3">
      <c r="B985" s="3"/>
      <c r="C985" s="2"/>
      <c r="D985" s="2"/>
      <c r="E985" s="3"/>
      <c r="O985" s="176"/>
      <c r="P985" s="176"/>
      <c r="Q985" s="176"/>
      <c r="R985" s="176"/>
      <c r="S985" s="176"/>
      <c r="T985" s="176"/>
      <c r="U985" s="176"/>
      <c r="V985" s="176"/>
      <c r="W985" s="176"/>
      <c r="X985" s="176"/>
      <c r="Y985" s="176"/>
      <c r="Z985" s="176"/>
      <c r="AA985" s="176"/>
      <c r="AB985" s="176"/>
      <c r="AC985" s="176"/>
      <c r="AD985" s="176"/>
      <c r="AE985" s="176"/>
      <c r="AF985" s="176"/>
      <c r="AG985" s="176"/>
      <c r="AH985" s="176"/>
      <c r="AI985" s="176"/>
      <c r="AJ985" s="176"/>
      <c r="AK985" s="176"/>
      <c r="AL985" s="176"/>
      <c r="AM985" s="176"/>
      <c r="AN985" s="176"/>
      <c r="AO985" s="176"/>
      <c r="AP985" s="176"/>
      <c r="AQ985" s="176"/>
      <c r="AR985" s="176"/>
      <c r="AS985" s="176"/>
      <c r="AT985" s="176"/>
      <c r="AU985" s="176"/>
      <c r="AV985" s="176"/>
      <c r="AW985" s="176"/>
      <c r="AX985" s="176"/>
      <c r="AY985" s="176"/>
      <c r="AZ985" s="176"/>
      <c r="BA985" s="176"/>
      <c r="BB985" s="176"/>
      <c r="BC985" s="176"/>
      <c r="BD985" s="176"/>
      <c r="BE985" s="176"/>
      <c r="BF985" s="176"/>
      <c r="BG985" s="176"/>
      <c r="BH985" s="176"/>
      <c r="BI985" s="176"/>
      <c r="BJ985" s="176"/>
    </row>
    <row r="986" spans="2:62" x14ac:dyDescent="0.3">
      <c r="B986" s="3"/>
      <c r="C986" s="2"/>
      <c r="D986" s="2"/>
      <c r="E986" s="3"/>
      <c r="O986" s="176"/>
      <c r="P986" s="176"/>
      <c r="Q986" s="176"/>
      <c r="R986" s="176"/>
      <c r="S986" s="176"/>
      <c r="T986" s="176"/>
      <c r="U986" s="176"/>
      <c r="V986" s="176"/>
      <c r="W986" s="176"/>
      <c r="X986" s="176"/>
      <c r="Y986" s="176"/>
      <c r="Z986" s="176"/>
      <c r="AA986" s="176"/>
      <c r="AB986" s="176"/>
      <c r="AC986" s="176"/>
      <c r="AD986" s="176"/>
      <c r="AE986" s="176"/>
      <c r="AF986" s="176"/>
      <c r="AG986" s="176"/>
      <c r="AH986" s="176"/>
      <c r="AI986" s="176"/>
      <c r="AJ986" s="176"/>
      <c r="AK986" s="176"/>
      <c r="AL986" s="176"/>
      <c r="AM986" s="176"/>
      <c r="AN986" s="176"/>
      <c r="AO986" s="176"/>
      <c r="AP986" s="176"/>
      <c r="AQ986" s="176"/>
      <c r="AR986" s="176"/>
      <c r="AS986" s="176"/>
      <c r="AT986" s="176"/>
      <c r="AU986" s="176"/>
      <c r="AV986" s="176"/>
      <c r="AW986" s="176"/>
      <c r="AX986" s="176"/>
      <c r="AY986" s="176"/>
      <c r="AZ986" s="176"/>
      <c r="BA986" s="176"/>
      <c r="BB986" s="176"/>
      <c r="BC986" s="176"/>
      <c r="BD986" s="176"/>
      <c r="BE986" s="176"/>
      <c r="BF986" s="176"/>
      <c r="BG986" s="176"/>
      <c r="BH986" s="176"/>
      <c r="BI986" s="176"/>
      <c r="BJ986" s="176"/>
    </row>
    <row r="987" spans="2:62" x14ac:dyDescent="0.3">
      <c r="B987" s="3"/>
      <c r="C987" s="2"/>
      <c r="D987" s="2"/>
      <c r="E987" s="3"/>
      <c r="O987" s="176"/>
      <c r="P987" s="176"/>
      <c r="Q987" s="176"/>
      <c r="R987" s="176"/>
      <c r="S987" s="176"/>
      <c r="T987" s="176"/>
      <c r="U987" s="176"/>
      <c r="V987" s="176"/>
      <c r="W987" s="176"/>
      <c r="X987" s="176"/>
      <c r="Y987" s="176"/>
      <c r="Z987" s="176"/>
      <c r="AA987" s="176"/>
      <c r="AB987" s="176"/>
      <c r="AC987" s="176"/>
      <c r="AD987" s="176"/>
      <c r="AE987" s="176"/>
      <c r="AF987" s="176"/>
      <c r="AG987" s="176"/>
      <c r="AH987" s="176"/>
      <c r="AI987" s="176"/>
      <c r="AJ987" s="176"/>
      <c r="AK987" s="176"/>
      <c r="AL987" s="176"/>
      <c r="AM987" s="176"/>
      <c r="AN987" s="176"/>
      <c r="AO987" s="176"/>
      <c r="AP987" s="176"/>
      <c r="AQ987" s="176"/>
      <c r="AR987" s="176"/>
      <c r="AS987" s="176"/>
      <c r="AT987" s="176"/>
      <c r="AU987" s="176"/>
      <c r="AV987" s="176"/>
      <c r="AW987" s="176"/>
      <c r="AX987" s="176"/>
      <c r="AY987" s="176"/>
      <c r="AZ987" s="176"/>
      <c r="BA987" s="176"/>
      <c r="BB987" s="176"/>
      <c r="BC987" s="176"/>
      <c r="BD987" s="176"/>
      <c r="BE987" s="176"/>
      <c r="BF987" s="176"/>
      <c r="BG987" s="176"/>
      <c r="BH987" s="176"/>
      <c r="BI987" s="176"/>
      <c r="BJ987" s="176"/>
    </row>
    <row r="988" spans="2:62" x14ac:dyDescent="0.3">
      <c r="B988" s="3"/>
      <c r="C988" s="2"/>
      <c r="D988" s="2"/>
      <c r="E988" s="3"/>
      <c r="O988" s="176"/>
      <c r="P988" s="176"/>
      <c r="Q988" s="176"/>
      <c r="R988" s="176"/>
      <c r="S988" s="176"/>
      <c r="T988" s="176"/>
      <c r="U988" s="176"/>
      <c r="V988" s="176"/>
      <c r="W988" s="176"/>
      <c r="X988" s="176"/>
      <c r="Y988" s="176"/>
      <c r="Z988" s="176"/>
      <c r="AA988" s="176"/>
      <c r="AB988" s="176"/>
      <c r="AC988" s="176"/>
      <c r="AD988" s="176"/>
      <c r="AE988" s="176"/>
      <c r="AF988" s="176"/>
      <c r="AG988" s="176"/>
      <c r="AH988" s="176"/>
      <c r="AI988" s="176"/>
      <c r="AJ988" s="176"/>
      <c r="AK988" s="176"/>
      <c r="AL988" s="176"/>
      <c r="AM988" s="176"/>
      <c r="AN988" s="176"/>
      <c r="AO988" s="176"/>
      <c r="AP988" s="176"/>
      <c r="AQ988" s="176"/>
      <c r="AR988" s="176"/>
      <c r="AS988" s="176"/>
      <c r="AT988" s="176"/>
      <c r="AU988" s="176"/>
      <c r="AV988" s="176"/>
      <c r="AW988" s="176"/>
      <c r="AX988" s="176"/>
      <c r="AY988" s="176"/>
      <c r="AZ988" s="176"/>
      <c r="BA988" s="176"/>
      <c r="BB988" s="176"/>
      <c r="BC988" s="176"/>
      <c r="BD988" s="176"/>
      <c r="BE988" s="176"/>
      <c r="BF988" s="176"/>
      <c r="BG988" s="176"/>
      <c r="BH988" s="176"/>
      <c r="BI988" s="176"/>
      <c r="BJ988" s="176"/>
    </row>
    <row r="989" spans="2:62" x14ac:dyDescent="0.3">
      <c r="B989" s="3"/>
      <c r="C989" s="2"/>
      <c r="D989" s="2"/>
      <c r="E989" s="3"/>
      <c r="O989" s="176"/>
      <c r="P989" s="176"/>
      <c r="Q989" s="176"/>
      <c r="R989" s="176"/>
      <c r="S989" s="176"/>
      <c r="T989" s="176"/>
      <c r="U989" s="176"/>
      <c r="V989" s="176"/>
      <c r="W989" s="176"/>
      <c r="X989" s="176"/>
      <c r="Y989" s="176"/>
      <c r="Z989" s="176"/>
      <c r="AA989" s="176"/>
      <c r="AB989" s="176"/>
      <c r="AC989" s="176"/>
      <c r="AD989" s="176"/>
      <c r="AE989" s="176"/>
      <c r="AF989" s="176"/>
      <c r="AG989" s="176"/>
      <c r="AH989" s="176"/>
      <c r="AI989" s="176"/>
      <c r="AJ989" s="176"/>
      <c r="AK989" s="176"/>
      <c r="AL989" s="176"/>
      <c r="AM989" s="176"/>
      <c r="AN989" s="176"/>
      <c r="AO989" s="176"/>
      <c r="AP989" s="176"/>
      <c r="AQ989" s="176"/>
      <c r="AR989" s="176"/>
      <c r="AS989" s="176"/>
      <c r="AT989" s="176"/>
      <c r="AU989" s="176"/>
      <c r="AV989" s="176"/>
      <c r="AW989" s="176"/>
      <c r="AX989" s="176"/>
      <c r="AY989" s="176"/>
      <c r="AZ989" s="176"/>
      <c r="BA989" s="176"/>
      <c r="BB989" s="176"/>
      <c r="BC989" s="176"/>
      <c r="BD989" s="176"/>
      <c r="BE989" s="176"/>
      <c r="BF989" s="176"/>
      <c r="BG989" s="176"/>
      <c r="BH989" s="176"/>
      <c r="BI989" s="176"/>
      <c r="BJ989" s="176"/>
    </row>
    <row r="990" spans="2:62" x14ac:dyDescent="0.3">
      <c r="B990" s="3"/>
      <c r="C990" s="2"/>
      <c r="D990" s="2"/>
      <c r="E990" s="3"/>
      <c r="O990" s="176"/>
      <c r="P990" s="176"/>
      <c r="Q990" s="176"/>
      <c r="R990" s="176"/>
      <c r="S990" s="176"/>
      <c r="T990" s="176"/>
      <c r="U990" s="176"/>
      <c r="V990" s="176"/>
      <c r="W990" s="176"/>
      <c r="X990" s="176"/>
      <c r="Y990" s="176"/>
      <c r="Z990" s="176"/>
      <c r="AA990" s="176"/>
      <c r="AB990" s="176"/>
      <c r="AC990" s="176"/>
      <c r="AD990" s="176"/>
      <c r="AE990" s="176"/>
      <c r="AF990" s="176"/>
      <c r="AG990" s="176"/>
      <c r="AH990" s="176"/>
      <c r="AI990" s="176"/>
      <c r="AJ990" s="176"/>
      <c r="AK990" s="176"/>
      <c r="AL990" s="176"/>
      <c r="AM990" s="176"/>
      <c r="AN990" s="176"/>
      <c r="AO990" s="176"/>
      <c r="AP990" s="176"/>
      <c r="AQ990" s="176"/>
      <c r="AR990" s="176"/>
      <c r="AS990" s="176"/>
      <c r="AT990" s="176"/>
      <c r="AU990" s="176"/>
      <c r="AV990" s="176"/>
      <c r="AW990" s="176"/>
      <c r="AX990" s="176"/>
      <c r="AY990" s="176"/>
      <c r="AZ990" s="176"/>
      <c r="BA990" s="176"/>
      <c r="BB990" s="176"/>
      <c r="BC990" s="176"/>
      <c r="BD990" s="176"/>
      <c r="BE990" s="176"/>
      <c r="BF990" s="176"/>
      <c r="BG990" s="176"/>
      <c r="BH990" s="176"/>
      <c r="BI990" s="176"/>
      <c r="BJ990" s="176"/>
    </row>
    <row r="991" spans="2:62" x14ac:dyDescent="0.3">
      <c r="B991" s="3"/>
      <c r="C991" s="2"/>
      <c r="D991" s="2"/>
      <c r="E991" s="3"/>
      <c r="O991" s="176"/>
      <c r="P991" s="176"/>
      <c r="Q991" s="176"/>
      <c r="R991" s="176"/>
      <c r="S991" s="176"/>
      <c r="T991" s="176"/>
      <c r="U991" s="176"/>
      <c r="V991" s="176"/>
      <c r="W991" s="176"/>
      <c r="X991" s="176"/>
      <c r="Y991" s="176"/>
      <c r="Z991" s="176"/>
      <c r="AA991" s="176"/>
      <c r="AB991" s="176"/>
      <c r="AC991" s="176"/>
      <c r="AD991" s="176"/>
      <c r="AE991" s="176"/>
      <c r="AF991" s="176"/>
      <c r="AG991" s="176"/>
      <c r="AH991" s="176"/>
      <c r="AI991" s="176"/>
      <c r="AJ991" s="176"/>
      <c r="AK991" s="176"/>
      <c r="AL991" s="176"/>
      <c r="AM991" s="176"/>
      <c r="AN991" s="176"/>
      <c r="AO991" s="176"/>
      <c r="AP991" s="176"/>
      <c r="AQ991" s="176"/>
      <c r="AR991" s="176"/>
      <c r="AS991" s="176"/>
      <c r="AT991" s="176"/>
      <c r="AU991" s="176"/>
      <c r="AV991" s="176"/>
      <c r="AW991" s="176"/>
      <c r="AX991" s="176"/>
      <c r="AY991" s="176"/>
      <c r="AZ991" s="176"/>
      <c r="BA991" s="176"/>
      <c r="BB991" s="176"/>
      <c r="BC991" s="176"/>
      <c r="BD991" s="176"/>
      <c r="BE991" s="176"/>
      <c r="BF991" s="176"/>
      <c r="BG991" s="176"/>
      <c r="BH991" s="176"/>
      <c r="BI991" s="176"/>
      <c r="BJ991" s="176"/>
    </row>
    <row r="992" spans="2:62" x14ac:dyDescent="0.3">
      <c r="B992" s="3"/>
      <c r="C992" s="2"/>
      <c r="D992" s="2"/>
      <c r="E992" s="3"/>
      <c r="O992" s="176"/>
      <c r="P992" s="176"/>
      <c r="Q992" s="176"/>
      <c r="R992" s="176"/>
      <c r="S992" s="176"/>
      <c r="T992" s="176"/>
      <c r="U992" s="176"/>
      <c r="V992" s="176"/>
      <c r="W992" s="176"/>
      <c r="X992" s="176"/>
      <c r="Y992" s="176"/>
      <c r="Z992" s="176"/>
      <c r="AA992" s="176"/>
      <c r="AB992" s="176"/>
      <c r="AC992" s="176"/>
      <c r="AD992" s="176"/>
      <c r="AE992" s="176"/>
      <c r="AF992" s="176"/>
      <c r="AG992" s="176"/>
      <c r="AH992" s="176"/>
      <c r="AI992" s="176"/>
      <c r="AJ992" s="176"/>
      <c r="AK992" s="176"/>
      <c r="AL992" s="176"/>
      <c r="AM992" s="176"/>
      <c r="AN992" s="176"/>
      <c r="AO992" s="176"/>
      <c r="AP992" s="176"/>
      <c r="AQ992" s="176"/>
      <c r="AR992" s="176"/>
      <c r="AS992" s="176"/>
      <c r="AT992" s="176"/>
      <c r="AU992" s="176"/>
      <c r="AV992" s="176"/>
      <c r="AW992" s="176"/>
      <c r="AX992" s="176"/>
      <c r="AY992" s="176"/>
      <c r="AZ992" s="176"/>
      <c r="BA992" s="176"/>
      <c r="BB992" s="176"/>
      <c r="BC992" s="176"/>
      <c r="BD992" s="176"/>
      <c r="BE992" s="176"/>
      <c r="BF992" s="176"/>
      <c r="BG992" s="176"/>
      <c r="BH992" s="176"/>
      <c r="BI992" s="176"/>
      <c r="BJ992" s="176"/>
    </row>
    <row r="993" spans="2:62" x14ac:dyDescent="0.3">
      <c r="B993" s="3"/>
      <c r="C993" s="2"/>
      <c r="D993" s="2"/>
      <c r="E993" s="3"/>
      <c r="O993" s="176"/>
      <c r="P993" s="176"/>
      <c r="Q993" s="176"/>
      <c r="R993" s="176"/>
      <c r="S993" s="176"/>
      <c r="T993" s="176"/>
      <c r="U993" s="176"/>
      <c r="V993" s="176"/>
      <c r="W993" s="176"/>
      <c r="X993" s="176"/>
      <c r="Y993" s="176"/>
      <c r="Z993" s="176"/>
      <c r="AA993" s="176"/>
      <c r="AB993" s="176"/>
      <c r="AC993" s="176"/>
      <c r="AD993" s="176"/>
      <c r="AE993" s="176"/>
      <c r="AF993" s="176"/>
      <c r="AG993" s="176"/>
      <c r="AH993" s="176"/>
      <c r="AI993" s="176"/>
      <c r="AJ993" s="176"/>
      <c r="AK993" s="176"/>
      <c r="AL993" s="176"/>
      <c r="AM993" s="176"/>
      <c r="AN993" s="176"/>
      <c r="AO993" s="176"/>
      <c r="AP993" s="176"/>
      <c r="AQ993" s="176"/>
      <c r="AR993" s="176"/>
      <c r="AS993" s="176"/>
      <c r="AT993" s="176"/>
      <c r="AU993" s="176"/>
      <c r="AV993" s="176"/>
      <c r="AW993" s="176"/>
      <c r="AX993" s="176"/>
      <c r="AY993" s="176"/>
      <c r="AZ993" s="176"/>
      <c r="BA993" s="176"/>
      <c r="BB993" s="176"/>
      <c r="BC993" s="176"/>
      <c r="BD993" s="176"/>
      <c r="BE993" s="176"/>
      <c r="BF993" s="176"/>
      <c r="BG993" s="176"/>
      <c r="BH993" s="176"/>
      <c r="BI993" s="176"/>
      <c r="BJ993" s="176"/>
    </row>
    <row r="994" spans="2:62" x14ac:dyDescent="0.3">
      <c r="B994" s="3"/>
      <c r="C994" s="2"/>
      <c r="D994" s="2"/>
      <c r="E994" s="3"/>
      <c r="O994" s="176"/>
      <c r="P994" s="176"/>
      <c r="Q994" s="176"/>
      <c r="R994" s="176"/>
      <c r="S994" s="176"/>
      <c r="T994" s="176"/>
      <c r="U994" s="176"/>
      <c r="V994" s="176"/>
      <c r="W994" s="176"/>
      <c r="X994" s="176"/>
      <c r="Y994" s="176"/>
      <c r="Z994" s="176"/>
      <c r="AA994" s="176"/>
      <c r="AB994" s="176"/>
      <c r="AC994" s="176"/>
      <c r="AD994" s="176"/>
      <c r="AE994" s="176"/>
      <c r="AF994" s="176"/>
      <c r="AG994" s="176"/>
      <c r="AH994" s="176"/>
      <c r="AI994" s="176"/>
      <c r="AJ994" s="176"/>
      <c r="AK994" s="176"/>
      <c r="AL994" s="176"/>
      <c r="AM994" s="176"/>
      <c r="AN994" s="176"/>
      <c r="AO994" s="176"/>
      <c r="AP994" s="176"/>
      <c r="AQ994" s="176"/>
      <c r="AR994" s="176"/>
      <c r="AS994" s="176"/>
      <c r="AT994" s="176"/>
      <c r="AU994" s="176"/>
      <c r="AV994" s="176"/>
      <c r="AW994" s="176"/>
      <c r="AX994" s="176"/>
      <c r="AY994" s="176"/>
      <c r="AZ994" s="176"/>
      <c r="BA994" s="176"/>
      <c r="BB994" s="176"/>
      <c r="BC994" s="176"/>
      <c r="BD994" s="176"/>
      <c r="BE994" s="176"/>
      <c r="BF994" s="176"/>
      <c r="BG994" s="176"/>
      <c r="BH994" s="176"/>
      <c r="BI994" s="176"/>
      <c r="BJ994" s="176"/>
    </row>
    <row r="995" spans="2:62" x14ac:dyDescent="0.3">
      <c r="B995" s="3"/>
      <c r="C995" s="2"/>
      <c r="D995" s="2"/>
      <c r="E995" s="3"/>
      <c r="O995" s="176"/>
      <c r="P995" s="176"/>
      <c r="Q995" s="176"/>
      <c r="R995" s="176"/>
      <c r="S995" s="176"/>
      <c r="T995" s="176"/>
      <c r="U995" s="176"/>
      <c r="V995" s="176"/>
      <c r="W995" s="176"/>
      <c r="X995" s="176"/>
      <c r="Y995" s="176"/>
      <c r="Z995" s="176"/>
      <c r="AA995" s="176"/>
      <c r="AB995" s="176"/>
      <c r="AC995" s="176"/>
      <c r="AD995" s="176"/>
      <c r="AE995" s="176"/>
      <c r="AF995" s="176"/>
      <c r="AG995" s="176"/>
      <c r="AH995" s="176"/>
      <c r="AI995" s="176"/>
      <c r="AJ995" s="176"/>
      <c r="AK995" s="176"/>
      <c r="AL995" s="176"/>
      <c r="AM995" s="176"/>
      <c r="AN995" s="176"/>
      <c r="AO995" s="176"/>
      <c r="AP995" s="176"/>
      <c r="AQ995" s="176"/>
      <c r="AR995" s="176"/>
      <c r="AS995" s="176"/>
      <c r="AT995" s="176"/>
      <c r="AU995" s="176"/>
      <c r="AV995" s="176"/>
      <c r="AW995" s="176"/>
      <c r="AX995" s="176"/>
      <c r="AY995" s="176"/>
      <c r="AZ995" s="176"/>
      <c r="BA995" s="176"/>
      <c r="BB995" s="176"/>
      <c r="BC995" s="176"/>
      <c r="BD995" s="176"/>
      <c r="BE995" s="176"/>
      <c r="BF995" s="176"/>
      <c r="BG995" s="176"/>
      <c r="BH995" s="176"/>
      <c r="BI995" s="176"/>
      <c r="BJ995" s="176"/>
    </row>
    <row r="996" spans="2:62" x14ac:dyDescent="0.3">
      <c r="B996" s="3"/>
      <c r="C996" s="2"/>
      <c r="D996" s="2"/>
      <c r="E996" s="3"/>
      <c r="O996" s="176"/>
      <c r="P996" s="176"/>
      <c r="Q996" s="176"/>
      <c r="R996" s="176"/>
      <c r="S996" s="176"/>
      <c r="T996" s="176"/>
      <c r="U996" s="176"/>
      <c r="V996" s="176"/>
      <c r="W996" s="176"/>
      <c r="X996" s="176"/>
      <c r="Y996" s="176"/>
      <c r="Z996" s="176"/>
      <c r="AA996" s="176"/>
      <c r="AB996" s="176"/>
      <c r="AC996" s="176"/>
      <c r="AD996" s="176"/>
      <c r="AE996" s="176"/>
      <c r="AF996" s="176"/>
      <c r="AG996" s="176"/>
      <c r="AH996" s="176"/>
      <c r="AI996" s="176"/>
      <c r="AJ996" s="176"/>
      <c r="AK996" s="176"/>
      <c r="AL996" s="176"/>
      <c r="AM996" s="176"/>
      <c r="AN996" s="176"/>
      <c r="AO996" s="176"/>
      <c r="AP996" s="176"/>
      <c r="AQ996" s="176"/>
      <c r="AR996" s="176"/>
      <c r="AS996" s="176"/>
      <c r="AT996" s="176"/>
      <c r="AU996" s="176"/>
      <c r="AV996" s="176"/>
      <c r="AW996" s="176"/>
      <c r="AX996" s="176"/>
      <c r="AY996" s="176"/>
      <c r="AZ996" s="176"/>
      <c r="BA996" s="176"/>
      <c r="BB996" s="176"/>
      <c r="BC996" s="176"/>
      <c r="BD996" s="176"/>
      <c r="BE996" s="176"/>
      <c r="BF996" s="176"/>
      <c r="BG996" s="176"/>
      <c r="BH996" s="176"/>
      <c r="BI996" s="176"/>
      <c r="BJ996" s="176"/>
    </row>
    <row r="997" spans="2:62" x14ac:dyDescent="0.3">
      <c r="B997" s="3"/>
      <c r="C997" s="2"/>
      <c r="D997" s="2"/>
      <c r="E997" s="3"/>
      <c r="O997" s="176"/>
      <c r="P997" s="176"/>
      <c r="Q997" s="176"/>
      <c r="R997" s="176"/>
      <c r="S997" s="176"/>
      <c r="T997" s="176"/>
      <c r="U997" s="176"/>
      <c r="V997" s="176"/>
      <c r="W997" s="176"/>
      <c r="X997" s="176"/>
      <c r="Y997" s="176"/>
      <c r="Z997" s="176"/>
      <c r="AA997" s="176"/>
      <c r="AB997" s="176"/>
      <c r="AC997" s="176"/>
      <c r="AD997" s="176"/>
      <c r="AE997" s="176"/>
      <c r="AF997" s="176"/>
      <c r="AG997" s="176"/>
      <c r="AH997" s="176"/>
      <c r="AI997" s="176"/>
      <c r="AJ997" s="176"/>
      <c r="AK997" s="176"/>
      <c r="AL997" s="176"/>
      <c r="AM997" s="176"/>
      <c r="AN997" s="176"/>
      <c r="AO997" s="176"/>
      <c r="AP997" s="176"/>
      <c r="AQ997" s="176"/>
      <c r="AR997" s="176"/>
      <c r="AS997" s="176"/>
      <c r="AT997" s="176"/>
      <c r="AU997" s="176"/>
      <c r="AV997" s="176"/>
      <c r="AW997" s="176"/>
      <c r="AX997" s="176"/>
      <c r="AY997" s="176"/>
      <c r="AZ997" s="176"/>
      <c r="BA997" s="176"/>
      <c r="BB997" s="176"/>
      <c r="BC997" s="176"/>
      <c r="BD997" s="176"/>
      <c r="BE997" s="176"/>
      <c r="BF997" s="176"/>
      <c r="BG997" s="176"/>
      <c r="BH997" s="176"/>
      <c r="BI997" s="176"/>
      <c r="BJ997" s="176"/>
    </row>
    <row r="998" spans="2:62" x14ac:dyDescent="0.3">
      <c r="B998" s="3"/>
      <c r="C998" s="2"/>
      <c r="D998" s="2"/>
      <c r="E998" s="3"/>
      <c r="O998" s="176"/>
      <c r="P998" s="176"/>
      <c r="Q998" s="176"/>
      <c r="R998" s="176"/>
      <c r="S998" s="176"/>
      <c r="T998" s="176"/>
      <c r="U998" s="176"/>
      <c r="V998" s="176"/>
      <c r="W998" s="176"/>
      <c r="X998" s="176"/>
      <c r="Y998" s="176"/>
      <c r="Z998" s="176"/>
      <c r="AA998" s="176"/>
      <c r="AB998" s="176"/>
      <c r="AC998" s="176"/>
      <c r="AD998" s="176"/>
      <c r="AE998" s="176"/>
      <c r="AF998" s="176"/>
      <c r="AG998" s="176"/>
      <c r="AH998" s="176"/>
      <c r="AI998" s="176"/>
      <c r="AJ998" s="176"/>
      <c r="AK998" s="176"/>
      <c r="AL998" s="176"/>
      <c r="AM998" s="176"/>
      <c r="AN998" s="176"/>
      <c r="AO998" s="176"/>
      <c r="AP998" s="176"/>
      <c r="AQ998" s="176"/>
      <c r="AR998" s="176"/>
      <c r="AS998" s="176"/>
      <c r="AT998" s="176"/>
      <c r="AU998" s="176"/>
      <c r="AV998" s="176"/>
      <c r="AW998" s="176"/>
      <c r="AX998" s="176"/>
      <c r="AY998" s="176"/>
      <c r="AZ998" s="176"/>
      <c r="BA998" s="176"/>
      <c r="BB998" s="176"/>
      <c r="BC998" s="176"/>
      <c r="BD998" s="176"/>
      <c r="BE998" s="176"/>
      <c r="BF998" s="176"/>
      <c r="BG998" s="176"/>
      <c r="BH998" s="176"/>
      <c r="BI998" s="176"/>
      <c r="BJ998" s="176"/>
    </row>
    <row r="999" spans="2:62" x14ac:dyDescent="0.3">
      <c r="B999" s="3"/>
      <c r="C999" s="2"/>
      <c r="D999" s="2"/>
      <c r="E999" s="3"/>
      <c r="O999" s="176"/>
      <c r="P999" s="176"/>
      <c r="Q999" s="176"/>
      <c r="R999" s="176"/>
      <c r="S999" s="176"/>
      <c r="T999" s="176"/>
      <c r="U999" s="176"/>
      <c r="V999" s="176"/>
      <c r="W999" s="176"/>
      <c r="X999" s="176"/>
      <c r="Y999" s="176"/>
      <c r="Z999" s="176"/>
      <c r="AA999" s="176"/>
      <c r="AB999" s="176"/>
      <c r="AC999" s="176"/>
      <c r="AD999" s="176"/>
      <c r="AE999" s="176"/>
      <c r="AF999" s="176"/>
      <c r="AG999" s="176"/>
      <c r="AH999" s="176"/>
      <c r="AI999" s="176"/>
      <c r="AJ999" s="176"/>
      <c r="AK999" s="176"/>
      <c r="AL999" s="176"/>
      <c r="AM999" s="176"/>
      <c r="AN999" s="176"/>
      <c r="AO999" s="176"/>
      <c r="AP999" s="176"/>
      <c r="AQ999" s="176"/>
      <c r="AR999" s="176"/>
      <c r="AS999" s="176"/>
      <c r="AT999" s="176"/>
      <c r="AU999" s="176"/>
      <c r="AV999" s="176"/>
      <c r="AW999" s="176"/>
      <c r="AX999" s="176"/>
      <c r="AY999" s="176"/>
      <c r="AZ999" s="176"/>
      <c r="BA999" s="176"/>
      <c r="BB999" s="176"/>
      <c r="BC999" s="176"/>
      <c r="BD999" s="176"/>
      <c r="BE999" s="176"/>
      <c r="BF999" s="176"/>
      <c r="BG999" s="176"/>
      <c r="BH999" s="176"/>
      <c r="BI999" s="176"/>
      <c r="BJ999" s="176"/>
    </row>
    <row r="1000" spans="2:62" x14ac:dyDescent="0.3">
      <c r="B1000" s="3"/>
      <c r="C1000" s="2"/>
      <c r="D1000" s="2"/>
      <c r="E1000" s="3"/>
      <c r="O1000" s="176"/>
      <c r="P1000" s="176"/>
      <c r="Q1000" s="176"/>
      <c r="R1000" s="176"/>
      <c r="S1000" s="176"/>
      <c r="T1000" s="176"/>
      <c r="U1000" s="176"/>
      <c r="V1000" s="176"/>
      <c r="W1000" s="176"/>
      <c r="X1000" s="176"/>
      <c r="Y1000" s="176"/>
      <c r="Z1000" s="176"/>
      <c r="AA1000" s="176"/>
      <c r="AB1000" s="176"/>
      <c r="AC1000" s="176"/>
      <c r="AD1000" s="176"/>
      <c r="AE1000" s="176"/>
      <c r="AF1000" s="176"/>
      <c r="AG1000" s="176"/>
      <c r="AH1000" s="176"/>
      <c r="AI1000" s="176"/>
      <c r="AJ1000" s="176"/>
      <c r="AK1000" s="176"/>
      <c r="AL1000" s="176"/>
      <c r="AM1000" s="176"/>
      <c r="AN1000" s="176"/>
      <c r="AO1000" s="176"/>
      <c r="AP1000" s="176"/>
      <c r="AQ1000" s="176"/>
      <c r="AR1000" s="176"/>
      <c r="AS1000" s="176"/>
      <c r="AT1000" s="176"/>
      <c r="AU1000" s="176"/>
      <c r="AV1000" s="176"/>
      <c r="AW1000" s="176"/>
      <c r="AX1000" s="176"/>
      <c r="AY1000" s="176"/>
      <c r="AZ1000" s="176"/>
      <c r="BA1000" s="176"/>
      <c r="BB1000" s="176"/>
      <c r="BC1000" s="176"/>
      <c r="BD1000" s="176"/>
      <c r="BE1000" s="176"/>
      <c r="BF1000" s="176"/>
      <c r="BG1000" s="176"/>
      <c r="BH1000" s="176"/>
      <c r="BI1000" s="176"/>
      <c r="BJ1000" s="176"/>
    </row>
    <row r="1001" spans="2:62" x14ac:dyDescent="0.3">
      <c r="B1001" s="3"/>
      <c r="C1001" s="2"/>
      <c r="D1001" s="2"/>
      <c r="E1001" s="3"/>
      <c r="O1001" s="176"/>
      <c r="P1001" s="176"/>
      <c r="Q1001" s="176"/>
      <c r="R1001" s="176"/>
      <c r="S1001" s="176"/>
      <c r="T1001" s="176"/>
      <c r="U1001" s="176"/>
      <c r="V1001" s="176"/>
      <c r="W1001" s="176"/>
      <c r="X1001" s="176"/>
      <c r="Y1001" s="176"/>
      <c r="Z1001" s="176"/>
      <c r="AA1001" s="176"/>
      <c r="AB1001" s="176"/>
      <c r="AC1001" s="176"/>
      <c r="AD1001" s="176"/>
      <c r="AE1001" s="176"/>
      <c r="AF1001" s="176"/>
      <c r="AG1001" s="176"/>
      <c r="AH1001" s="176"/>
      <c r="AI1001" s="176"/>
      <c r="AJ1001" s="176"/>
      <c r="AK1001" s="176"/>
      <c r="AL1001" s="176"/>
      <c r="AM1001" s="176"/>
      <c r="AN1001" s="176"/>
      <c r="AO1001" s="176"/>
      <c r="AP1001" s="176"/>
      <c r="AQ1001" s="176"/>
      <c r="AR1001" s="176"/>
      <c r="AS1001" s="176"/>
      <c r="AT1001" s="176"/>
      <c r="AU1001" s="176"/>
      <c r="AV1001" s="176"/>
      <c r="AW1001" s="176"/>
      <c r="AX1001" s="176"/>
      <c r="AY1001" s="176"/>
      <c r="AZ1001" s="176"/>
      <c r="BA1001" s="176"/>
      <c r="BB1001" s="176"/>
      <c r="BC1001" s="176"/>
      <c r="BD1001" s="176"/>
      <c r="BE1001" s="176"/>
      <c r="BF1001" s="176"/>
      <c r="BG1001" s="176"/>
      <c r="BH1001" s="176"/>
      <c r="BI1001" s="176"/>
      <c r="BJ1001" s="176"/>
    </row>
    <row r="1002" spans="2:62" x14ac:dyDescent="0.3">
      <c r="B1002" s="3"/>
      <c r="C1002" s="2"/>
      <c r="D1002" s="2"/>
      <c r="E1002" s="3"/>
      <c r="O1002" s="176"/>
      <c r="P1002" s="176"/>
      <c r="Q1002" s="176"/>
      <c r="R1002" s="176"/>
      <c r="S1002" s="176"/>
      <c r="T1002" s="176"/>
      <c r="U1002" s="176"/>
      <c r="V1002" s="176"/>
      <c r="W1002" s="176"/>
      <c r="X1002" s="176"/>
      <c r="Y1002" s="176"/>
      <c r="Z1002" s="176"/>
      <c r="AA1002" s="176"/>
      <c r="AB1002" s="176"/>
      <c r="AC1002" s="176"/>
      <c r="AD1002" s="176"/>
      <c r="AE1002" s="176"/>
      <c r="AF1002" s="176"/>
      <c r="AG1002" s="176"/>
      <c r="AH1002" s="176"/>
      <c r="AI1002" s="176"/>
      <c r="AJ1002" s="176"/>
      <c r="AK1002" s="176"/>
      <c r="AL1002" s="176"/>
      <c r="AM1002" s="176"/>
      <c r="AN1002" s="176"/>
      <c r="AO1002" s="176"/>
      <c r="AP1002" s="176"/>
      <c r="AQ1002" s="176"/>
      <c r="AR1002" s="176"/>
      <c r="AS1002" s="176"/>
      <c r="AT1002" s="176"/>
      <c r="AU1002" s="176"/>
      <c r="AV1002" s="176"/>
      <c r="AW1002" s="176"/>
      <c r="AX1002" s="176"/>
      <c r="AY1002" s="176"/>
      <c r="AZ1002" s="176"/>
      <c r="BA1002" s="176"/>
      <c r="BB1002" s="176"/>
      <c r="BC1002" s="176"/>
      <c r="BD1002" s="176"/>
      <c r="BE1002" s="176"/>
      <c r="BF1002" s="176"/>
      <c r="BG1002" s="176"/>
      <c r="BH1002" s="176"/>
      <c r="BI1002" s="176"/>
      <c r="BJ1002" s="176"/>
    </row>
    <row r="1003" spans="2:62" x14ac:dyDescent="0.3">
      <c r="B1003" s="3"/>
      <c r="C1003" s="2"/>
      <c r="D1003" s="2"/>
      <c r="E1003" s="3"/>
      <c r="O1003" s="176"/>
      <c r="P1003" s="176"/>
      <c r="Q1003" s="176"/>
      <c r="R1003" s="176"/>
      <c r="S1003" s="176"/>
      <c r="T1003" s="176"/>
      <c r="U1003" s="176"/>
      <c r="V1003" s="176"/>
      <c r="W1003" s="176"/>
      <c r="X1003" s="176"/>
      <c r="Y1003" s="176"/>
      <c r="Z1003" s="176"/>
      <c r="AA1003" s="176"/>
      <c r="AB1003" s="176"/>
      <c r="AC1003" s="176"/>
      <c r="AD1003" s="176"/>
      <c r="AE1003" s="176"/>
      <c r="AF1003" s="176"/>
      <c r="AG1003" s="176"/>
      <c r="AH1003" s="176"/>
      <c r="AI1003" s="176"/>
      <c r="AJ1003" s="176"/>
      <c r="AK1003" s="176"/>
      <c r="AL1003" s="176"/>
      <c r="AM1003" s="176"/>
      <c r="AN1003" s="176"/>
      <c r="AO1003" s="176"/>
      <c r="AP1003" s="176"/>
      <c r="AQ1003" s="176"/>
      <c r="AR1003" s="176"/>
      <c r="AS1003" s="176"/>
      <c r="AT1003" s="176"/>
      <c r="AU1003" s="176"/>
      <c r="AV1003" s="176"/>
      <c r="AW1003" s="176"/>
      <c r="AX1003" s="176"/>
      <c r="AY1003" s="176"/>
      <c r="AZ1003" s="176"/>
      <c r="BA1003" s="176"/>
      <c r="BB1003" s="176"/>
      <c r="BC1003" s="176"/>
      <c r="BD1003" s="176"/>
      <c r="BE1003" s="176"/>
      <c r="BF1003" s="176"/>
      <c r="BG1003" s="176"/>
      <c r="BH1003" s="176"/>
      <c r="BI1003" s="176"/>
      <c r="BJ1003" s="176"/>
    </row>
    <row r="1004" spans="2:62" x14ac:dyDescent="0.3">
      <c r="B1004" s="3"/>
      <c r="C1004" s="2"/>
      <c r="D1004" s="2"/>
      <c r="E1004" s="3"/>
      <c r="O1004" s="176"/>
      <c r="P1004" s="176"/>
      <c r="Q1004" s="176"/>
      <c r="R1004" s="176"/>
      <c r="S1004" s="176"/>
      <c r="T1004" s="176"/>
      <c r="U1004" s="176"/>
      <c r="V1004" s="176"/>
      <c r="W1004" s="176"/>
      <c r="X1004" s="176"/>
      <c r="Y1004" s="176"/>
      <c r="Z1004" s="176"/>
      <c r="AA1004" s="176"/>
      <c r="AB1004" s="176"/>
      <c r="AC1004" s="176"/>
      <c r="AD1004" s="176"/>
      <c r="AE1004" s="176"/>
      <c r="AF1004" s="176"/>
      <c r="AG1004" s="176"/>
      <c r="AH1004" s="176"/>
      <c r="AI1004" s="176"/>
      <c r="AJ1004" s="176"/>
      <c r="AK1004" s="176"/>
      <c r="AL1004" s="176"/>
      <c r="AM1004" s="176"/>
      <c r="AN1004" s="176"/>
      <c r="AO1004" s="176"/>
      <c r="AP1004" s="176"/>
      <c r="AQ1004" s="176"/>
      <c r="AR1004" s="176"/>
      <c r="AS1004" s="176"/>
      <c r="AT1004" s="176"/>
      <c r="AU1004" s="176"/>
      <c r="AV1004" s="176"/>
      <c r="AW1004" s="176"/>
      <c r="AX1004" s="176"/>
      <c r="AY1004" s="176"/>
      <c r="AZ1004" s="176"/>
      <c r="BA1004" s="176"/>
      <c r="BB1004" s="176"/>
      <c r="BC1004" s="176"/>
      <c r="BD1004" s="176"/>
      <c r="BE1004" s="176"/>
      <c r="BF1004" s="176"/>
      <c r="BG1004" s="176"/>
      <c r="BH1004" s="176"/>
      <c r="BI1004" s="176"/>
      <c r="BJ1004" s="176"/>
    </row>
    <row r="1005" spans="2:62" x14ac:dyDescent="0.3">
      <c r="B1005" s="3"/>
      <c r="C1005" s="2"/>
      <c r="D1005" s="2"/>
      <c r="E1005" s="3"/>
      <c r="O1005" s="176"/>
      <c r="P1005" s="176"/>
      <c r="Q1005" s="176"/>
      <c r="R1005" s="176"/>
      <c r="S1005" s="176"/>
      <c r="T1005" s="176"/>
      <c r="U1005" s="176"/>
      <c r="V1005" s="176"/>
      <c r="W1005" s="176"/>
      <c r="X1005" s="176"/>
      <c r="Y1005" s="176"/>
      <c r="Z1005" s="176"/>
      <c r="AA1005" s="176"/>
      <c r="AB1005" s="176"/>
      <c r="AC1005" s="176"/>
      <c r="AD1005" s="176"/>
      <c r="AE1005" s="176"/>
      <c r="AF1005" s="176"/>
      <c r="AG1005" s="176"/>
      <c r="AH1005" s="176"/>
      <c r="AI1005" s="176"/>
      <c r="AJ1005" s="176"/>
      <c r="AK1005" s="176"/>
      <c r="AL1005" s="176"/>
      <c r="AM1005" s="176"/>
      <c r="AN1005" s="176"/>
      <c r="AO1005" s="176"/>
      <c r="AP1005" s="176"/>
      <c r="AQ1005" s="176"/>
      <c r="AR1005" s="176"/>
      <c r="AS1005" s="176"/>
      <c r="AT1005" s="176"/>
      <c r="AU1005" s="176"/>
      <c r="AV1005" s="176"/>
      <c r="AW1005" s="176"/>
      <c r="AX1005" s="176"/>
      <c r="AY1005" s="176"/>
      <c r="AZ1005" s="176"/>
      <c r="BA1005" s="176"/>
      <c r="BB1005" s="176"/>
      <c r="BC1005" s="176"/>
      <c r="BD1005" s="176"/>
      <c r="BE1005" s="176"/>
      <c r="BF1005" s="176"/>
      <c r="BG1005" s="176"/>
      <c r="BH1005" s="176"/>
      <c r="BI1005" s="176"/>
      <c r="BJ1005" s="176"/>
    </row>
    <row r="1006" spans="2:62" x14ac:dyDescent="0.3">
      <c r="B1006" s="3"/>
      <c r="C1006" s="2"/>
      <c r="D1006" s="2"/>
      <c r="E1006" s="3"/>
      <c r="O1006" s="176"/>
      <c r="P1006" s="176"/>
      <c r="Q1006" s="176"/>
      <c r="R1006" s="176"/>
      <c r="S1006" s="176"/>
      <c r="T1006" s="176"/>
      <c r="U1006" s="176"/>
      <c r="V1006" s="176"/>
      <c r="W1006" s="176"/>
      <c r="X1006" s="176"/>
      <c r="Y1006" s="176"/>
      <c r="Z1006" s="176"/>
      <c r="AA1006" s="176"/>
      <c r="AB1006" s="176"/>
      <c r="AC1006" s="176"/>
      <c r="AD1006" s="176"/>
      <c r="AE1006" s="176"/>
      <c r="AF1006" s="176"/>
      <c r="AG1006" s="176"/>
      <c r="AH1006" s="176"/>
      <c r="AI1006" s="176"/>
      <c r="AJ1006" s="176"/>
      <c r="AK1006" s="176"/>
      <c r="AL1006" s="176"/>
      <c r="AM1006" s="176"/>
      <c r="AN1006" s="176"/>
      <c r="AO1006" s="176"/>
      <c r="AP1006" s="176"/>
      <c r="AQ1006" s="176"/>
      <c r="AR1006" s="176"/>
      <c r="AS1006" s="176"/>
      <c r="AT1006" s="176"/>
      <c r="AU1006" s="176"/>
      <c r="AV1006" s="176"/>
      <c r="AW1006" s="176"/>
      <c r="AX1006" s="176"/>
      <c r="AY1006" s="176"/>
      <c r="AZ1006" s="176"/>
      <c r="BA1006" s="176"/>
      <c r="BB1006" s="176"/>
      <c r="BC1006" s="176"/>
      <c r="BD1006" s="176"/>
      <c r="BE1006" s="176"/>
      <c r="BF1006" s="176"/>
      <c r="BG1006" s="176"/>
      <c r="BH1006" s="176"/>
      <c r="BI1006" s="176"/>
      <c r="BJ1006" s="176"/>
    </row>
    <row r="1007" spans="2:62" x14ac:dyDescent="0.3">
      <c r="B1007" s="3"/>
      <c r="C1007" s="2"/>
      <c r="D1007" s="2"/>
      <c r="E1007" s="3"/>
      <c r="O1007" s="176"/>
      <c r="P1007" s="176"/>
      <c r="Q1007" s="176"/>
      <c r="R1007" s="176"/>
      <c r="S1007" s="176"/>
      <c r="T1007" s="176"/>
      <c r="U1007" s="176"/>
      <c r="V1007" s="176"/>
      <c r="W1007" s="176"/>
      <c r="X1007" s="176"/>
      <c r="Y1007" s="176"/>
      <c r="Z1007" s="176"/>
      <c r="AA1007" s="176"/>
      <c r="AB1007" s="176"/>
      <c r="AC1007" s="176"/>
      <c r="AD1007" s="176"/>
      <c r="AE1007" s="176"/>
      <c r="AF1007" s="176"/>
      <c r="AG1007" s="176"/>
      <c r="AH1007" s="176"/>
      <c r="AI1007" s="176"/>
      <c r="AJ1007" s="176"/>
      <c r="AK1007" s="176"/>
      <c r="AL1007" s="176"/>
      <c r="AM1007" s="176"/>
      <c r="AN1007" s="176"/>
      <c r="AO1007" s="176"/>
      <c r="AP1007" s="176"/>
      <c r="AQ1007" s="176"/>
      <c r="AR1007" s="176"/>
      <c r="AS1007" s="176"/>
      <c r="AT1007" s="176"/>
      <c r="AU1007" s="176"/>
      <c r="AV1007" s="176"/>
      <c r="AW1007" s="176"/>
      <c r="AX1007" s="176"/>
      <c r="AY1007" s="176"/>
      <c r="AZ1007" s="176"/>
      <c r="BA1007" s="176"/>
      <c r="BB1007" s="176"/>
      <c r="BC1007" s="176"/>
      <c r="BD1007" s="176"/>
      <c r="BE1007" s="176"/>
      <c r="BF1007" s="176"/>
      <c r="BG1007" s="176"/>
      <c r="BH1007" s="176"/>
      <c r="BI1007" s="176"/>
      <c r="BJ1007" s="176"/>
    </row>
    <row r="1008" spans="2:62" x14ac:dyDescent="0.3">
      <c r="B1008" s="3"/>
      <c r="C1008" s="2"/>
      <c r="D1008" s="2"/>
      <c r="E1008" s="3"/>
      <c r="O1008" s="176"/>
      <c r="P1008" s="176"/>
      <c r="Q1008" s="176"/>
      <c r="R1008" s="176"/>
      <c r="S1008" s="176"/>
      <c r="T1008" s="176"/>
      <c r="U1008" s="176"/>
      <c r="V1008" s="176"/>
      <c r="W1008" s="176"/>
      <c r="X1008" s="176"/>
      <c r="Y1008" s="176"/>
      <c r="Z1008" s="176"/>
      <c r="AA1008" s="176"/>
      <c r="AB1008" s="176"/>
      <c r="AC1008" s="176"/>
      <c r="AD1008" s="176"/>
      <c r="AE1008" s="176"/>
      <c r="AF1008" s="176"/>
      <c r="AG1008" s="176"/>
      <c r="AH1008" s="176"/>
      <c r="AI1008" s="176"/>
      <c r="AJ1008" s="176"/>
      <c r="AK1008" s="176"/>
      <c r="AL1008" s="176"/>
      <c r="AM1008" s="176"/>
      <c r="AN1008" s="176"/>
      <c r="AO1008" s="176"/>
      <c r="AP1008" s="176"/>
      <c r="AQ1008" s="176"/>
      <c r="AR1008" s="176"/>
      <c r="AS1008" s="176"/>
      <c r="AT1008" s="176"/>
      <c r="AU1008" s="176"/>
      <c r="AV1008" s="176"/>
      <c r="AW1008" s="176"/>
      <c r="AX1008" s="176"/>
      <c r="AY1008" s="176"/>
      <c r="AZ1008" s="176"/>
      <c r="BA1008" s="176"/>
      <c r="BB1008" s="176"/>
      <c r="BC1008" s="176"/>
      <c r="BD1008" s="176"/>
      <c r="BE1008" s="176"/>
      <c r="BF1008" s="176"/>
      <c r="BG1008" s="176"/>
      <c r="BH1008" s="176"/>
      <c r="BI1008" s="176"/>
      <c r="BJ1008" s="176"/>
    </row>
    <row r="1009" spans="2:62" x14ac:dyDescent="0.3">
      <c r="B1009" s="3"/>
      <c r="C1009" s="2"/>
      <c r="D1009" s="2"/>
      <c r="E1009" s="3"/>
      <c r="O1009" s="176"/>
      <c r="P1009" s="176"/>
      <c r="Q1009" s="176"/>
      <c r="R1009" s="176"/>
      <c r="S1009" s="176"/>
      <c r="T1009" s="176"/>
      <c r="U1009" s="176"/>
      <c r="V1009" s="176"/>
      <c r="W1009" s="176"/>
      <c r="X1009" s="176"/>
      <c r="Y1009" s="176"/>
      <c r="Z1009" s="176"/>
      <c r="AA1009" s="176"/>
      <c r="AB1009" s="176"/>
      <c r="AC1009" s="176"/>
      <c r="AD1009" s="176"/>
      <c r="AE1009" s="176"/>
      <c r="AF1009" s="176"/>
      <c r="AG1009" s="176"/>
      <c r="AH1009" s="176"/>
      <c r="AI1009" s="176"/>
      <c r="AJ1009" s="176"/>
      <c r="AK1009" s="176"/>
      <c r="AL1009" s="176"/>
      <c r="AM1009" s="176"/>
      <c r="AN1009" s="176"/>
      <c r="AO1009" s="176"/>
      <c r="AP1009" s="176"/>
      <c r="AQ1009" s="176"/>
      <c r="AR1009" s="176"/>
      <c r="AS1009" s="176"/>
      <c r="AT1009" s="176"/>
      <c r="AU1009" s="176"/>
      <c r="AV1009" s="176"/>
      <c r="AW1009" s="176"/>
      <c r="AX1009" s="176"/>
      <c r="AY1009" s="176"/>
      <c r="AZ1009" s="176"/>
      <c r="BA1009" s="176"/>
      <c r="BB1009" s="176"/>
      <c r="BC1009" s="176"/>
      <c r="BD1009" s="176"/>
      <c r="BE1009" s="176"/>
      <c r="BF1009" s="176"/>
      <c r="BG1009" s="176"/>
      <c r="BH1009" s="176"/>
      <c r="BI1009" s="176"/>
      <c r="BJ1009" s="176"/>
    </row>
    <row r="1010" spans="2:62" x14ac:dyDescent="0.3">
      <c r="B1010" s="3"/>
      <c r="C1010" s="2"/>
      <c r="D1010" s="2"/>
      <c r="E1010" s="3"/>
      <c r="O1010" s="176"/>
      <c r="P1010" s="176"/>
      <c r="Q1010" s="176"/>
      <c r="R1010" s="176"/>
      <c r="S1010" s="176"/>
      <c r="T1010" s="176"/>
      <c r="U1010" s="176"/>
      <c r="V1010" s="176"/>
      <c r="W1010" s="176"/>
      <c r="X1010" s="176"/>
      <c r="Y1010" s="176"/>
      <c r="Z1010" s="176"/>
      <c r="AA1010" s="176"/>
      <c r="AB1010" s="176"/>
      <c r="AC1010" s="176"/>
      <c r="AD1010" s="176"/>
      <c r="AE1010" s="176"/>
      <c r="AF1010" s="176"/>
      <c r="AG1010" s="176"/>
      <c r="AH1010" s="176"/>
      <c r="AI1010" s="176"/>
      <c r="AJ1010" s="176"/>
      <c r="AK1010" s="176"/>
      <c r="AL1010" s="176"/>
      <c r="AM1010" s="176"/>
      <c r="AN1010" s="176"/>
      <c r="AO1010" s="176"/>
      <c r="AP1010" s="176"/>
      <c r="AQ1010" s="176"/>
      <c r="AR1010" s="176"/>
      <c r="AS1010" s="176"/>
      <c r="AT1010" s="176"/>
      <c r="AU1010" s="176"/>
      <c r="AV1010" s="176"/>
      <c r="AW1010" s="176"/>
      <c r="AX1010" s="176"/>
      <c r="AY1010" s="176"/>
      <c r="AZ1010" s="176"/>
      <c r="BA1010" s="176"/>
      <c r="BB1010" s="176"/>
      <c r="BC1010" s="176"/>
      <c r="BD1010" s="176"/>
      <c r="BE1010" s="176"/>
      <c r="BF1010" s="176"/>
      <c r="BG1010" s="176"/>
      <c r="BH1010" s="176"/>
      <c r="BI1010" s="176"/>
      <c r="BJ1010" s="176"/>
    </row>
    <row r="1011" spans="2:62" x14ac:dyDescent="0.3">
      <c r="B1011" s="3"/>
      <c r="C1011" s="2"/>
      <c r="D1011" s="2"/>
      <c r="E1011" s="3"/>
      <c r="O1011" s="176"/>
      <c r="P1011" s="176"/>
      <c r="Q1011" s="176"/>
      <c r="R1011" s="176"/>
      <c r="S1011" s="176"/>
      <c r="T1011" s="176"/>
      <c r="U1011" s="176"/>
      <c r="V1011" s="176"/>
      <c r="W1011" s="176"/>
      <c r="X1011" s="176"/>
      <c r="Y1011" s="176"/>
      <c r="Z1011" s="176"/>
      <c r="AA1011" s="176"/>
      <c r="AB1011" s="176"/>
      <c r="AC1011" s="176"/>
      <c r="AD1011" s="176"/>
      <c r="AE1011" s="176"/>
      <c r="AF1011" s="176"/>
      <c r="AG1011" s="176"/>
      <c r="AH1011" s="176"/>
      <c r="AI1011" s="176"/>
      <c r="AJ1011" s="176"/>
      <c r="AK1011" s="176"/>
      <c r="AL1011" s="176"/>
      <c r="AM1011" s="176"/>
      <c r="AN1011" s="176"/>
      <c r="AO1011" s="176"/>
      <c r="AP1011" s="176"/>
      <c r="AQ1011" s="176"/>
      <c r="AR1011" s="176"/>
      <c r="AS1011" s="176"/>
      <c r="AT1011" s="176"/>
      <c r="AU1011" s="176"/>
      <c r="AV1011" s="176"/>
      <c r="AW1011" s="176"/>
      <c r="AX1011" s="176"/>
      <c r="AY1011" s="176"/>
      <c r="AZ1011" s="176"/>
      <c r="BA1011" s="176"/>
      <c r="BB1011" s="176"/>
      <c r="BC1011" s="176"/>
      <c r="BD1011" s="176"/>
      <c r="BE1011" s="176"/>
      <c r="BF1011" s="176"/>
      <c r="BG1011" s="176"/>
      <c r="BH1011" s="176"/>
      <c r="BI1011" s="176"/>
      <c r="BJ1011" s="176"/>
    </row>
    <row r="1012" spans="2:62" x14ac:dyDescent="0.3">
      <c r="B1012" s="3"/>
      <c r="C1012" s="2"/>
      <c r="D1012" s="2"/>
      <c r="E1012" s="3"/>
      <c r="O1012" s="176"/>
      <c r="P1012" s="176"/>
      <c r="Q1012" s="176"/>
      <c r="R1012" s="176"/>
      <c r="S1012" s="176"/>
      <c r="T1012" s="176"/>
      <c r="U1012" s="176"/>
      <c r="V1012" s="176"/>
      <c r="W1012" s="176"/>
      <c r="X1012" s="176"/>
      <c r="Y1012" s="176"/>
      <c r="Z1012" s="176"/>
      <c r="AA1012" s="176"/>
      <c r="AB1012" s="176"/>
      <c r="AC1012" s="176"/>
      <c r="AD1012" s="176"/>
      <c r="AE1012" s="176"/>
      <c r="AF1012" s="176"/>
      <c r="AG1012" s="176"/>
      <c r="AH1012" s="176"/>
      <c r="AI1012" s="176"/>
      <c r="AJ1012" s="176"/>
      <c r="AK1012" s="176"/>
      <c r="AL1012" s="176"/>
      <c r="AM1012" s="176"/>
      <c r="AN1012" s="176"/>
      <c r="AO1012" s="176"/>
      <c r="AP1012" s="176"/>
      <c r="AQ1012" s="176"/>
      <c r="AR1012" s="176"/>
      <c r="AS1012" s="176"/>
      <c r="AT1012" s="176"/>
      <c r="AU1012" s="176"/>
      <c r="AV1012" s="176"/>
      <c r="AW1012" s="176"/>
      <c r="AX1012" s="176"/>
      <c r="AY1012" s="176"/>
      <c r="AZ1012" s="176"/>
      <c r="BA1012" s="176"/>
      <c r="BB1012" s="176"/>
      <c r="BC1012" s="176"/>
      <c r="BD1012" s="176"/>
      <c r="BE1012" s="176"/>
      <c r="BF1012" s="176"/>
      <c r="BG1012" s="176"/>
      <c r="BH1012" s="176"/>
      <c r="BI1012" s="176"/>
      <c r="BJ1012" s="176"/>
    </row>
    <row r="1013" spans="2:62" x14ac:dyDescent="0.3">
      <c r="B1013" s="3"/>
      <c r="C1013" s="2"/>
      <c r="D1013" s="2"/>
      <c r="E1013" s="3"/>
      <c r="O1013" s="176"/>
      <c r="P1013" s="176"/>
      <c r="Q1013" s="176"/>
      <c r="R1013" s="176"/>
      <c r="S1013" s="176"/>
      <c r="T1013" s="176"/>
      <c r="U1013" s="176"/>
      <c r="V1013" s="176"/>
      <c r="W1013" s="176"/>
      <c r="X1013" s="176"/>
      <c r="Y1013" s="176"/>
      <c r="Z1013" s="176"/>
      <c r="AA1013" s="176"/>
      <c r="AB1013" s="176"/>
      <c r="AC1013" s="176"/>
      <c r="AD1013" s="176"/>
      <c r="AE1013" s="176"/>
      <c r="AF1013" s="176"/>
      <c r="AG1013" s="176"/>
      <c r="AH1013" s="176"/>
      <c r="AI1013" s="176"/>
      <c r="AJ1013" s="176"/>
      <c r="AK1013" s="176"/>
      <c r="AL1013" s="176"/>
      <c r="AM1013" s="176"/>
      <c r="AN1013" s="176"/>
      <c r="AO1013" s="176"/>
      <c r="AP1013" s="176"/>
      <c r="AQ1013" s="176"/>
      <c r="AR1013" s="176"/>
      <c r="AS1013" s="176"/>
      <c r="AT1013" s="176"/>
      <c r="AU1013" s="176"/>
      <c r="AV1013" s="176"/>
      <c r="AW1013" s="176"/>
      <c r="AX1013" s="176"/>
      <c r="AY1013" s="176"/>
      <c r="AZ1013" s="176"/>
      <c r="BA1013" s="176"/>
      <c r="BB1013" s="176"/>
      <c r="BC1013" s="176"/>
      <c r="BD1013" s="176"/>
      <c r="BE1013" s="176"/>
      <c r="BF1013" s="176"/>
      <c r="BG1013" s="176"/>
      <c r="BH1013" s="176"/>
      <c r="BI1013" s="176"/>
      <c r="BJ1013" s="176"/>
    </row>
    <row r="1014" spans="2:62" x14ac:dyDescent="0.3">
      <c r="B1014" s="3"/>
      <c r="C1014" s="2"/>
      <c r="D1014" s="2"/>
      <c r="E1014" s="3"/>
      <c r="O1014" s="176"/>
      <c r="P1014" s="176"/>
      <c r="Q1014" s="176"/>
      <c r="R1014" s="176"/>
      <c r="S1014" s="176"/>
      <c r="T1014" s="176"/>
      <c r="U1014" s="176"/>
      <c r="V1014" s="176"/>
      <c r="W1014" s="176"/>
      <c r="X1014" s="176"/>
      <c r="Y1014" s="176"/>
      <c r="Z1014" s="176"/>
      <c r="AA1014" s="176"/>
      <c r="AB1014" s="176"/>
      <c r="AC1014" s="176"/>
      <c r="AD1014" s="176"/>
      <c r="AE1014" s="176"/>
      <c r="AF1014" s="176"/>
      <c r="AG1014" s="176"/>
      <c r="AH1014" s="176"/>
      <c r="AI1014" s="176"/>
      <c r="AJ1014" s="176"/>
      <c r="AK1014" s="176"/>
      <c r="AL1014" s="176"/>
      <c r="AM1014" s="176"/>
      <c r="AN1014" s="176"/>
      <c r="AO1014" s="176"/>
      <c r="AP1014" s="176"/>
      <c r="AQ1014" s="176"/>
      <c r="AR1014" s="176"/>
      <c r="AS1014" s="176"/>
      <c r="AT1014" s="176"/>
      <c r="AU1014" s="176"/>
      <c r="AV1014" s="176"/>
      <c r="AW1014" s="176"/>
      <c r="AX1014" s="176"/>
      <c r="AY1014" s="176"/>
      <c r="AZ1014" s="176"/>
      <c r="BA1014" s="176"/>
      <c r="BB1014" s="176"/>
      <c r="BC1014" s="176"/>
      <c r="BD1014" s="176"/>
      <c r="BE1014" s="176"/>
      <c r="BF1014" s="176"/>
      <c r="BG1014" s="176"/>
      <c r="BH1014" s="176"/>
      <c r="BI1014" s="176"/>
      <c r="BJ1014" s="176"/>
    </row>
    <row r="1015" spans="2:62" x14ac:dyDescent="0.3">
      <c r="B1015" s="3"/>
      <c r="C1015" s="2"/>
      <c r="D1015" s="2"/>
      <c r="E1015" s="3"/>
      <c r="O1015" s="176"/>
      <c r="P1015" s="176"/>
      <c r="Q1015" s="176"/>
      <c r="R1015" s="176"/>
      <c r="S1015" s="176"/>
      <c r="T1015" s="176"/>
      <c r="U1015" s="176"/>
      <c r="V1015" s="176"/>
      <c r="W1015" s="176"/>
      <c r="X1015" s="176"/>
      <c r="Y1015" s="176"/>
      <c r="Z1015" s="176"/>
      <c r="AA1015" s="176"/>
      <c r="AB1015" s="176"/>
      <c r="AC1015" s="176"/>
      <c r="AD1015" s="176"/>
      <c r="AE1015" s="176"/>
      <c r="AF1015" s="176"/>
      <c r="AG1015" s="176"/>
      <c r="AH1015" s="176"/>
      <c r="AI1015" s="176"/>
      <c r="AJ1015" s="176"/>
      <c r="AK1015" s="176"/>
      <c r="AL1015" s="176"/>
      <c r="AM1015" s="176"/>
      <c r="AN1015" s="176"/>
      <c r="AO1015" s="176"/>
      <c r="AP1015" s="176"/>
      <c r="AQ1015" s="176"/>
      <c r="AR1015" s="176"/>
      <c r="AS1015" s="176"/>
      <c r="AT1015" s="176"/>
      <c r="AU1015" s="176"/>
      <c r="AV1015" s="176"/>
      <c r="AW1015" s="176"/>
      <c r="AX1015" s="176"/>
      <c r="AY1015" s="176"/>
      <c r="AZ1015" s="176"/>
      <c r="BA1015" s="176"/>
      <c r="BB1015" s="176"/>
      <c r="BC1015" s="176"/>
      <c r="BD1015" s="176"/>
      <c r="BE1015" s="176"/>
      <c r="BF1015" s="176"/>
      <c r="BG1015" s="176"/>
      <c r="BH1015" s="176"/>
      <c r="BI1015" s="176"/>
      <c r="BJ1015" s="176"/>
    </row>
    <row r="1016" spans="2:62" x14ac:dyDescent="0.3">
      <c r="B1016" s="3"/>
      <c r="C1016" s="2"/>
      <c r="D1016" s="2"/>
      <c r="E1016" s="3"/>
      <c r="O1016" s="176"/>
      <c r="P1016" s="176"/>
      <c r="Q1016" s="176"/>
      <c r="R1016" s="176"/>
      <c r="S1016" s="176"/>
      <c r="T1016" s="176"/>
      <c r="U1016" s="176"/>
      <c r="V1016" s="176"/>
      <c r="W1016" s="176"/>
      <c r="X1016" s="176"/>
      <c r="Y1016" s="176"/>
      <c r="Z1016" s="176"/>
      <c r="AA1016" s="176"/>
      <c r="AB1016" s="176"/>
      <c r="AC1016" s="176"/>
      <c r="AD1016" s="176"/>
      <c r="AE1016" s="176"/>
      <c r="AF1016" s="176"/>
      <c r="AG1016" s="176"/>
      <c r="AH1016" s="176"/>
      <c r="AI1016" s="176"/>
      <c r="AJ1016" s="176"/>
      <c r="AK1016" s="176"/>
      <c r="AL1016" s="176"/>
      <c r="AM1016" s="176"/>
      <c r="AN1016" s="176"/>
      <c r="AO1016" s="176"/>
      <c r="AP1016" s="176"/>
      <c r="AQ1016" s="176"/>
      <c r="AR1016" s="176"/>
      <c r="AS1016" s="176"/>
      <c r="AT1016" s="176"/>
      <c r="AU1016" s="176"/>
      <c r="AV1016" s="176"/>
      <c r="AW1016" s="176"/>
      <c r="AX1016" s="176"/>
      <c r="AY1016" s="176"/>
      <c r="AZ1016" s="176"/>
      <c r="BA1016" s="176"/>
      <c r="BB1016" s="176"/>
      <c r="BC1016" s="176"/>
      <c r="BD1016" s="176"/>
      <c r="BE1016" s="176"/>
      <c r="BF1016" s="176"/>
      <c r="BG1016" s="176"/>
      <c r="BH1016" s="176"/>
      <c r="BI1016" s="176"/>
      <c r="BJ1016" s="176"/>
    </row>
    <row r="1017" spans="2:62" x14ac:dyDescent="0.3">
      <c r="B1017" s="3"/>
      <c r="C1017" s="2"/>
      <c r="D1017" s="2"/>
      <c r="E1017" s="3"/>
      <c r="O1017" s="176"/>
      <c r="P1017" s="176"/>
      <c r="Q1017" s="176"/>
      <c r="R1017" s="176"/>
      <c r="S1017" s="176"/>
      <c r="T1017" s="176"/>
      <c r="U1017" s="176"/>
      <c r="V1017" s="176"/>
      <c r="W1017" s="176"/>
      <c r="X1017" s="176"/>
      <c r="Y1017" s="176"/>
      <c r="Z1017" s="176"/>
      <c r="AA1017" s="176"/>
      <c r="AB1017" s="176"/>
      <c r="AC1017" s="176"/>
      <c r="AD1017" s="176"/>
      <c r="AE1017" s="176"/>
      <c r="AF1017" s="176"/>
      <c r="AG1017" s="176"/>
      <c r="AH1017" s="176"/>
      <c r="AI1017" s="176"/>
      <c r="AJ1017" s="176"/>
      <c r="AK1017" s="176"/>
      <c r="AL1017" s="176"/>
      <c r="AM1017" s="176"/>
      <c r="AN1017" s="176"/>
      <c r="AO1017" s="176"/>
      <c r="AP1017" s="176"/>
      <c r="AQ1017" s="176"/>
      <c r="AR1017" s="176"/>
      <c r="AS1017" s="176"/>
      <c r="AT1017" s="176"/>
      <c r="AU1017" s="176"/>
      <c r="AV1017" s="176"/>
      <c r="AW1017" s="176"/>
      <c r="AX1017" s="176"/>
      <c r="AY1017" s="176"/>
      <c r="AZ1017" s="176"/>
      <c r="BA1017" s="176"/>
      <c r="BB1017" s="176"/>
      <c r="BC1017" s="176"/>
      <c r="BD1017" s="176"/>
      <c r="BE1017" s="176"/>
      <c r="BF1017" s="176"/>
      <c r="BG1017" s="176"/>
      <c r="BH1017" s="176"/>
      <c r="BI1017" s="176"/>
      <c r="BJ1017" s="176"/>
    </row>
    <row r="1018" spans="2:62" x14ac:dyDescent="0.3">
      <c r="B1018" s="3"/>
      <c r="C1018" s="2"/>
      <c r="D1018" s="2"/>
      <c r="E1018" s="3"/>
      <c r="O1018" s="176"/>
      <c r="P1018" s="176"/>
      <c r="Q1018" s="176"/>
      <c r="R1018" s="176"/>
      <c r="S1018" s="176"/>
      <c r="T1018" s="176"/>
      <c r="U1018" s="176"/>
      <c r="V1018" s="176"/>
      <c r="W1018" s="176"/>
      <c r="X1018" s="176"/>
      <c r="Y1018" s="176"/>
      <c r="Z1018" s="176"/>
      <c r="AA1018" s="176"/>
      <c r="AB1018" s="176"/>
      <c r="AC1018" s="176"/>
      <c r="AD1018" s="176"/>
      <c r="AE1018" s="176"/>
      <c r="AF1018" s="176"/>
      <c r="AG1018" s="176"/>
      <c r="AH1018" s="176"/>
      <c r="AI1018" s="176"/>
      <c r="AJ1018" s="176"/>
      <c r="AK1018" s="176"/>
      <c r="AL1018" s="176"/>
      <c r="AM1018" s="176"/>
      <c r="AN1018" s="176"/>
      <c r="AO1018" s="176"/>
      <c r="AP1018" s="176"/>
      <c r="AQ1018" s="176"/>
      <c r="AR1018" s="176"/>
      <c r="AS1018" s="176"/>
      <c r="AT1018" s="176"/>
      <c r="AU1018" s="176"/>
      <c r="AV1018" s="176"/>
      <c r="AW1018" s="176"/>
      <c r="AX1018" s="176"/>
      <c r="AY1018" s="176"/>
      <c r="AZ1018" s="176"/>
      <c r="BA1018" s="176"/>
      <c r="BB1018" s="176"/>
      <c r="BC1018" s="176"/>
      <c r="BD1018" s="176"/>
      <c r="BE1018" s="176"/>
      <c r="BF1018" s="176"/>
      <c r="BG1018" s="176"/>
      <c r="BH1018" s="176"/>
      <c r="BI1018" s="176"/>
      <c r="BJ1018" s="176"/>
    </row>
    <row r="1019" spans="2:62" x14ac:dyDescent="0.3">
      <c r="B1019" s="3"/>
      <c r="C1019" s="2"/>
      <c r="D1019" s="2"/>
      <c r="E1019" s="3"/>
      <c r="O1019" s="176"/>
      <c r="P1019" s="176"/>
      <c r="Q1019" s="176"/>
      <c r="R1019" s="176"/>
      <c r="S1019" s="176"/>
      <c r="T1019" s="176"/>
      <c r="U1019" s="176"/>
      <c r="V1019" s="176"/>
      <c r="W1019" s="176"/>
      <c r="X1019" s="176"/>
      <c r="Y1019" s="176"/>
      <c r="Z1019" s="176"/>
      <c r="AA1019" s="176"/>
      <c r="AB1019" s="176"/>
      <c r="AC1019" s="176"/>
      <c r="AD1019" s="176"/>
      <c r="AE1019" s="176"/>
      <c r="AF1019" s="176"/>
      <c r="AG1019" s="176"/>
      <c r="AH1019" s="176"/>
      <c r="AI1019" s="176"/>
      <c r="AJ1019" s="176"/>
      <c r="AK1019" s="176"/>
      <c r="AL1019" s="176"/>
      <c r="AM1019" s="176"/>
      <c r="AN1019" s="176"/>
      <c r="AO1019" s="176"/>
      <c r="AP1019" s="176"/>
      <c r="AQ1019" s="176"/>
      <c r="AR1019" s="176"/>
      <c r="AS1019" s="176"/>
      <c r="AT1019" s="176"/>
      <c r="AU1019" s="176"/>
      <c r="AV1019" s="176"/>
      <c r="AW1019" s="176"/>
      <c r="AX1019" s="176"/>
      <c r="AY1019" s="176"/>
      <c r="AZ1019" s="176"/>
      <c r="BA1019" s="176"/>
      <c r="BB1019" s="176"/>
      <c r="BC1019" s="176"/>
      <c r="BD1019" s="176"/>
      <c r="BE1019" s="176"/>
      <c r="BF1019" s="176"/>
      <c r="BG1019" s="176"/>
      <c r="BH1019" s="176"/>
      <c r="BI1019" s="176"/>
      <c r="BJ1019" s="176"/>
    </row>
    <row r="1020" spans="2:62" x14ac:dyDescent="0.3">
      <c r="B1020" s="3"/>
      <c r="C1020" s="2"/>
      <c r="D1020" s="2"/>
      <c r="E1020" s="3"/>
      <c r="O1020" s="176"/>
      <c r="P1020" s="176"/>
      <c r="Q1020" s="176"/>
      <c r="R1020" s="176"/>
      <c r="S1020" s="176"/>
      <c r="T1020" s="176"/>
      <c r="U1020" s="176"/>
      <c r="V1020" s="176"/>
      <c r="W1020" s="176"/>
      <c r="X1020" s="176"/>
      <c r="Y1020" s="176"/>
      <c r="Z1020" s="176"/>
      <c r="AA1020" s="176"/>
      <c r="AB1020" s="176"/>
      <c r="AC1020" s="176"/>
      <c r="AD1020" s="176"/>
      <c r="AE1020" s="176"/>
      <c r="AF1020" s="176"/>
      <c r="AG1020" s="176"/>
      <c r="AH1020" s="176"/>
      <c r="AI1020" s="176"/>
      <c r="AJ1020" s="176"/>
      <c r="AK1020" s="176"/>
      <c r="AL1020" s="176"/>
      <c r="AM1020" s="176"/>
      <c r="AN1020" s="176"/>
      <c r="AO1020" s="176"/>
      <c r="AP1020" s="176"/>
      <c r="AQ1020" s="176"/>
      <c r="AR1020" s="176"/>
      <c r="AS1020" s="176"/>
      <c r="AT1020" s="176"/>
      <c r="AU1020" s="176"/>
      <c r="AV1020" s="176"/>
      <c r="AW1020" s="176"/>
      <c r="AX1020" s="176"/>
      <c r="AY1020" s="176"/>
      <c r="AZ1020" s="176"/>
      <c r="BA1020" s="176"/>
      <c r="BB1020" s="176"/>
      <c r="BC1020" s="176"/>
      <c r="BD1020" s="176"/>
      <c r="BE1020" s="176"/>
      <c r="BF1020" s="176"/>
      <c r="BG1020" s="176"/>
      <c r="BH1020" s="176"/>
      <c r="BI1020" s="176"/>
      <c r="BJ1020" s="176"/>
    </row>
    <row r="1021" spans="2:62" x14ac:dyDescent="0.3">
      <c r="B1021" s="3"/>
      <c r="C1021" s="2"/>
      <c r="D1021" s="2"/>
      <c r="E1021" s="3"/>
      <c r="O1021" s="176"/>
      <c r="P1021" s="176"/>
      <c r="Q1021" s="176"/>
      <c r="R1021" s="176"/>
      <c r="S1021" s="176"/>
      <c r="T1021" s="176"/>
      <c r="U1021" s="176"/>
      <c r="V1021" s="176"/>
      <c r="W1021" s="176"/>
      <c r="X1021" s="176"/>
      <c r="Y1021" s="176"/>
      <c r="Z1021" s="176"/>
      <c r="AA1021" s="176"/>
      <c r="AB1021" s="176"/>
      <c r="AC1021" s="176"/>
      <c r="AD1021" s="176"/>
      <c r="AE1021" s="176"/>
      <c r="AF1021" s="176"/>
      <c r="AG1021" s="176"/>
      <c r="AH1021" s="176"/>
      <c r="AI1021" s="176"/>
      <c r="AJ1021" s="176"/>
      <c r="AK1021" s="176"/>
      <c r="AL1021" s="176"/>
      <c r="AM1021" s="176"/>
      <c r="AN1021" s="176"/>
      <c r="AO1021" s="176"/>
      <c r="AP1021" s="176"/>
      <c r="AQ1021" s="176"/>
      <c r="AR1021" s="176"/>
      <c r="AS1021" s="176"/>
      <c r="AT1021" s="176"/>
      <c r="AU1021" s="176"/>
      <c r="AV1021" s="176"/>
      <c r="AW1021" s="176"/>
      <c r="AX1021" s="176"/>
      <c r="AY1021" s="176"/>
      <c r="AZ1021" s="176"/>
      <c r="BA1021" s="176"/>
      <c r="BB1021" s="176"/>
      <c r="BC1021" s="176"/>
      <c r="BD1021" s="176"/>
      <c r="BE1021" s="176"/>
      <c r="BF1021" s="176"/>
      <c r="BG1021" s="176"/>
      <c r="BH1021" s="176"/>
      <c r="BI1021" s="176"/>
      <c r="BJ1021" s="176"/>
    </row>
    <row r="1022" spans="2:62" x14ac:dyDescent="0.3">
      <c r="B1022" s="3"/>
      <c r="C1022" s="2"/>
      <c r="D1022" s="2"/>
      <c r="E1022" s="3"/>
      <c r="O1022" s="176"/>
      <c r="P1022" s="176"/>
      <c r="Q1022" s="176"/>
      <c r="R1022" s="176"/>
      <c r="S1022" s="176"/>
      <c r="T1022" s="176"/>
      <c r="U1022" s="176"/>
      <c r="V1022" s="176"/>
      <c r="W1022" s="176"/>
      <c r="X1022" s="176"/>
      <c r="Y1022" s="176"/>
      <c r="Z1022" s="176"/>
      <c r="AA1022" s="176"/>
      <c r="AB1022" s="176"/>
      <c r="AC1022" s="176"/>
      <c r="AD1022" s="176"/>
      <c r="AE1022" s="176"/>
      <c r="AF1022" s="176"/>
      <c r="AG1022" s="176"/>
      <c r="AH1022" s="176"/>
      <c r="AI1022" s="176"/>
      <c r="AJ1022" s="176"/>
      <c r="AK1022" s="176"/>
      <c r="AL1022" s="176"/>
      <c r="AM1022" s="176"/>
      <c r="AN1022" s="176"/>
      <c r="AO1022" s="176"/>
      <c r="AP1022" s="176"/>
      <c r="AQ1022" s="176"/>
      <c r="AR1022" s="176"/>
      <c r="AS1022" s="176"/>
      <c r="AT1022" s="176"/>
      <c r="AU1022" s="176"/>
      <c r="AV1022" s="176"/>
      <c r="AW1022" s="176"/>
      <c r="AX1022" s="176"/>
      <c r="AY1022" s="176"/>
      <c r="AZ1022" s="176"/>
      <c r="BA1022" s="176"/>
      <c r="BB1022" s="176"/>
      <c r="BC1022" s="176"/>
      <c r="BD1022" s="176"/>
      <c r="BE1022" s="176"/>
      <c r="BF1022" s="176"/>
      <c r="BG1022" s="176"/>
      <c r="BH1022" s="176"/>
      <c r="BI1022" s="176"/>
      <c r="BJ1022" s="176"/>
    </row>
    <row r="1023" spans="2:62" x14ac:dyDescent="0.3">
      <c r="B1023" s="3"/>
      <c r="C1023" s="2"/>
      <c r="D1023" s="2"/>
      <c r="E1023" s="3"/>
      <c r="O1023" s="176"/>
      <c r="P1023" s="176"/>
      <c r="Q1023" s="176"/>
      <c r="R1023" s="176"/>
      <c r="S1023" s="176"/>
      <c r="T1023" s="176"/>
      <c r="U1023" s="176"/>
      <c r="V1023" s="176"/>
      <c r="W1023" s="176"/>
      <c r="X1023" s="176"/>
      <c r="Y1023" s="176"/>
      <c r="Z1023" s="176"/>
      <c r="AA1023" s="176"/>
      <c r="AB1023" s="176"/>
      <c r="AC1023" s="176"/>
      <c r="AD1023" s="176"/>
      <c r="AE1023" s="176"/>
      <c r="AF1023" s="176"/>
      <c r="AG1023" s="176"/>
      <c r="AH1023" s="176"/>
      <c r="AI1023" s="176"/>
      <c r="AJ1023" s="176"/>
      <c r="AK1023" s="176"/>
      <c r="AL1023" s="176"/>
      <c r="AM1023" s="176"/>
      <c r="AN1023" s="176"/>
      <c r="AO1023" s="176"/>
      <c r="AP1023" s="176"/>
      <c r="AQ1023" s="176"/>
      <c r="AR1023" s="176"/>
      <c r="AS1023" s="176"/>
      <c r="AT1023" s="176"/>
      <c r="AU1023" s="176"/>
      <c r="AV1023" s="176"/>
      <c r="AW1023" s="176"/>
      <c r="AX1023" s="176"/>
      <c r="AY1023" s="176"/>
      <c r="AZ1023" s="176"/>
      <c r="BA1023" s="176"/>
      <c r="BB1023" s="176"/>
      <c r="BC1023" s="176"/>
      <c r="BD1023" s="176"/>
      <c r="BE1023" s="176"/>
      <c r="BF1023" s="176"/>
      <c r="BG1023" s="176"/>
      <c r="BH1023" s="176"/>
      <c r="BI1023" s="176"/>
      <c r="BJ1023" s="176"/>
    </row>
    <row r="1024" spans="2:62" x14ac:dyDescent="0.3">
      <c r="B1024" s="3"/>
      <c r="C1024" s="2"/>
      <c r="D1024" s="2"/>
      <c r="E1024" s="3"/>
      <c r="O1024" s="176"/>
      <c r="P1024" s="176"/>
      <c r="Q1024" s="176"/>
      <c r="R1024" s="176"/>
      <c r="S1024" s="176"/>
      <c r="T1024" s="176"/>
      <c r="U1024" s="176"/>
      <c r="V1024" s="176"/>
      <c r="W1024" s="176"/>
      <c r="X1024" s="176"/>
      <c r="Y1024" s="176"/>
      <c r="Z1024" s="176"/>
      <c r="AA1024" s="176"/>
      <c r="AB1024" s="176"/>
      <c r="AC1024" s="176"/>
      <c r="AD1024" s="176"/>
      <c r="AE1024" s="176"/>
      <c r="AF1024" s="176"/>
      <c r="AG1024" s="176"/>
      <c r="AH1024" s="176"/>
      <c r="AI1024" s="176"/>
      <c r="AJ1024" s="176"/>
      <c r="AK1024" s="176"/>
      <c r="AL1024" s="176"/>
      <c r="AM1024" s="176"/>
      <c r="AN1024" s="176"/>
      <c r="AO1024" s="176"/>
      <c r="AP1024" s="176"/>
      <c r="AQ1024" s="176"/>
      <c r="AR1024" s="176"/>
      <c r="AS1024" s="176"/>
      <c r="AT1024" s="176"/>
      <c r="AU1024" s="176"/>
      <c r="AV1024" s="176"/>
      <c r="AW1024" s="176"/>
      <c r="AX1024" s="176"/>
      <c r="AY1024" s="176"/>
      <c r="AZ1024" s="176"/>
      <c r="BA1024" s="176"/>
      <c r="BB1024" s="176"/>
      <c r="BC1024" s="176"/>
      <c r="BD1024" s="176"/>
      <c r="BE1024" s="176"/>
      <c r="BF1024" s="176"/>
      <c r="BG1024" s="176"/>
      <c r="BH1024" s="176"/>
      <c r="BI1024" s="176"/>
      <c r="BJ1024" s="176"/>
    </row>
    <row r="1025" spans="2:62" x14ac:dyDescent="0.3">
      <c r="B1025" s="3"/>
      <c r="C1025" s="2"/>
      <c r="D1025" s="2"/>
      <c r="E1025" s="3"/>
      <c r="O1025" s="176"/>
      <c r="P1025" s="176"/>
      <c r="Q1025" s="176"/>
      <c r="R1025" s="176"/>
      <c r="S1025" s="176"/>
      <c r="T1025" s="176"/>
      <c r="U1025" s="176"/>
      <c r="V1025" s="176"/>
      <c r="W1025" s="176"/>
      <c r="X1025" s="176"/>
      <c r="Y1025" s="176"/>
      <c r="Z1025" s="176"/>
      <c r="AA1025" s="176"/>
      <c r="AB1025" s="176"/>
      <c r="AC1025" s="176"/>
      <c r="AD1025" s="176"/>
      <c r="AE1025" s="176"/>
      <c r="AF1025" s="176"/>
      <c r="AG1025" s="176"/>
      <c r="AH1025" s="176"/>
      <c r="AI1025" s="176"/>
      <c r="AJ1025" s="176"/>
      <c r="AK1025" s="176"/>
      <c r="AL1025" s="176"/>
      <c r="AM1025" s="176"/>
      <c r="AN1025" s="176"/>
      <c r="AO1025" s="176"/>
      <c r="AP1025" s="176"/>
      <c r="AQ1025" s="176"/>
      <c r="AR1025" s="176"/>
      <c r="AS1025" s="176"/>
      <c r="AT1025" s="176"/>
      <c r="AU1025" s="176"/>
      <c r="AV1025" s="176"/>
      <c r="AW1025" s="176"/>
      <c r="AX1025" s="176"/>
      <c r="AY1025" s="176"/>
      <c r="AZ1025" s="176"/>
      <c r="BA1025" s="176"/>
      <c r="BB1025" s="176"/>
      <c r="BC1025" s="176"/>
      <c r="BD1025" s="176"/>
      <c r="BE1025" s="176"/>
      <c r="BF1025" s="176"/>
      <c r="BG1025" s="176"/>
      <c r="BH1025" s="176"/>
      <c r="BI1025" s="176"/>
      <c r="BJ1025" s="176"/>
    </row>
    <row r="1026" spans="2:62" x14ac:dyDescent="0.3">
      <c r="B1026" s="3"/>
      <c r="C1026" s="2"/>
      <c r="D1026" s="2"/>
      <c r="E1026" s="3"/>
      <c r="O1026" s="176"/>
      <c r="P1026" s="176"/>
      <c r="Q1026" s="176"/>
      <c r="R1026" s="176"/>
      <c r="S1026" s="176"/>
      <c r="T1026" s="176"/>
      <c r="U1026" s="176"/>
      <c r="V1026" s="176"/>
      <c r="W1026" s="176"/>
      <c r="X1026" s="176"/>
      <c r="Y1026" s="176"/>
      <c r="Z1026" s="176"/>
      <c r="AA1026" s="176"/>
      <c r="AB1026" s="176"/>
      <c r="AC1026" s="176"/>
      <c r="AD1026" s="176"/>
      <c r="AE1026" s="176"/>
      <c r="AF1026" s="176"/>
      <c r="AG1026" s="176"/>
      <c r="AH1026" s="176"/>
      <c r="AI1026" s="176"/>
      <c r="AJ1026" s="176"/>
      <c r="AK1026" s="176"/>
      <c r="AL1026" s="176"/>
      <c r="AM1026" s="176"/>
      <c r="AN1026" s="176"/>
      <c r="AO1026" s="176"/>
      <c r="AP1026" s="176"/>
      <c r="AQ1026" s="176"/>
      <c r="AR1026" s="176"/>
      <c r="AS1026" s="176"/>
      <c r="AT1026" s="176"/>
      <c r="AU1026" s="176"/>
      <c r="AV1026" s="176"/>
      <c r="AW1026" s="176"/>
      <c r="AX1026" s="176"/>
      <c r="AY1026" s="176"/>
      <c r="AZ1026" s="176"/>
      <c r="BA1026" s="176"/>
      <c r="BB1026" s="176"/>
      <c r="BC1026" s="176"/>
      <c r="BD1026" s="176"/>
      <c r="BE1026" s="176"/>
      <c r="BF1026" s="176"/>
      <c r="BG1026" s="176"/>
      <c r="BH1026" s="176"/>
      <c r="BI1026" s="176"/>
      <c r="BJ1026" s="176"/>
    </row>
    <row r="1027" spans="2:62" x14ac:dyDescent="0.3">
      <c r="B1027" s="3"/>
      <c r="C1027" s="2"/>
      <c r="D1027" s="2"/>
      <c r="E1027" s="3"/>
      <c r="O1027" s="176"/>
      <c r="P1027" s="176"/>
      <c r="Q1027" s="176"/>
      <c r="R1027" s="176"/>
      <c r="S1027" s="176"/>
      <c r="T1027" s="176"/>
      <c r="U1027" s="176"/>
      <c r="V1027" s="176"/>
      <c r="W1027" s="176"/>
      <c r="X1027" s="176"/>
      <c r="Y1027" s="176"/>
      <c r="Z1027" s="176"/>
      <c r="AA1027" s="176"/>
      <c r="AB1027" s="176"/>
      <c r="AC1027" s="176"/>
      <c r="AD1027" s="176"/>
      <c r="AE1027" s="176"/>
      <c r="AF1027" s="176"/>
      <c r="AG1027" s="176"/>
      <c r="AH1027" s="176"/>
      <c r="AI1027" s="176"/>
      <c r="AJ1027" s="176"/>
      <c r="AK1027" s="176"/>
      <c r="AL1027" s="176"/>
      <c r="AM1027" s="176"/>
      <c r="AN1027" s="176"/>
      <c r="AO1027" s="176"/>
      <c r="AP1027" s="176"/>
      <c r="AQ1027" s="176"/>
      <c r="AR1027" s="176"/>
      <c r="AS1027" s="176"/>
      <c r="AT1027" s="176"/>
      <c r="AU1027" s="176"/>
      <c r="AV1027" s="176"/>
      <c r="AW1027" s="176"/>
      <c r="AX1027" s="176"/>
      <c r="AY1027" s="176"/>
      <c r="AZ1027" s="176"/>
      <c r="BA1027" s="176"/>
      <c r="BB1027" s="176"/>
      <c r="BC1027" s="176"/>
      <c r="BD1027" s="176"/>
      <c r="BE1027" s="176"/>
      <c r="BF1027" s="176"/>
      <c r="BG1027" s="176"/>
      <c r="BH1027" s="176"/>
      <c r="BI1027" s="176"/>
      <c r="BJ1027" s="176"/>
    </row>
    <row r="1028" spans="2:62" x14ac:dyDescent="0.3">
      <c r="B1028" s="3"/>
      <c r="C1028" s="2"/>
      <c r="D1028" s="2"/>
      <c r="E1028" s="3"/>
      <c r="O1028" s="176"/>
      <c r="P1028" s="176"/>
      <c r="Q1028" s="176"/>
      <c r="R1028" s="176"/>
      <c r="S1028" s="176"/>
      <c r="T1028" s="176"/>
      <c r="U1028" s="176"/>
      <c r="V1028" s="176"/>
      <c r="W1028" s="176"/>
      <c r="X1028" s="176"/>
      <c r="Y1028" s="176"/>
      <c r="Z1028" s="176"/>
      <c r="AA1028" s="176"/>
      <c r="AB1028" s="176"/>
      <c r="AC1028" s="176"/>
      <c r="AD1028" s="176"/>
      <c r="AE1028" s="176"/>
      <c r="AF1028" s="176"/>
      <c r="AG1028" s="176"/>
      <c r="AH1028" s="176"/>
      <c r="AI1028" s="176"/>
      <c r="AJ1028" s="176"/>
      <c r="AK1028" s="176"/>
      <c r="AL1028" s="176"/>
      <c r="AM1028" s="176"/>
      <c r="AN1028" s="176"/>
      <c r="AO1028" s="176"/>
      <c r="AP1028" s="176"/>
      <c r="AQ1028" s="176"/>
      <c r="AR1028" s="176"/>
      <c r="AS1028" s="176"/>
      <c r="AT1028" s="176"/>
      <c r="AU1028" s="176"/>
      <c r="AV1028" s="176"/>
      <c r="AW1028" s="176"/>
      <c r="AX1028" s="176"/>
      <c r="AY1028" s="176"/>
      <c r="AZ1028" s="176"/>
      <c r="BA1028" s="176"/>
      <c r="BB1028" s="176"/>
      <c r="BC1028" s="176"/>
      <c r="BD1028" s="176"/>
      <c r="BE1028" s="176"/>
      <c r="BF1028" s="176"/>
      <c r="BG1028" s="176"/>
      <c r="BH1028" s="176"/>
      <c r="BI1028" s="176"/>
      <c r="BJ1028" s="176"/>
    </row>
    <row r="1029" spans="2:62" x14ac:dyDescent="0.3">
      <c r="B1029" s="3"/>
      <c r="C1029" s="2"/>
      <c r="D1029" s="2"/>
      <c r="E1029" s="3"/>
      <c r="O1029" s="176"/>
      <c r="P1029" s="176"/>
      <c r="Q1029" s="176"/>
      <c r="R1029" s="176"/>
      <c r="S1029" s="176"/>
      <c r="T1029" s="176"/>
      <c r="U1029" s="176"/>
      <c r="V1029" s="176"/>
      <c r="W1029" s="176"/>
      <c r="X1029" s="176"/>
      <c r="Y1029" s="176"/>
      <c r="Z1029" s="176"/>
      <c r="AA1029" s="176"/>
      <c r="AB1029" s="176"/>
      <c r="AC1029" s="176"/>
      <c r="AD1029" s="176"/>
      <c r="AE1029" s="176"/>
      <c r="AF1029" s="176"/>
      <c r="AG1029" s="176"/>
      <c r="AH1029" s="176"/>
      <c r="AI1029" s="176"/>
      <c r="AJ1029" s="176"/>
      <c r="AK1029" s="176"/>
      <c r="AL1029" s="176"/>
      <c r="AM1029" s="176"/>
      <c r="AN1029" s="176"/>
      <c r="AO1029" s="176"/>
      <c r="AP1029" s="176"/>
      <c r="AQ1029" s="176"/>
      <c r="AR1029" s="176"/>
      <c r="AS1029" s="176"/>
      <c r="AT1029" s="176"/>
      <c r="AU1029" s="176"/>
      <c r="AV1029" s="176"/>
      <c r="AW1029" s="176"/>
      <c r="AX1029" s="176"/>
      <c r="AY1029" s="176"/>
      <c r="AZ1029" s="176"/>
      <c r="BA1029" s="176"/>
      <c r="BB1029" s="176"/>
      <c r="BC1029" s="176"/>
      <c r="BD1029" s="176"/>
      <c r="BE1029" s="176"/>
      <c r="BF1029" s="176"/>
      <c r="BG1029" s="176"/>
      <c r="BH1029" s="176"/>
      <c r="BI1029" s="176"/>
      <c r="BJ1029" s="176"/>
    </row>
    <row r="1030" spans="2:62" x14ac:dyDescent="0.3">
      <c r="B1030" s="3"/>
      <c r="C1030" s="2"/>
      <c r="D1030" s="2"/>
      <c r="E1030" s="3"/>
      <c r="O1030" s="176"/>
      <c r="P1030" s="176"/>
      <c r="Q1030" s="176"/>
      <c r="R1030" s="176"/>
      <c r="S1030" s="176"/>
      <c r="T1030" s="176"/>
      <c r="U1030" s="176"/>
      <c r="V1030" s="176"/>
      <c r="W1030" s="176"/>
      <c r="X1030" s="176"/>
      <c r="Y1030" s="176"/>
      <c r="Z1030" s="176"/>
      <c r="AA1030" s="176"/>
      <c r="AB1030" s="176"/>
      <c r="AC1030" s="176"/>
      <c r="AD1030" s="176"/>
      <c r="AE1030" s="176"/>
      <c r="AF1030" s="176"/>
      <c r="AG1030" s="176"/>
      <c r="AH1030" s="176"/>
      <c r="AI1030" s="176"/>
      <c r="AJ1030" s="176"/>
      <c r="AK1030" s="176"/>
      <c r="AL1030" s="176"/>
      <c r="AM1030" s="176"/>
      <c r="AN1030" s="176"/>
      <c r="AO1030" s="176"/>
      <c r="AP1030" s="176"/>
      <c r="AQ1030" s="176"/>
      <c r="AR1030" s="176"/>
      <c r="AS1030" s="176"/>
      <c r="AT1030" s="176"/>
      <c r="AU1030" s="176"/>
      <c r="AV1030" s="176"/>
      <c r="AW1030" s="176"/>
      <c r="AX1030" s="176"/>
      <c r="AY1030" s="176"/>
      <c r="AZ1030" s="176"/>
      <c r="BA1030" s="176"/>
      <c r="BB1030" s="176"/>
      <c r="BC1030" s="176"/>
      <c r="BD1030" s="176"/>
      <c r="BE1030" s="176"/>
      <c r="BF1030" s="176"/>
      <c r="BG1030" s="176"/>
      <c r="BH1030" s="176"/>
      <c r="BI1030" s="176"/>
      <c r="BJ1030" s="176"/>
    </row>
    <row r="1031" spans="2:62" x14ac:dyDescent="0.3">
      <c r="B1031" s="3"/>
      <c r="C1031" s="2"/>
      <c r="D1031" s="2"/>
      <c r="E1031" s="3"/>
      <c r="O1031" s="176"/>
      <c r="P1031" s="176"/>
      <c r="Q1031" s="176"/>
      <c r="R1031" s="176"/>
      <c r="S1031" s="176"/>
      <c r="T1031" s="176"/>
      <c r="U1031" s="176"/>
      <c r="V1031" s="176"/>
      <c r="W1031" s="176"/>
      <c r="X1031" s="176"/>
      <c r="Y1031" s="176"/>
      <c r="Z1031" s="176"/>
      <c r="AA1031" s="176"/>
      <c r="AB1031" s="176"/>
      <c r="AC1031" s="176"/>
      <c r="AD1031" s="176"/>
      <c r="AE1031" s="176"/>
      <c r="AF1031" s="176"/>
      <c r="AG1031" s="176"/>
      <c r="AH1031" s="176"/>
      <c r="AI1031" s="176"/>
      <c r="AJ1031" s="176"/>
      <c r="AK1031" s="176"/>
      <c r="AL1031" s="176"/>
      <c r="AM1031" s="176"/>
      <c r="AN1031" s="176"/>
      <c r="AO1031" s="176"/>
      <c r="AP1031" s="176"/>
      <c r="AQ1031" s="176"/>
      <c r="AR1031" s="176"/>
      <c r="AS1031" s="176"/>
      <c r="AT1031" s="176"/>
      <c r="AU1031" s="176"/>
      <c r="AV1031" s="176"/>
      <c r="AW1031" s="176"/>
      <c r="AX1031" s="176"/>
      <c r="AY1031" s="176"/>
      <c r="AZ1031" s="176"/>
      <c r="BA1031" s="176"/>
      <c r="BB1031" s="176"/>
      <c r="BC1031" s="176"/>
      <c r="BD1031" s="176"/>
      <c r="BE1031" s="176"/>
      <c r="BF1031" s="176"/>
      <c r="BG1031" s="176"/>
      <c r="BH1031" s="176"/>
      <c r="BI1031" s="176"/>
      <c r="BJ1031" s="176"/>
    </row>
    <row r="1032" spans="2:62" x14ac:dyDescent="0.3">
      <c r="B1032" s="3"/>
      <c r="C1032" s="2"/>
      <c r="D1032" s="2"/>
      <c r="E1032" s="3"/>
      <c r="O1032" s="176"/>
      <c r="P1032" s="176"/>
      <c r="Q1032" s="176"/>
      <c r="R1032" s="176"/>
      <c r="S1032" s="176"/>
      <c r="T1032" s="176"/>
      <c r="U1032" s="176"/>
      <c r="V1032" s="176"/>
      <c r="W1032" s="176"/>
      <c r="X1032" s="176"/>
      <c r="Y1032" s="176"/>
      <c r="Z1032" s="176"/>
      <c r="AA1032" s="176"/>
      <c r="AB1032" s="176"/>
      <c r="AC1032" s="176"/>
      <c r="AD1032" s="176"/>
      <c r="AE1032" s="176"/>
      <c r="AF1032" s="176"/>
      <c r="AG1032" s="176"/>
      <c r="AH1032" s="176"/>
      <c r="AI1032" s="176"/>
      <c r="AJ1032" s="176"/>
      <c r="AK1032" s="176"/>
      <c r="AL1032" s="176"/>
      <c r="AM1032" s="176"/>
      <c r="AN1032" s="176"/>
      <c r="AO1032" s="176"/>
      <c r="AP1032" s="176"/>
      <c r="AQ1032" s="176"/>
      <c r="AR1032" s="176"/>
      <c r="AS1032" s="176"/>
      <c r="AT1032" s="176"/>
      <c r="AU1032" s="176"/>
      <c r="AV1032" s="176"/>
      <c r="AW1032" s="176"/>
      <c r="AX1032" s="176"/>
      <c r="AY1032" s="176"/>
      <c r="AZ1032" s="176"/>
      <c r="BA1032" s="176"/>
      <c r="BB1032" s="176"/>
      <c r="BC1032" s="176"/>
      <c r="BD1032" s="176"/>
      <c r="BE1032" s="176"/>
      <c r="BF1032" s="176"/>
      <c r="BG1032" s="176"/>
      <c r="BH1032" s="176"/>
      <c r="BI1032" s="176"/>
      <c r="BJ1032" s="176"/>
    </row>
    <row r="1033" spans="2:62" x14ac:dyDescent="0.3">
      <c r="B1033" s="3"/>
      <c r="C1033" s="2"/>
      <c r="D1033" s="2"/>
      <c r="E1033" s="3"/>
      <c r="O1033" s="176"/>
      <c r="P1033" s="176"/>
      <c r="Q1033" s="176"/>
      <c r="R1033" s="176"/>
      <c r="S1033" s="176"/>
      <c r="T1033" s="176"/>
      <c r="U1033" s="176"/>
      <c r="V1033" s="176"/>
      <c r="W1033" s="176"/>
      <c r="X1033" s="176"/>
      <c r="Y1033" s="176"/>
      <c r="Z1033" s="176"/>
      <c r="AA1033" s="176"/>
      <c r="AB1033" s="176"/>
      <c r="AC1033" s="176"/>
      <c r="AD1033" s="176"/>
      <c r="AE1033" s="176"/>
      <c r="AF1033" s="176"/>
      <c r="AG1033" s="176"/>
      <c r="AH1033" s="176"/>
      <c r="AI1033" s="176"/>
      <c r="AJ1033" s="176"/>
      <c r="AK1033" s="176"/>
      <c r="AL1033" s="176"/>
      <c r="AM1033" s="176"/>
      <c r="AN1033" s="176"/>
      <c r="AO1033" s="176"/>
      <c r="AP1033" s="176"/>
      <c r="AQ1033" s="176"/>
      <c r="AR1033" s="176"/>
      <c r="AS1033" s="176"/>
      <c r="AT1033" s="176"/>
      <c r="AU1033" s="176"/>
      <c r="AV1033" s="176"/>
      <c r="AW1033" s="176"/>
      <c r="AX1033" s="176"/>
      <c r="AY1033" s="176"/>
      <c r="AZ1033" s="176"/>
      <c r="BA1033" s="176"/>
      <c r="BB1033" s="176"/>
      <c r="BC1033" s="176"/>
      <c r="BD1033" s="176"/>
      <c r="BE1033" s="176"/>
      <c r="BF1033" s="176"/>
      <c r="BG1033" s="176"/>
      <c r="BH1033" s="176"/>
      <c r="BI1033" s="176"/>
      <c r="BJ1033" s="176"/>
    </row>
    <row r="1034" spans="2:62" x14ac:dyDescent="0.3">
      <c r="B1034" s="3"/>
      <c r="C1034" s="2"/>
      <c r="D1034" s="2"/>
      <c r="E1034" s="3"/>
      <c r="O1034" s="176"/>
      <c r="P1034" s="176"/>
      <c r="Q1034" s="176"/>
      <c r="R1034" s="176"/>
      <c r="S1034" s="176"/>
      <c r="T1034" s="176"/>
      <c r="U1034" s="176"/>
      <c r="V1034" s="176"/>
      <c r="W1034" s="176"/>
      <c r="X1034" s="176"/>
      <c r="Y1034" s="176"/>
      <c r="Z1034" s="176"/>
      <c r="AA1034" s="176"/>
      <c r="AB1034" s="176"/>
      <c r="AC1034" s="176"/>
      <c r="AD1034" s="176"/>
      <c r="AE1034" s="176"/>
      <c r="AF1034" s="176"/>
      <c r="AG1034" s="176"/>
      <c r="AH1034" s="176"/>
      <c r="AI1034" s="176"/>
      <c r="AJ1034" s="176"/>
      <c r="AK1034" s="176"/>
      <c r="AL1034" s="176"/>
      <c r="AM1034" s="176"/>
      <c r="AN1034" s="176"/>
      <c r="AO1034" s="176"/>
      <c r="AP1034" s="176"/>
      <c r="AQ1034" s="176"/>
      <c r="AR1034" s="176"/>
      <c r="AS1034" s="176"/>
      <c r="AT1034" s="176"/>
      <c r="AU1034" s="176"/>
      <c r="AV1034" s="176"/>
      <c r="AW1034" s="176"/>
      <c r="AX1034" s="176"/>
      <c r="AY1034" s="176"/>
      <c r="AZ1034" s="176"/>
      <c r="BA1034" s="176"/>
      <c r="BB1034" s="176"/>
      <c r="BC1034" s="176"/>
      <c r="BD1034" s="176"/>
      <c r="BE1034" s="176"/>
      <c r="BF1034" s="176"/>
      <c r="BG1034" s="176"/>
      <c r="BH1034" s="176"/>
      <c r="BI1034" s="176"/>
      <c r="BJ1034" s="176"/>
    </row>
    <row r="1035" spans="2:62" x14ac:dyDescent="0.3">
      <c r="B1035" s="3"/>
      <c r="C1035" s="2"/>
      <c r="D1035" s="2"/>
      <c r="E1035" s="3"/>
      <c r="O1035" s="176"/>
      <c r="P1035" s="176"/>
      <c r="Q1035" s="176"/>
      <c r="R1035" s="176"/>
      <c r="S1035" s="176"/>
      <c r="T1035" s="176"/>
      <c r="U1035" s="176"/>
      <c r="V1035" s="176"/>
      <c r="W1035" s="176"/>
      <c r="X1035" s="176"/>
      <c r="Y1035" s="176"/>
      <c r="Z1035" s="176"/>
      <c r="AA1035" s="176"/>
      <c r="AB1035" s="176"/>
      <c r="AC1035" s="176"/>
      <c r="AD1035" s="176"/>
      <c r="AE1035" s="176"/>
      <c r="AF1035" s="176"/>
      <c r="AG1035" s="176"/>
      <c r="AH1035" s="176"/>
      <c r="AI1035" s="176"/>
      <c r="AJ1035" s="176"/>
      <c r="AK1035" s="176"/>
      <c r="AL1035" s="176"/>
      <c r="AM1035" s="176"/>
      <c r="AN1035" s="176"/>
      <c r="AO1035" s="176"/>
      <c r="AP1035" s="176"/>
      <c r="AQ1035" s="176"/>
      <c r="AR1035" s="176"/>
      <c r="AS1035" s="176"/>
      <c r="AT1035" s="176"/>
      <c r="AU1035" s="176"/>
      <c r="AV1035" s="176"/>
      <c r="AW1035" s="176"/>
      <c r="AX1035" s="176"/>
      <c r="AY1035" s="176"/>
      <c r="AZ1035" s="176"/>
      <c r="BA1035" s="176"/>
      <c r="BB1035" s="176"/>
      <c r="BC1035" s="176"/>
      <c r="BD1035" s="176"/>
      <c r="BE1035" s="176"/>
      <c r="BF1035" s="176"/>
      <c r="BG1035" s="176"/>
      <c r="BH1035" s="176"/>
      <c r="BI1035" s="176"/>
      <c r="BJ1035" s="176"/>
    </row>
    <row r="1036" spans="2:62" x14ac:dyDescent="0.3">
      <c r="B1036" s="3"/>
      <c r="C1036" s="2"/>
      <c r="D1036" s="2"/>
      <c r="E1036" s="3"/>
      <c r="O1036" s="176"/>
      <c r="P1036" s="176"/>
      <c r="Q1036" s="176"/>
      <c r="R1036" s="176"/>
      <c r="S1036" s="176"/>
      <c r="T1036" s="176"/>
      <c r="U1036" s="176"/>
      <c r="V1036" s="176"/>
      <c r="W1036" s="176"/>
      <c r="X1036" s="176"/>
      <c r="Y1036" s="176"/>
      <c r="Z1036" s="176"/>
      <c r="AA1036" s="176"/>
      <c r="AB1036" s="176"/>
      <c r="AC1036" s="176"/>
      <c r="AD1036" s="176"/>
      <c r="AE1036" s="176"/>
      <c r="AF1036" s="176"/>
      <c r="AG1036" s="176"/>
      <c r="AH1036" s="176"/>
      <c r="AI1036" s="176"/>
      <c r="AJ1036" s="176"/>
      <c r="AK1036" s="176"/>
      <c r="AL1036" s="176"/>
      <c r="AM1036" s="176"/>
      <c r="AN1036" s="176"/>
      <c r="AO1036" s="176"/>
      <c r="AP1036" s="176"/>
      <c r="AQ1036" s="176"/>
      <c r="AR1036" s="176"/>
      <c r="AS1036" s="176"/>
      <c r="AT1036" s="176"/>
      <c r="AU1036" s="176"/>
      <c r="AV1036" s="176"/>
      <c r="AW1036" s="176"/>
      <c r="AX1036" s="176"/>
      <c r="AY1036" s="176"/>
      <c r="AZ1036" s="176"/>
      <c r="BA1036" s="176"/>
      <c r="BB1036" s="176"/>
      <c r="BC1036" s="176"/>
      <c r="BD1036" s="176"/>
      <c r="BE1036" s="176"/>
      <c r="BF1036" s="176"/>
      <c r="BG1036" s="176"/>
      <c r="BH1036" s="176"/>
      <c r="BI1036" s="176"/>
      <c r="BJ1036" s="176"/>
    </row>
    <row r="1037" spans="2:62" x14ac:dyDescent="0.3">
      <c r="B1037" s="3"/>
      <c r="C1037" s="2"/>
      <c r="D1037" s="2"/>
      <c r="E1037" s="3"/>
      <c r="O1037" s="176"/>
      <c r="P1037" s="176"/>
      <c r="Q1037" s="176"/>
      <c r="R1037" s="176"/>
      <c r="S1037" s="176"/>
      <c r="T1037" s="176"/>
      <c r="U1037" s="176"/>
      <c r="V1037" s="176"/>
      <c r="W1037" s="176"/>
      <c r="X1037" s="176"/>
      <c r="Y1037" s="176"/>
      <c r="Z1037" s="176"/>
      <c r="AA1037" s="176"/>
      <c r="AB1037" s="176"/>
      <c r="AC1037" s="176"/>
      <c r="AD1037" s="176"/>
      <c r="AE1037" s="176"/>
      <c r="AF1037" s="176"/>
      <c r="AG1037" s="176"/>
      <c r="AH1037" s="176"/>
      <c r="AI1037" s="176"/>
      <c r="AJ1037" s="176"/>
      <c r="AK1037" s="176"/>
      <c r="AL1037" s="176"/>
      <c r="AM1037" s="176"/>
      <c r="AN1037" s="176"/>
      <c r="AO1037" s="176"/>
      <c r="AP1037" s="176"/>
      <c r="AQ1037" s="176"/>
      <c r="AR1037" s="176"/>
      <c r="AS1037" s="176"/>
      <c r="AT1037" s="176"/>
      <c r="AU1037" s="176"/>
      <c r="AV1037" s="176"/>
      <c r="AW1037" s="176"/>
      <c r="AX1037" s="176"/>
      <c r="AY1037" s="176"/>
      <c r="AZ1037" s="176"/>
      <c r="BA1037" s="176"/>
      <c r="BB1037" s="176"/>
      <c r="BC1037" s="176"/>
      <c r="BD1037" s="176"/>
      <c r="BE1037" s="176"/>
      <c r="BF1037" s="176"/>
      <c r="BG1037" s="176"/>
      <c r="BH1037" s="176"/>
      <c r="BI1037" s="176"/>
      <c r="BJ1037" s="176"/>
    </row>
    <row r="1038" spans="2:62" x14ac:dyDescent="0.3">
      <c r="B1038" s="3"/>
      <c r="C1038" s="2"/>
      <c r="D1038" s="2"/>
      <c r="E1038" s="3"/>
      <c r="O1038" s="176"/>
      <c r="P1038" s="176"/>
      <c r="Q1038" s="176"/>
      <c r="R1038" s="176"/>
      <c r="S1038" s="176"/>
      <c r="T1038" s="176"/>
      <c r="U1038" s="176"/>
      <c r="V1038" s="176"/>
      <c r="W1038" s="176"/>
      <c r="X1038" s="176"/>
      <c r="Y1038" s="176"/>
      <c r="Z1038" s="176"/>
      <c r="AA1038" s="176"/>
      <c r="AB1038" s="176"/>
      <c r="AC1038" s="176"/>
      <c r="AD1038" s="176"/>
      <c r="AE1038" s="176"/>
      <c r="AF1038" s="176"/>
      <c r="AG1038" s="176"/>
      <c r="AH1038" s="176"/>
      <c r="AI1038" s="176"/>
      <c r="AJ1038" s="176"/>
      <c r="AK1038" s="176"/>
      <c r="AL1038" s="176"/>
      <c r="AM1038" s="176"/>
      <c r="AN1038" s="176"/>
      <c r="AO1038" s="176"/>
      <c r="AP1038" s="176"/>
      <c r="AQ1038" s="176"/>
      <c r="AR1038" s="176"/>
      <c r="AS1038" s="176"/>
      <c r="AT1038" s="176"/>
      <c r="AU1038" s="176"/>
      <c r="AV1038" s="176"/>
      <c r="AW1038" s="176"/>
      <c r="AX1038" s="176"/>
      <c r="AY1038" s="176"/>
      <c r="AZ1038" s="176"/>
      <c r="BA1038" s="176"/>
      <c r="BB1038" s="176"/>
      <c r="BC1038" s="176"/>
      <c r="BD1038" s="176"/>
      <c r="BE1038" s="176"/>
      <c r="BF1038" s="176"/>
      <c r="BG1038" s="176"/>
      <c r="BH1038" s="176"/>
      <c r="BI1038" s="176"/>
      <c r="BJ1038" s="176"/>
    </row>
    <row r="1039" spans="2:62" x14ac:dyDescent="0.3">
      <c r="B1039" s="3"/>
      <c r="C1039" s="2"/>
      <c r="D1039" s="2"/>
      <c r="E1039" s="3"/>
      <c r="O1039" s="176"/>
      <c r="P1039" s="176"/>
      <c r="Q1039" s="176"/>
      <c r="R1039" s="176"/>
      <c r="S1039" s="176"/>
      <c r="T1039" s="176"/>
      <c r="U1039" s="176"/>
      <c r="V1039" s="176"/>
      <c r="W1039" s="176"/>
      <c r="X1039" s="176"/>
      <c r="Y1039" s="176"/>
      <c r="Z1039" s="176"/>
      <c r="AA1039" s="176"/>
      <c r="AB1039" s="176"/>
      <c r="AC1039" s="176"/>
      <c r="AD1039" s="176"/>
      <c r="AE1039" s="176"/>
      <c r="AF1039" s="176"/>
      <c r="AG1039" s="176"/>
      <c r="AH1039" s="176"/>
      <c r="AI1039" s="176"/>
      <c r="AJ1039" s="176"/>
      <c r="AK1039" s="176"/>
      <c r="AL1039" s="176"/>
      <c r="AM1039" s="176"/>
      <c r="AN1039" s="176"/>
      <c r="AO1039" s="176"/>
      <c r="AP1039" s="176"/>
      <c r="AQ1039" s="176"/>
      <c r="AR1039" s="176"/>
      <c r="AS1039" s="176"/>
      <c r="AT1039" s="176"/>
      <c r="AU1039" s="176"/>
      <c r="AV1039" s="176"/>
      <c r="AW1039" s="176"/>
      <c r="AX1039" s="176"/>
      <c r="AY1039" s="176"/>
      <c r="AZ1039" s="176"/>
      <c r="BA1039" s="176"/>
      <c r="BB1039" s="176"/>
      <c r="BC1039" s="176"/>
      <c r="BD1039" s="176"/>
      <c r="BE1039" s="176"/>
      <c r="BF1039" s="176"/>
      <c r="BG1039" s="176"/>
      <c r="BH1039" s="176"/>
      <c r="BI1039" s="176"/>
      <c r="BJ1039" s="176"/>
    </row>
    <row r="1040" spans="2:62" x14ac:dyDescent="0.3">
      <c r="B1040" s="3"/>
      <c r="C1040" s="2"/>
      <c r="D1040" s="2"/>
      <c r="E1040" s="3"/>
      <c r="O1040" s="176"/>
      <c r="P1040" s="176"/>
      <c r="Q1040" s="176"/>
      <c r="R1040" s="176"/>
      <c r="S1040" s="176"/>
      <c r="T1040" s="176"/>
      <c r="U1040" s="176"/>
      <c r="V1040" s="176"/>
      <c r="W1040" s="176"/>
      <c r="X1040" s="176"/>
      <c r="Y1040" s="176"/>
      <c r="Z1040" s="176"/>
      <c r="AA1040" s="176"/>
      <c r="AB1040" s="176"/>
      <c r="AC1040" s="176"/>
      <c r="AD1040" s="176"/>
      <c r="AE1040" s="176"/>
      <c r="AF1040" s="176"/>
      <c r="AG1040" s="176"/>
      <c r="AH1040" s="176"/>
      <c r="AI1040" s="176"/>
      <c r="AJ1040" s="176"/>
      <c r="AK1040" s="176"/>
      <c r="AL1040" s="176"/>
      <c r="AM1040" s="176"/>
      <c r="AN1040" s="176"/>
      <c r="AO1040" s="176"/>
      <c r="AP1040" s="176"/>
      <c r="AQ1040" s="176"/>
      <c r="AR1040" s="176"/>
      <c r="AS1040" s="176"/>
      <c r="AT1040" s="176"/>
      <c r="AU1040" s="176"/>
      <c r="AV1040" s="176"/>
      <c r="AW1040" s="176"/>
      <c r="AX1040" s="176"/>
      <c r="AY1040" s="176"/>
      <c r="AZ1040" s="176"/>
      <c r="BA1040" s="176"/>
      <c r="BB1040" s="176"/>
      <c r="BC1040" s="176"/>
      <c r="BD1040" s="176"/>
      <c r="BE1040" s="176"/>
      <c r="BF1040" s="176"/>
      <c r="BG1040" s="176"/>
      <c r="BH1040" s="176"/>
      <c r="BI1040" s="176"/>
      <c r="BJ1040" s="176"/>
    </row>
    <row r="1041" spans="2:62" x14ac:dyDescent="0.3">
      <c r="B1041" s="3"/>
      <c r="C1041" s="2"/>
      <c r="D1041" s="2"/>
      <c r="E1041" s="3"/>
      <c r="O1041" s="176"/>
      <c r="P1041" s="176"/>
      <c r="Q1041" s="176"/>
      <c r="R1041" s="176"/>
      <c r="S1041" s="176"/>
      <c r="T1041" s="176"/>
      <c r="U1041" s="176"/>
      <c r="V1041" s="176"/>
      <c r="W1041" s="176"/>
      <c r="X1041" s="176"/>
      <c r="Y1041" s="176"/>
      <c r="Z1041" s="176"/>
      <c r="AA1041" s="176"/>
      <c r="AB1041" s="176"/>
      <c r="AC1041" s="176"/>
      <c r="AD1041" s="176"/>
      <c r="AE1041" s="176"/>
      <c r="AF1041" s="176"/>
      <c r="AG1041" s="176"/>
      <c r="AH1041" s="176"/>
      <c r="AI1041" s="176"/>
      <c r="AJ1041" s="176"/>
      <c r="AK1041" s="176"/>
      <c r="AL1041" s="176"/>
      <c r="AM1041" s="176"/>
      <c r="AN1041" s="176"/>
      <c r="AO1041" s="176"/>
      <c r="AP1041" s="176"/>
      <c r="AQ1041" s="176"/>
      <c r="AR1041" s="176"/>
      <c r="AS1041" s="176"/>
      <c r="AT1041" s="176"/>
      <c r="AU1041" s="176"/>
      <c r="AV1041" s="176"/>
      <c r="AW1041" s="176"/>
      <c r="AX1041" s="176"/>
      <c r="AY1041" s="176"/>
      <c r="AZ1041" s="176"/>
      <c r="BA1041" s="176"/>
      <c r="BB1041" s="176"/>
      <c r="BC1041" s="176"/>
      <c r="BD1041" s="176"/>
      <c r="BE1041" s="176"/>
      <c r="BF1041" s="176"/>
      <c r="BG1041" s="176"/>
      <c r="BH1041" s="176"/>
      <c r="BI1041" s="176"/>
      <c r="BJ1041" s="176"/>
    </row>
    <row r="1042" spans="2:62" x14ac:dyDescent="0.3">
      <c r="B1042" s="3"/>
      <c r="C1042" s="2"/>
      <c r="D1042" s="2"/>
      <c r="E1042" s="3"/>
      <c r="O1042" s="176"/>
      <c r="P1042" s="176"/>
      <c r="Q1042" s="176"/>
      <c r="R1042" s="176"/>
      <c r="S1042" s="176"/>
      <c r="T1042" s="176"/>
      <c r="U1042" s="176"/>
      <c r="V1042" s="176"/>
      <c r="W1042" s="176"/>
      <c r="X1042" s="176"/>
      <c r="Y1042" s="176"/>
      <c r="Z1042" s="176"/>
      <c r="AA1042" s="176"/>
      <c r="AB1042" s="176"/>
      <c r="AC1042" s="176"/>
      <c r="AD1042" s="176"/>
      <c r="AE1042" s="176"/>
      <c r="AF1042" s="176"/>
      <c r="AG1042" s="176"/>
      <c r="AH1042" s="176"/>
      <c r="AI1042" s="176"/>
      <c r="AJ1042" s="176"/>
      <c r="AK1042" s="176"/>
      <c r="AL1042" s="176"/>
      <c r="AM1042" s="176"/>
      <c r="AN1042" s="176"/>
      <c r="AO1042" s="176"/>
      <c r="AP1042" s="176"/>
      <c r="AQ1042" s="176"/>
      <c r="AR1042" s="176"/>
      <c r="AS1042" s="176"/>
      <c r="AT1042" s="176"/>
      <c r="AU1042" s="176"/>
      <c r="AV1042" s="176"/>
      <c r="AW1042" s="176"/>
      <c r="AX1042" s="176"/>
      <c r="AY1042" s="176"/>
      <c r="AZ1042" s="176"/>
      <c r="BA1042" s="176"/>
      <c r="BB1042" s="176"/>
      <c r="BC1042" s="176"/>
      <c r="BD1042" s="176"/>
      <c r="BE1042" s="176"/>
      <c r="BF1042" s="176"/>
      <c r="BG1042" s="176"/>
      <c r="BH1042" s="176"/>
      <c r="BI1042" s="176"/>
      <c r="BJ1042" s="176"/>
    </row>
    <row r="1043" spans="2:62" x14ac:dyDescent="0.3">
      <c r="B1043" s="3"/>
      <c r="C1043" s="2"/>
      <c r="D1043" s="2"/>
      <c r="E1043" s="3"/>
      <c r="O1043" s="176"/>
      <c r="P1043" s="176"/>
      <c r="Q1043" s="176"/>
      <c r="R1043" s="176"/>
      <c r="S1043" s="176"/>
      <c r="T1043" s="176"/>
      <c r="U1043" s="176"/>
      <c r="V1043" s="176"/>
      <c r="W1043" s="176"/>
      <c r="X1043" s="176"/>
      <c r="Y1043" s="176"/>
      <c r="Z1043" s="176"/>
      <c r="AA1043" s="176"/>
      <c r="AB1043" s="176"/>
      <c r="AC1043" s="176"/>
      <c r="AD1043" s="176"/>
      <c r="AE1043" s="176"/>
      <c r="AF1043" s="176"/>
      <c r="AG1043" s="176"/>
      <c r="AH1043" s="176"/>
      <c r="AI1043" s="176"/>
      <c r="AJ1043" s="176"/>
      <c r="AK1043" s="176"/>
      <c r="AL1043" s="176"/>
      <c r="AM1043" s="176"/>
      <c r="AN1043" s="176"/>
      <c r="AO1043" s="176"/>
      <c r="AP1043" s="176"/>
      <c r="AQ1043" s="176"/>
      <c r="AR1043" s="176"/>
      <c r="AS1043" s="176"/>
      <c r="AT1043" s="176"/>
      <c r="AU1043" s="176"/>
      <c r="AV1043" s="176"/>
      <c r="AW1043" s="176"/>
      <c r="AX1043" s="176"/>
      <c r="AY1043" s="176"/>
      <c r="AZ1043" s="176"/>
      <c r="BA1043" s="176"/>
      <c r="BB1043" s="176"/>
      <c r="BC1043" s="176"/>
      <c r="BD1043" s="176"/>
      <c r="BE1043" s="176"/>
      <c r="BF1043" s="176"/>
      <c r="BG1043" s="176"/>
      <c r="BH1043" s="176"/>
      <c r="BI1043" s="176"/>
      <c r="BJ1043" s="176"/>
    </row>
    <row r="1044" spans="2:62" x14ac:dyDescent="0.3">
      <c r="B1044" s="3"/>
      <c r="C1044" s="2"/>
      <c r="D1044" s="2"/>
      <c r="E1044" s="3"/>
      <c r="O1044" s="176"/>
      <c r="P1044" s="176"/>
      <c r="Q1044" s="176"/>
      <c r="R1044" s="176"/>
      <c r="S1044" s="176"/>
      <c r="T1044" s="176"/>
      <c r="U1044" s="176"/>
      <c r="V1044" s="176"/>
      <c r="W1044" s="176"/>
      <c r="X1044" s="176"/>
      <c r="Y1044" s="176"/>
      <c r="Z1044" s="176"/>
      <c r="AA1044" s="176"/>
      <c r="AB1044" s="176"/>
      <c r="AC1044" s="176"/>
      <c r="AD1044" s="176"/>
      <c r="AE1044" s="176"/>
      <c r="AF1044" s="176"/>
      <c r="AG1044" s="176"/>
      <c r="AH1044" s="176"/>
      <c r="AI1044" s="176"/>
      <c r="AJ1044" s="176"/>
      <c r="AK1044" s="176"/>
      <c r="AL1044" s="176"/>
      <c r="AM1044" s="176"/>
      <c r="AN1044" s="176"/>
      <c r="AO1044" s="176"/>
      <c r="AP1044" s="176"/>
      <c r="AQ1044" s="176"/>
      <c r="AR1044" s="176"/>
      <c r="AS1044" s="176"/>
      <c r="AT1044" s="176"/>
      <c r="AU1044" s="176"/>
      <c r="AV1044" s="176"/>
      <c r="AW1044" s="176"/>
      <c r="AX1044" s="176"/>
      <c r="AY1044" s="176"/>
      <c r="AZ1044" s="176"/>
      <c r="BA1044" s="176"/>
      <c r="BB1044" s="176"/>
      <c r="BC1044" s="176"/>
      <c r="BD1044" s="176"/>
      <c r="BE1044" s="176"/>
      <c r="BF1044" s="176"/>
      <c r="BG1044" s="176"/>
      <c r="BH1044" s="176"/>
      <c r="BI1044" s="176"/>
      <c r="BJ1044" s="176"/>
    </row>
    <row r="1045" spans="2:62" x14ac:dyDescent="0.3">
      <c r="B1045" s="3"/>
      <c r="C1045" s="2"/>
      <c r="D1045" s="2"/>
      <c r="E1045" s="3"/>
      <c r="O1045" s="176"/>
      <c r="P1045" s="176"/>
      <c r="Q1045" s="176"/>
      <c r="R1045" s="176"/>
      <c r="S1045" s="176"/>
      <c r="T1045" s="176"/>
      <c r="U1045" s="176"/>
      <c r="V1045" s="176"/>
      <c r="W1045" s="176"/>
      <c r="X1045" s="176"/>
      <c r="Y1045" s="176"/>
      <c r="Z1045" s="176"/>
      <c r="AA1045" s="176"/>
      <c r="AB1045" s="176"/>
      <c r="AC1045" s="176"/>
      <c r="AD1045" s="176"/>
      <c r="AE1045" s="176"/>
      <c r="AF1045" s="176"/>
      <c r="AG1045" s="176"/>
      <c r="AH1045" s="176"/>
      <c r="AI1045" s="176"/>
      <c r="AJ1045" s="176"/>
      <c r="AK1045" s="176"/>
      <c r="AL1045" s="176"/>
      <c r="AM1045" s="176"/>
      <c r="AN1045" s="176"/>
      <c r="AO1045" s="176"/>
      <c r="AP1045" s="176"/>
      <c r="AQ1045" s="176"/>
      <c r="AR1045" s="176"/>
      <c r="AS1045" s="176"/>
      <c r="AT1045" s="176"/>
      <c r="AU1045" s="176"/>
      <c r="AV1045" s="176"/>
      <c r="AW1045" s="176"/>
      <c r="AX1045" s="176"/>
      <c r="AY1045" s="176"/>
      <c r="AZ1045" s="176"/>
      <c r="BA1045" s="176"/>
      <c r="BB1045" s="176"/>
      <c r="BC1045" s="176"/>
      <c r="BD1045" s="176"/>
      <c r="BE1045" s="176"/>
      <c r="BF1045" s="176"/>
      <c r="BG1045" s="176"/>
      <c r="BH1045" s="176"/>
      <c r="BI1045" s="176"/>
      <c r="BJ1045" s="176"/>
    </row>
    <row r="1046" spans="2:62" x14ac:dyDescent="0.3">
      <c r="B1046" s="3"/>
      <c r="C1046" s="2"/>
      <c r="D1046" s="2"/>
      <c r="E1046" s="3"/>
      <c r="O1046" s="176"/>
      <c r="P1046" s="176"/>
      <c r="Q1046" s="176"/>
      <c r="R1046" s="176"/>
      <c r="S1046" s="176"/>
      <c r="T1046" s="176"/>
      <c r="U1046" s="176"/>
      <c r="V1046" s="176"/>
      <c r="W1046" s="176"/>
      <c r="X1046" s="176"/>
      <c r="Y1046" s="176"/>
      <c r="Z1046" s="176"/>
      <c r="AA1046" s="176"/>
      <c r="AB1046" s="176"/>
      <c r="AC1046" s="176"/>
      <c r="AD1046" s="176"/>
      <c r="AE1046" s="176"/>
      <c r="AF1046" s="176"/>
      <c r="AG1046" s="176"/>
      <c r="AH1046" s="176"/>
      <c r="AI1046" s="176"/>
      <c r="AJ1046" s="176"/>
      <c r="AK1046" s="176"/>
      <c r="AL1046" s="176"/>
      <c r="AM1046" s="176"/>
      <c r="AN1046" s="176"/>
      <c r="AO1046" s="176"/>
      <c r="AP1046" s="176"/>
      <c r="AQ1046" s="176"/>
      <c r="AR1046" s="176"/>
      <c r="AS1046" s="176"/>
      <c r="AT1046" s="176"/>
      <c r="AU1046" s="176"/>
      <c r="AV1046" s="176"/>
      <c r="AW1046" s="176"/>
      <c r="AX1046" s="176"/>
      <c r="AY1046" s="176"/>
      <c r="AZ1046" s="176"/>
      <c r="BA1046" s="176"/>
      <c r="BB1046" s="176"/>
      <c r="BC1046" s="176"/>
      <c r="BD1046" s="176"/>
      <c r="BE1046" s="176"/>
      <c r="BF1046" s="176"/>
      <c r="BG1046" s="176"/>
      <c r="BH1046" s="176"/>
      <c r="BI1046" s="176"/>
      <c r="BJ1046" s="176"/>
    </row>
    <row r="1047" spans="2:62" x14ac:dyDescent="0.3">
      <c r="B1047" s="3"/>
      <c r="C1047" s="2"/>
      <c r="D1047" s="2"/>
      <c r="E1047" s="3"/>
      <c r="O1047" s="176"/>
      <c r="P1047" s="176"/>
      <c r="Q1047" s="176"/>
      <c r="R1047" s="176"/>
      <c r="S1047" s="176"/>
      <c r="T1047" s="176"/>
      <c r="U1047" s="176"/>
      <c r="V1047" s="176"/>
      <c r="W1047" s="176"/>
      <c r="X1047" s="176"/>
      <c r="Y1047" s="176"/>
      <c r="Z1047" s="176"/>
      <c r="AA1047" s="176"/>
      <c r="AB1047" s="176"/>
      <c r="AC1047" s="176"/>
      <c r="AD1047" s="176"/>
      <c r="AE1047" s="176"/>
      <c r="AF1047" s="176"/>
      <c r="AG1047" s="176"/>
      <c r="AH1047" s="176"/>
      <c r="AI1047" s="176"/>
      <c r="AJ1047" s="176"/>
      <c r="AK1047" s="176"/>
      <c r="AL1047" s="176"/>
      <c r="AM1047" s="176"/>
      <c r="AN1047" s="176"/>
      <c r="AO1047" s="176"/>
      <c r="AP1047" s="176"/>
      <c r="AQ1047" s="176"/>
      <c r="AR1047" s="176"/>
      <c r="AS1047" s="176"/>
      <c r="AT1047" s="176"/>
      <c r="AU1047" s="176"/>
      <c r="AV1047" s="176"/>
      <c r="AW1047" s="176"/>
      <c r="AX1047" s="176"/>
      <c r="AY1047" s="176"/>
      <c r="AZ1047" s="176"/>
      <c r="BA1047" s="176"/>
      <c r="BB1047" s="176"/>
      <c r="BC1047" s="176"/>
      <c r="BD1047" s="176"/>
      <c r="BE1047" s="176"/>
      <c r="BF1047" s="176"/>
      <c r="BG1047" s="176"/>
      <c r="BH1047" s="176"/>
      <c r="BI1047" s="176"/>
      <c r="BJ1047" s="176"/>
    </row>
    <row r="1048" spans="2:62" x14ac:dyDescent="0.3">
      <c r="B1048" s="3"/>
      <c r="C1048" s="2"/>
      <c r="D1048" s="2"/>
      <c r="E1048" s="3"/>
      <c r="O1048" s="176"/>
      <c r="P1048" s="176"/>
      <c r="Q1048" s="176"/>
      <c r="R1048" s="176"/>
      <c r="S1048" s="176"/>
      <c r="T1048" s="176"/>
      <c r="U1048" s="176"/>
      <c r="V1048" s="176"/>
      <c r="W1048" s="176"/>
      <c r="X1048" s="176"/>
      <c r="Y1048" s="176"/>
      <c r="Z1048" s="176"/>
      <c r="AA1048" s="176"/>
      <c r="AB1048" s="176"/>
      <c r="AC1048" s="176"/>
      <c r="AD1048" s="176"/>
      <c r="AE1048" s="176"/>
      <c r="AF1048" s="176"/>
      <c r="AG1048" s="176"/>
      <c r="AH1048" s="176"/>
      <c r="AI1048" s="176"/>
      <c r="AJ1048" s="176"/>
      <c r="AK1048" s="176"/>
      <c r="AL1048" s="176"/>
      <c r="AM1048" s="176"/>
      <c r="AN1048" s="176"/>
      <c r="AO1048" s="176"/>
      <c r="AP1048" s="176"/>
      <c r="AQ1048" s="176"/>
      <c r="AR1048" s="176"/>
      <c r="AS1048" s="176"/>
      <c r="AT1048" s="176"/>
      <c r="AU1048" s="176"/>
      <c r="AV1048" s="176"/>
      <c r="AW1048" s="176"/>
      <c r="AX1048" s="176"/>
      <c r="AY1048" s="176"/>
      <c r="AZ1048" s="176"/>
      <c r="BA1048" s="176"/>
      <c r="BB1048" s="176"/>
      <c r="BC1048" s="176"/>
      <c r="BD1048" s="176"/>
      <c r="BE1048" s="176"/>
      <c r="BF1048" s="176"/>
      <c r="BG1048" s="176"/>
      <c r="BH1048" s="176"/>
      <c r="BI1048" s="176"/>
      <c r="BJ1048" s="176"/>
    </row>
    <row r="1049" spans="2:62" x14ac:dyDescent="0.3">
      <c r="B1049" s="3"/>
      <c r="C1049" s="2"/>
      <c r="D1049" s="2"/>
      <c r="E1049" s="3"/>
      <c r="O1049" s="176"/>
      <c r="P1049" s="176"/>
      <c r="Q1049" s="176"/>
      <c r="R1049" s="176"/>
      <c r="S1049" s="176"/>
      <c r="T1049" s="176"/>
      <c r="U1049" s="176"/>
      <c r="V1049" s="176"/>
      <c r="W1049" s="176"/>
      <c r="X1049" s="176"/>
      <c r="Y1049" s="176"/>
      <c r="Z1049" s="176"/>
      <c r="AA1049" s="176"/>
      <c r="AB1049" s="176"/>
      <c r="AC1049" s="176"/>
      <c r="AD1049" s="176"/>
      <c r="AE1049" s="176"/>
      <c r="AF1049" s="176"/>
      <c r="AG1049" s="176"/>
      <c r="AH1049" s="176"/>
      <c r="AI1049" s="176"/>
      <c r="AJ1049" s="176"/>
      <c r="AK1049" s="176"/>
      <c r="AL1049" s="176"/>
      <c r="AM1049" s="176"/>
      <c r="AN1049" s="176"/>
      <c r="AO1049" s="176"/>
      <c r="AP1049" s="176"/>
      <c r="AQ1049" s="176"/>
      <c r="AR1049" s="176"/>
      <c r="AS1049" s="176"/>
      <c r="AT1049" s="176"/>
      <c r="AU1049" s="176"/>
      <c r="AV1049" s="176"/>
      <c r="AW1049" s="176"/>
      <c r="AX1049" s="176"/>
      <c r="AY1049" s="176"/>
      <c r="AZ1049" s="176"/>
      <c r="BA1049" s="176"/>
      <c r="BB1049" s="176"/>
      <c r="BC1049" s="176"/>
      <c r="BD1049" s="176"/>
      <c r="BE1049" s="176"/>
      <c r="BF1049" s="176"/>
      <c r="BG1049" s="176"/>
      <c r="BH1049" s="176"/>
      <c r="BI1049" s="176"/>
      <c r="BJ1049" s="176"/>
    </row>
    <row r="1050" spans="2:62" x14ac:dyDescent="0.3">
      <c r="B1050" s="3"/>
      <c r="C1050" s="2"/>
      <c r="D1050" s="2"/>
      <c r="E1050" s="3"/>
      <c r="O1050" s="176"/>
      <c r="P1050" s="176"/>
      <c r="Q1050" s="176"/>
      <c r="R1050" s="176"/>
      <c r="S1050" s="176"/>
      <c r="T1050" s="176"/>
      <c r="U1050" s="176"/>
      <c r="V1050" s="176"/>
      <c r="W1050" s="176"/>
      <c r="X1050" s="176"/>
      <c r="Y1050" s="176"/>
      <c r="Z1050" s="176"/>
      <c r="AA1050" s="176"/>
      <c r="AB1050" s="176"/>
      <c r="AC1050" s="176"/>
      <c r="AD1050" s="176"/>
      <c r="AE1050" s="176"/>
      <c r="AF1050" s="176"/>
      <c r="AG1050" s="176"/>
      <c r="AH1050" s="176"/>
      <c r="AI1050" s="176"/>
      <c r="AJ1050" s="176"/>
      <c r="AK1050" s="176"/>
      <c r="AL1050" s="176"/>
      <c r="AM1050" s="176"/>
      <c r="AN1050" s="176"/>
      <c r="AO1050" s="176"/>
      <c r="AP1050" s="176"/>
      <c r="AQ1050" s="176"/>
      <c r="AR1050" s="176"/>
      <c r="AS1050" s="176"/>
      <c r="AT1050" s="176"/>
      <c r="AU1050" s="176"/>
      <c r="AV1050" s="176"/>
      <c r="AW1050" s="176"/>
      <c r="AX1050" s="176"/>
      <c r="AY1050" s="176"/>
      <c r="AZ1050" s="176"/>
      <c r="BA1050" s="176"/>
      <c r="BB1050" s="176"/>
      <c r="BC1050" s="176"/>
      <c r="BD1050" s="176"/>
      <c r="BE1050" s="176"/>
      <c r="BF1050" s="176"/>
      <c r="BG1050" s="176"/>
      <c r="BH1050" s="176"/>
      <c r="BI1050" s="176"/>
      <c r="BJ1050" s="176"/>
    </row>
    <row r="1051" spans="2:62" x14ac:dyDescent="0.3">
      <c r="B1051" s="3"/>
      <c r="C1051" s="2"/>
      <c r="D1051" s="2"/>
      <c r="E1051" s="3"/>
      <c r="O1051" s="176"/>
      <c r="P1051" s="176"/>
      <c r="Q1051" s="176"/>
      <c r="R1051" s="176"/>
      <c r="S1051" s="176"/>
      <c r="T1051" s="176"/>
      <c r="U1051" s="176"/>
      <c r="V1051" s="176"/>
      <c r="W1051" s="176"/>
      <c r="X1051" s="176"/>
      <c r="Y1051" s="176"/>
      <c r="Z1051" s="176"/>
      <c r="AA1051" s="176"/>
      <c r="AB1051" s="176"/>
      <c r="AC1051" s="176"/>
      <c r="AD1051" s="176"/>
      <c r="AE1051" s="176"/>
      <c r="AF1051" s="176"/>
      <c r="AG1051" s="176"/>
      <c r="AH1051" s="176"/>
      <c r="AI1051" s="176"/>
      <c r="AJ1051" s="176"/>
      <c r="AK1051" s="176"/>
      <c r="AL1051" s="176"/>
      <c r="AM1051" s="176"/>
      <c r="AN1051" s="176"/>
      <c r="AO1051" s="176"/>
      <c r="AP1051" s="176"/>
      <c r="AQ1051" s="176"/>
      <c r="AR1051" s="176"/>
      <c r="AS1051" s="176"/>
      <c r="AT1051" s="176"/>
      <c r="AU1051" s="176"/>
      <c r="AV1051" s="176"/>
      <c r="AW1051" s="176"/>
      <c r="AX1051" s="176"/>
      <c r="AY1051" s="176"/>
      <c r="AZ1051" s="176"/>
      <c r="BA1051" s="176"/>
      <c r="BB1051" s="176"/>
      <c r="BC1051" s="176"/>
      <c r="BD1051" s="176"/>
      <c r="BE1051" s="176"/>
      <c r="BF1051" s="176"/>
      <c r="BG1051" s="176"/>
      <c r="BH1051" s="176"/>
      <c r="BI1051" s="176"/>
      <c r="BJ1051" s="176"/>
    </row>
    <row r="1052" spans="2:62" x14ac:dyDescent="0.3">
      <c r="B1052" s="3"/>
      <c r="C1052" s="2"/>
      <c r="D1052" s="2"/>
      <c r="E1052" s="3"/>
      <c r="O1052" s="176"/>
      <c r="P1052" s="176"/>
      <c r="Q1052" s="176"/>
      <c r="R1052" s="176"/>
      <c r="S1052" s="176"/>
      <c r="T1052" s="176"/>
      <c r="U1052" s="176"/>
      <c r="V1052" s="176"/>
      <c r="W1052" s="176"/>
      <c r="X1052" s="176"/>
      <c r="Y1052" s="176"/>
      <c r="Z1052" s="176"/>
      <c r="AA1052" s="176"/>
      <c r="AB1052" s="176"/>
      <c r="AC1052" s="176"/>
      <c r="AD1052" s="176"/>
      <c r="AE1052" s="176"/>
      <c r="AF1052" s="176"/>
      <c r="AG1052" s="176"/>
      <c r="AH1052" s="176"/>
      <c r="AI1052" s="176"/>
      <c r="AJ1052" s="176"/>
      <c r="AK1052" s="176"/>
      <c r="AL1052" s="176"/>
      <c r="AM1052" s="176"/>
      <c r="AN1052" s="176"/>
      <c r="AO1052" s="176"/>
      <c r="AP1052" s="176"/>
      <c r="AQ1052" s="176"/>
      <c r="AR1052" s="176"/>
      <c r="AS1052" s="176"/>
      <c r="AT1052" s="176"/>
      <c r="AU1052" s="176"/>
      <c r="AV1052" s="176"/>
      <c r="AW1052" s="176"/>
      <c r="AX1052" s="176"/>
      <c r="AY1052" s="176"/>
      <c r="AZ1052" s="176"/>
      <c r="BA1052" s="176"/>
      <c r="BB1052" s="176"/>
      <c r="BC1052" s="176"/>
      <c r="BD1052" s="176"/>
      <c r="BE1052" s="176"/>
      <c r="BF1052" s="176"/>
      <c r="BG1052" s="176"/>
      <c r="BH1052" s="176"/>
      <c r="BI1052" s="176"/>
      <c r="BJ1052" s="176"/>
    </row>
    <row r="1053" spans="2:62" x14ac:dyDescent="0.3">
      <c r="B1053" s="3"/>
      <c r="C1053" s="2"/>
      <c r="D1053" s="2"/>
      <c r="E1053" s="3"/>
      <c r="O1053" s="176"/>
      <c r="P1053" s="176"/>
      <c r="Q1053" s="176"/>
      <c r="R1053" s="176"/>
      <c r="S1053" s="176"/>
      <c r="T1053" s="176"/>
      <c r="U1053" s="176"/>
      <c r="V1053" s="176"/>
      <c r="W1053" s="176"/>
      <c r="X1053" s="176"/>
      <c r="Y1053" s="176"/>
      <c r="Z1053" s="176"/>
      <c r="AA1053" s="176"/>
      <c r="AB1053" s="176"/>
      <c r="AC1053" s="176"/>
      <c r="AD1053" s="176"/>
      <c r="AE1053" s="176"/>
      <c r="AF1053" s="176"/>
      <c r="AG1053" s="176"/>
      <c r="AH1053" s="176"/>
      <c r="AI1053" s="176"/>
      <c r="AJ1053" s="176"/>
      <c r="AK1053" s="176"/>
      <c r="AL1053" s="176"/>
      <c r="AM1053" s="176"/>
      <c r="AN1053" s="176"/>
      <c r="AO1053" s="176"/>
      <c r="AP1053" s="176"/>
      <c r="AQ1053" s="176"/>
      <c r="AR1053" s="176"/>
      <c r="AS1053" s="176"/>
      <c r="AT1053" s="176"/>
      <c r="AU1053" s="176"/>
      <c r="AV1053" s="176"/>
      <c r="AW1053" s="176"/>
      <c r="AX1053" s="176"/>
      <c r="AY1053" s="176"/>
      <c r="AZ1053" s="176"/>
      <c r="BA1053" s="176"/>
      <c r="BB1053" s="176"/>
      <c r="BC1053" s="176"/>
      <c r="BD1053" s="176"/>
      <c r="BE1053" s="176"/>
      <c r="BF1053" s="176"/>
      <c r="BG1053" s="176"/>
      <c r="BH1053" s="176"/>
      <c r="BI1053" s="176"/>
      <c r="BJ1053" s="176"/>
    </row>
    <row r="1054" spans="2:62" x14ac:dyDescent="0.3">
      <c r="B1054" s="3"/>
      <c r="C1054" s="2"/>
      <c r="D1054" s="2"/>
      <c r="E1054" s="3"/>
      <c r="O1054" s="176"/>
      <c r="P1054" s="176"/>
      <c r="Q1054" s="176"/>
      <c r="R1054" s="176"/>
      <c r="S1054" s="176"/>
      <c r="T1054" s="176"/>
      <c r="U1054" s="176"/>
      <c r="V1054" s="176"/>
      <c r="W1054" s="176"/>
      <c r="X1054" s="176"/>
      <c r="Y1054" s="176"/>
      <c r="Z1054" s="176"/>
      <c r="AA1054" s="176"/>
      <c r="AB1054" s="176"/>
      <c r="AC1054" s="176"/>
      <c r="AD1054" s="176"/>
      <c r="AE1054" s="176"/>
      <c r="AF1054" s="176"/>
      <c r="AG1054" s="176"/>
      <c r="AH1054" s="176"/>
      <c r="AI1054" s="176"/>
      <c r="AJ1054" s="176"/>
      <c r="AK1054" s="176"/>
      <c r="AL1054" s="176"/>
      <c r="AM1054" s="176"/>
      <c r="AN1054" s="176"/>
      <c r="AO1054" s="176"/>
      <c r="AP1054" s="176"/>
      <c r="AQ1054" s="176"/>
      <c r="AR1054" s="176"/>
      <c r="AS1054" s="176"/>
      <c r="AT1054" s="176"/>
      <c r="AU1054" s="176"/>
      <c r="AV1054" s="176"/>
      <c r="AW1054" s="176"/>
      <c r="AX1054" s="176"/>
      <c r="AY1054" s="176"/>
      <c r="AZ1054" s="176"/>
      <c r="BA1054" s="176"/>
      <c r="BB1054" s="176"/>
      <c r="BC1054" s="176"/>
      <c r="BD1054" s="176"/>
      <c r="BE1054" s="176"/>
      <c r="BF1054" s="176"/>
      <c r="BG1054" s="176"/>
      <c r="BH1054" s="176"/>
      <c r="BI1054" s="176"/>
      <c r="BJ1054" s="176"/>
    </row>
    <row r="1055" spans="2:62" x14ac:dyDescent="0.3">
      <c r="B1055" s="3"/>
      <c r="C1055" s="2"/>
      <c r="D1055" s="2"/>
      <c r="E1055" s="3"/>
      <c r="O1055" s="176"/>
      <c r="P1055" s="176"/>
      <c r="Q1055" s="176"/>
      <c r="R1055" s="176"/>
      <c r="S1055" s="176"/>
      <c r="T1055" s="176"/>
      <c r="U1055" s="176"/>
      <c r="V1055" s="176"/>
      <c r="W1055" s="176"/>
      <c r="X1055" s="176"/>
      <c r="Y1055" s="176"/>
      <c r="Z1055" s="176"/>
      <c r="AA1055" s="176"/>
      <c r="AB1055" s="176"/>
      <c r="AC1055" s="176"/>
      <c r="AD1055" s="176"/>
      <c r="AE1055" s="176"/>
      <c r="AF1055" s="176"/>
      <c r="AG1055" s="176"/>
      <c r="AH1055" s="176"/>
      <c r="AI1055" s="176"/>
      <c r="AJ1055" s="176"/>
      <c r="AK1055" s="176"/>
      <c r="AL1055" s="176"/>
      <c r="AM1055" s="176"/>
      <c r="AN1055" s="176"/>
      <c r="AO1055" s="176"/>
      <c r="AP1055" s="176"/>
      <c r="AQ1055" s="176"/>
      <c r="AR1055" s="176"/>
      <c r="AS1055" s="176"/>
      <c r="AT1055" s="176"/>
      <c r="AU1055" s="176"/>
      <c r="AV1055" s="176"/>
      <c r="AW1055" s="176"/>
      <c r="AX1055" s="176"/>
      <c r="AY1055" s="176"/>
      <c r="AZ1055" s="176"/>
      <c r="BA1055" s="176"/>
      <c r="BB1055" s="176"/>
      <c r="BC1055" s="176"/>
      <c r="BD1055" s="176"/>
      <c r="BE1055" s="176"/>
      <c r="BF1055" s="176"/>
      <c r="BG1055" s="176"/>
      <c r="BH1055" s="176"/>
      <c r="BI1055" s="176"/>
      <c r="BJ1055" s="176"/>
    </row>
    <row r="1056" spans="2:62" x14ac:dyDescent="0.3">
      <c r="B1056" s="3"/>
      <c r="C1056" s="2"/>
      <c r="D1056" s="2"/>
      <c r="E1056" s="3"/>
      <c r="O1056" s="176"/>
      <c r="P1056" s="176"/>
      <c r="Q1056" s="176"/>
      <c r="R1056" s="176"/>
      <c r="S1056" s="176"/>
      <c r="T1056" s="176"/>
      <c r="U1056" s="176"/>
      <c r="V1056" s="176"/>
      <c r="W1056" s="176"/>
      <c r="X1056" s="176"/>
      <c r="Y1056" s="176"/>
      <c r="Z1056" s="176"/>
      <c r="AA1056" s="176"/>
      <c r="AB1056" s="176"/>
      <c r="AC1056" s="176"/>
      <c r="AD1056" s="176"/>
      <c r="AE1056" s="176"/>
      <c r="AF1056" s="176"/>
      <c r="AG1056" s="176"/>
      <c r="AH1056" s="176"/>
      <c r="AI1056" s="176"/>
      <c r="AJ1056" s="176"/>
      <c r="AK1056" s="176"/>
      <c r="AL1056" s="176"/>
      <c r="AM1056" s="176"/>
      <c r="AN1056" s="176"/>
      <c r="AO1056" s="176"/>
      <c r="AP1056" s="176"/>
      <c r="AQ1056" s="176"/>
      <c r="AR1056" s="176"/>
      <c r="AS1056" s="176"/>
      <c r="AT1056" s="176"/>
      <c r="AU1056" s="176"/>
      <c r="AV1056" s="176"/>
      <c r="AW1056" s="176"/>
      <c r="AX1056" s="176"/>
      <c r="AY1056" s="176"/>
      <c r="AZ1056" s="176"/>
      <c r="BA1056" s="176"/>
      <c r="BB1056" s="176"/>
      <c r="BC1056" s="176"/>
      <c r="BD1056" s="176"/>
      <c r="BE1056" s="176"/>
      <c r="BF1056" s="176"/>
      <c r="BG1056" s="176"/>
      <c r="BH1056" s="176"/>
      <c r="BI1056" s="176"/>
      <c r="BJ1056" s="176"/>
    </row>
    <row r="1057" spans="2:62" x14ac:dyDescent="0.3">
      <c r="B1057" s="3"/>
      <c r="C1057" s="2"/>
      <c r="D1057" s="2"/>
      <c r="E1057" s="3"/>
      <c r="O1057" s="176"/>
      <c r="P1057" s="176"/>
      <c r="Q1057" s="176"/>
      <c r="R1057" s="176"/>
      <c r="S1057" s="176"/>
      <c r="T1057" s="176"/>
      <c r="U1057" s="176"/>
      <c r="V1057" s="176"/>
      <c r="W1057" s="176"/>
      <c r="X1057" s="176"/>
      <c r="Y1057" s="176"/>
      <c r="Z1057" s="176"/>
      <c r="AA1057" s="176"/>
      <c r="AB1057" s="176"/>
      <c r="AC1057" s="176"/>
      <c r="AD1057" s="176"/>
      <c r="AE1057" s="176"/>
      <c r="AF1057" s="176"/>
      <c r="AG1057" s="176"/>
      <c r="AH1057" s="176"/>
      <c r="AI1057" s="176"/>
      <c r="AJ1057" s="176"/>
      <c r="AK1057" s="176"/>
      <c r="AL1057" s="176"/>
      <c r="AM1057" s="176"/>
      <c r="AN1057" s="176"/>
      <c r="AO1057" s="176"/>
      <c r="AP1057" s="176"/>
      <c r="AQ1057" s="176"/>
      <c r="AR1057" s="176"/>
      <c r="AS1057" s="176"/>
      <c r="AT1057" s="176"/>
      <c r="AU1057" s="176"/>
      <c r="AV1057" s="176"/>
      <c r="AW1057" s="176"/>
      <c r="AX1057" s="176"/>
      <c r="AY1057" s="176"/>
      <c r="AZ1057" s="176"/>
      <c r="BA1057" s="176"/>
      <c r="BB1057" s="176"/>
      <c r="BC1057" s="176"/>
      <c r="BD1057" s="176"/>
      <c r="BE1057" s="176"/>
      <c r="BF1057" s="176"/>
      <c r="BG1057" s="176"/>
      <c r="BH1057" s="176"/>
      <c r="BI1057" s="176"/>
      <c r="BJ1057" s="176"/>
    </row>
    <row r="1058" spans="2:62" x14ac:dyDescent="0.3">
      <c r="B1058" s="3"/>
      <c r="C1058" s="2"/>
      <c r="D1058" s="2"/>
      <c r="E1058" s="3"/>
      <c r="O1058" s="176"/>
      <c r="P1058" s="176"/>
      <c r="Q1058" s="176"/>
      <c r="R1058" s="176"/>
      <c r="S1058" s="176"/>
      <c r="T1058" s="176"/>
      <c r="U1058" s="176"/>
      <c r="V1058" s="176"/>
      <c r="W1058" s="176"/>
      <c r="X1058" s="176"/>
      <c r="Y1058" s="176"/>
      <c r="Z1058" s="176"/>
      <c r="AA1058" s="176"/>
      <c r="AB1058" s="176"/>
      <c r="AC1058" s="176"/>
      <c r="AD1058" s="176"/>
      <c r="AE1058" s="176"/>
      <c r="AF1058" s="176"/>
      <c r="AG1058" s="176"/>
      <c r="AH1058" s="176"/>
      <c r="AI1058" s="176"/>
      <c r="AJ1058" s="176"/>
      <c r="AK1058" s="176"/>
      <c r="AL1058" s="176"/>
      <c r="AM1058" s="176"/>
      <c r="AN1058" s="176"/>
      <c r="AO1058" s="176"/>
      <c r="AP1058" s="176"/>
      <c r="AQ1058" s="176"/>
      <c r="AR1058" s="176"/>
      <c r="AS1058" s="176"/>
      <c r="AT1058" s="176"/>
      <c r="AU1058" s="176"/>
      <c r="AV1058" s="176"/>
      <c r="AW1058" s="176"/>
      <c r="AX1058" s="176"/>
      <c r="AY1058" s="176"/>
      <c r="AZ1058" s="176"/>
      <c r="BA1058" s="176"/>
      <c r="BB1058" s="176"/>
      <c r="BC1058" s="176"/>
      <c r="BD1058" s="176"/>
      <c r="BE1058" s="176"/>
      <c r="BF1058" s="176"/>
      <c r="BG1058" s="176"/>
      <c r="BH1058" s="176"/>
      <c r="BI1058" s="176"/>
      <c r="BJ1058" s="176"/>
    </row>
    <row r="1059" spans="2:62" x14ac:dyDescent="0.3">
      <c r="B1059" s="3"/>
      <c r="C1059" s="2"/>
      <c r="D1059" s="2"/>
      <c r="E1059" s="3"/>
      <c r="O1059" s="176"/>
      <c r="P1059" s="176"/>
      <c r="Q1059" s="176"/>
      <c r="R1059" s="176"/>
      <c r="S1059" s="176"/>
      <c r="T1059" s="176"/>
      <c r="U1059" s="176"/>
      <c r="V1059" s="176"/>
      <c r="W1059" s="176"/>
      <c r="X1059" s="176"/>
      <c r="Y1059" s="176"/>
      <c r="Z1059" s="176"/>
      <c r="AA1059" s="176"/>
      <c r="AB1059" s="176"/>
      <c r="AC1059" s="176"/>
      <c r="AD1059" s="176"/>
      <c r="AE1059" s="176"/>
      <c r="AF1059" s="176"/>
      <c r="AG1059" s="176"/>
      <c r="AH1059" s="176"/>
      <c r="AI1059" s="176"/>
      <c r="AJ1059" s="176"/>
      <c r="AK1059" s="176"/>
      <c r="AL1059" s="176"/>
      <c r="AM1059" s="176"/>
      <c r="AN1059" s="176"/>
      <c r="AO1059" s="176"/>
      <c r="AP1059" s="176"/>
      <c r="AQ1059" s="176"/>
      <c r="AR1059" s="176"/>
      <c r="AS1059" s="176"/>
      <c r="AT1059" s="176"/>
      <c r="AU1059" s="176"/>
      <c r="AV1059" s="176"/>
      <c r="AW1059" s="176"/>
      <c r="AX1059" s="176"/>
      <c r="AY1059" s="176"/>
      <c r="AZ1059" s="176"/>
      <c r="BA1059" s="176"/>
      <c r="BB1059" s="176"/>
      <c r="BC1059" s="176"/>
      <c r="BD1059" s="176"/>
      <c r="BE1059" s="176"/>
      <c r="BF1059" s="176"/>
      <c r="BG1059" s="176"/>
      <c r="BH1059" s="176"/>
      <c r="BI1059" s="176"/>
      <c r="BJ1059" s="176"/>
    </row>
    <row r="1060" spans="2:62" x14ac:dyDescent="0.3">
      <c r="B1060" s="3"/>
      <c r="C1060" s="2"/>
      <c r="D1060" s="2"/>
      <c r="E1060" s="3"/>
      <c r="O1060" s="176"/>
      <c r="P1060" s="176"/>
      <c r="Q1060" s="176"/>
      <c r="R1060" s="176"/>
      <c r="S1060" s="176"/>
      <c r="T1060" s="176"/>
      <c r="U1060" s="176"/>
      <c r="V1060" s="176"/>
      <c r="W1060" s="176"/>
      <c r="X1060" s="176"/>
      <c r="Y1060" s="176"/>
      <c r="Z1060" s="176"/>
      <c r="AA1060" s="176"/>
      <c r="AB1060" s="176"/>
      <c r="AC1060" s="176"/>
      <c r="AD1060" s="176"/>
      <c r="AE1060" s="176"/>
      <c r="AF1060" s="176"/>
      <c r="AG1060" s="176"/>
      <c r="AH1060" s="176"/>
      <c r="AI1060" s="176"/>
      <c r="AJ1060" s="176"/>
      <c r="AK1060" s="176"/>
      <c r="AL1060" s="176"/>
      <c r="AM1060" s="176"/>
      <c r="AN1060" s="176"/>
      <c r="AO1060" s="176"/>
      <c r="AP1060" s="176"/>
      <c r="AQ1060" s="176"/>
      <c r="AR1060" s="176"/>
      <c r="AS1060" s="176"/>
      <c r="AT1060" s="176"/>
      <c r="AU1060" s="176"/>
      <c r="AV1060" s="176"/>
      <c r="AW1060" s="176"/>
      <c r="AX1060" s="176"/>
      <c r="AY1060" s="176"/>
      <c r="AZ1060" s="176"/>
      <c r="BA1060" s="176"/>
      <c r="BB1060" s="176"/>
      <c r="BC1060" s="176"/>
      <c r="BD1060" s="176"/>
      <c r="BE1060" s="176"/>
      <c r="BF1060" s="176"/>
      <c r="BG1060" s="176"/>
      <c r="BH1060" s="176"/>
      <c r="BI1060" s="176"/>
      <c r="BJ1060" s="176"/>
    </row>
    <row r="1061" spans="2:62" x14ac:dyDescent="0.3">
      <c r="B1061" s="3"/>
      <c r="C1061" s="2"/>
      <c r="D1061" s="2"/>
      <c r="E1061" s="3"/>
      <c r="O1061" s="176"/>
      <c r="P1061" s="176"/>
      <c r="Q1061" s="176"/>
      <c r="R1061" s="176"/>
      <c r="S1061" s="176"/>
      <c r="T1061" s="176"/>
      <c r="U1061" s="176"/>
      <c r="V1061" s="176"/>
      <c r="W1061" s="176"/>
      <c r="X1061" s="176"/>
      <c r="Y1061" s="176"/>
      <c r="Z1061" s="176"/>
      <c r="AA1061" s="176"/>
      <c r="AB1061" s="176"/>
      <c r="AC1061" s="176"/>
      <c r="AD1061" s="176"/>
      <c r="AE1061" s="176"/>
      <c r="AF1061" s="176"/>
      <c r="AG1061" s="176"/>
      <c r="AH1061" s="176"/>
      <c r="AI1061" s="176"/>
      <c r="AJ1061" s="176"/>
      <c r="AK1061" s="176"/>
      <c r="AL1061" s="176"/>
      <c r="AM1061" s="176"/>
      <c r="AN1061" s="176"/>
      <c r="AO1061" s="176"/>
      <c r="AP1061" s="176"/>
      <c r="AQ1061" s="176"/>
      <c r="AR1061" s="176"/>
      <c r="AS1061" s="176"/>
      <c r="AT1061" s="176"/>
      <c r="AU1061" s="176"/>
      <c r="AV1061" s="176"/>
      <c r="AW1061" s="176"/>
      <c r="AX1061" s="176"/>
      <c r="AY1061" s="176"/>
      <c r="AZ1061" s="176"/>
      <c r="BA1061" s="176"/>
      <c r="BB1061" s="176"/>
      <c r="BC1061" s="176"/>
      <c r="BD1061" s="176"/>
      <c r="BE1061" s="176"/>
      <c r="BF1061" s="176"/>
      <c r="BG1061" s="176"/>
      <c r="BH1061" s="176"/>
      <c r="BI1061" s="176"/>
      <c r="BJ1061" s="176"/>
    </row>
    <row r="1062" spans="2:62" x14ac:dyDescent="0.3">
      <c r="B1062" s="3"/>
      <c r="C1062" s="2"/>
      <c r="D1062" s="2"/>
      <c r="E1062" s="3"/>
      <c r="O1062" s="176"/>
      <c r="P1062" s="176"/>
      <c r="Q1062" s="176"/>
      <c r="R1062" s="176"/>
      <c r="S1062" s="176"/>
      <c r="T1062" s="176"/>
      <c r="U1062" s="176"/>
      <c r="V1062" s="176"/>
      <c r="W1062" s="176"/>
      <c r="X1062" s="176"/>
      <c r="Y1062" s="176"/>
      <c r="Z1062" s="176"/>
      <c r="AA1062" s="176"/>
      <c r="AB1062" s="176"/>
      <c r="AC1062" s="176"/>
      <c r="AD1062" s="176"/>
      <c r="AE1062" s="176"/>
      <c r="AF1062" s="176"/>
      <c r="AG1062" s="176"/>
      <c r="AH1062" s="176"/>
      <c r="AI1062" s="176"/>
      <c r="AJ1062" s="176"/>
      <c r="AK1062" s="176"/>
      <c r="AL1062" s="176"/>
      <c r="AM1062" s="176"/>
      <c r="AN1062" s="176"/>
      <c r="AO1062" s="176"/>
      <c r="AP1062" s="176"/>
      <c r="AQ1062" s="176"/>
      <c r="AR1062" s="176"/>
      <c r="AS1062" s="176"/>
      <c r="AT1062" s="176"/>
      <c r="AU1062" s="176"/>
      <c r="AV1062" s="176"/>
      <c r="AW1062" s="176"/>
      <c r="AX1062" s="176"/>
      <c r="AY1062" s="176"/>
      <c r="AZ1062" s="176"/>
      <c r="BA1062" s="176"/>
      <c r="BB1062" s="176"/>
      <c r="BC1062" s="176"/>
      <c r="BD1062" s="176"/>
      <c r="BE1062" s="176"/>
      <c r="BF1062" s="176"/>
      <c r="BG1062" s="176"/>
      <c r="BH1062" s="176"/>
      <c r="BI1062" s="176"/>
      <c r="BJ1062" s="176"/>
    </row>
    <row r="1063" spans="2:62" x14ac:dyDescent="0.3">
      <c r="B1063" s="3"/>
      <c r="C1063" s="2"/>
      <c r="D1063" s="2"/>
      <c r="E1063" s="3"/>
      <c r="O1063" s="176"/>
      <c r="P1063" s="176"/>
      <c r="Q1063" s="176"/>
      <c r="R1063" s="176"/>
      <c r="S1063" s="176"/>
      <c r="T1063" s="176"/>
      <c r="U1063" s="176"/>
      <c r="V1063" s="176"/>
      <c r="W1063" s="176"/>
      <c r="X1063" s="176"/>
      <c r="Y1063" s="176"/>
      <c r="Z1063" s="176"/>
      <c r="AA1063" s="176"/>
      <c r="AB1063" s="176"/>
      <c r="AC1063" s="176"/>
      <c r="AD1063" s="176"/>
      <c r="AE1063" s="176"/>
      <c r="AF1063" s="176"/>
      <c r="AG1063" s="176"/>
      <c r="AH1063" s="176"/>
      <c r="AI1063" s="176"/>
      <c r="AJ1063" s="176"/>
      <c r="AK1063" s="176"/>
      <c r="AL1063" s="176"/>
      <c r="AM1063" s="176"/>
      <c r="AN1063" s="176"/>
      <c r="AO1063" s="176"/>
      <c r="AP1063" s="176"/>
      <c r="AQ1063" s="176"/>
      <c r="AR1063" s="176"/>
      <c r="AS1063" s="176"/>
      <c r="AT1063" s="176"/>
      <c r="AU1063" s="176"/>
      <c r="AV1063" s="176"/>
      <c r="AW1063" s="176"/>
      <c r="AX1063" s="176"/>
      <c r="AY1063" s="176"/>
      <c r="AZ1063" s="176"/>
      <c r="BA1063" s="176"/>
      <c r="BB1063" s="176"/>
      <c r="BC1063" s="176"/>
      <c r="BD1063" s="176"/>
      <c r="BE1063" s="176"/>
      <c r="BF1063" s="176"/>
      <c r="BG1063" s="176"/>
      <c r="BH1063" s="176"/>
      <c r="BI1063" s="176"/>
      <c r="BJ1063" s="176"/>
    </row>
    <row r="1064" spans="2:62" x14ac:dyDescent="0.3">
      <c r="B1064" s="3"/>
      <c r="C1064" s="2"/>
      <c r="D1064" s="2"/>
      <c r="E1064" s="3"/>
      <c r="O1064" s="176"/>
      <c r="P1064" s="176"/>
      <c r="Q1064" s="176"/>
      <c r="R1064" s="176"/>
      <c r="S1064" s="176"/>
      <c r="T1064" s="176"/>
      <c r="U1064" s="176"/>
      <c r="V1064" s="176"/>
      <c r="W1064" s="176"/>
      <c r="X1064" s="176"/>
      <c r="Y1064" s="176"/>
      <c r="Z1064" s="176"/>
      <c r="AA1064" s="176"/>
      <c r="AB1064" s="176"/>
      <c r="AC1064" s="176"/>
      <c r="AD1064" s="176"/>
      <c r="AE1064" s="176"/>
      <c r="AF1064" s="176"/>
      <c r="AG1064" s="176"/>
      <c r="AH1064" s="176"/>
      <c r="AI1064" s="176"/>
      <c r="AJ1064" s="176"/>
      <c r="AK1064" s="176"/>
      <c r="AL1064" s="176"/>
      <c r="AM1064" s="176"/>
      <c r="AN1064" s="176"/>
      <c r="AO1064" s="176"/>
      <c r="AP1064" s="176"/>
      <c r="AQ1064" s="176"/>
      <c r="AR1064" s="176"/>
      <c r="AS1064" s="176"/>
      <c r="AT1064" s="176"/>
      <c r="AU1064" s="176"/>
      <c r="AV1064" s="176"/>
      <c r="AW1064" s="176"/>
      <c r="AX1064" s="176"/>
      <c r="AY1064" s="176"/>
      <c r="AZ1064" s="176"/>
      <c r="BA1064" s="176"/>
      <c r="BB1064" s="176"/>
      <c r="BC1064" s="176"/>
      <c r="BD1064" s="176"/>
      <c r="BE1064" s="176"/>
      <c r="BF1064" s="176"/>
      <c r="BG1064" s="176"/>
      <c r="BH1064" s="176"/>
      <c r="BI1064" s="176"/>
      <c r="BJ1064" s="176"/>
    </row>
    <row r="1065" spans="2:62" x14ac:dyDescent="0.3">
      <c r="B1065" s="3"/>
      <c r="C1065" s="2"/>
      <c r="D1065" s="2"/>
      <c r="E1065" s="3"/>
      <c r="O1065" s="176"/>
      <c r="P1065" s="176"/>
      <c r="Q1065" s="176"/>
      <c r="R1065" s="176"/>
      <c r="S1065" s="176"/>
      <c r="T1065" s="176"/>
      <c r="U1065" s="176"/>
      <c r="V1065" s="176"/>
      <c r="W1065" s="176"/>
      <c r="X1065" s="176"/>
      <c r="Y1065" s="176"/>
      <c r="Z1065" s="176"/>
      <c r="AA1065" s="176"/>
      <c r="AB1065" s="176"/>
      <c r="AC1065" s="176"/>
      <c r="AD1065" s="176"/>
      <c r="AE1065" s="176"/>
      <c r="AF1065" s="176"/>
      <c r="AG1065" s="176"/>
      <c r="AH1065" s="176"/>
      <c r="AI1065" s="176"/>
      <c r="AJ1065" s="176"/>
      <c r="AK1065" s="176"/>
      <c r="AL1065" s="176"/>
      <c r="AM1065" s="176"/>
      <c r="AN1065" s="176"/>
      <c r="AO1065" s="176"/>
      <c r="AP1065" s="176"/>
      <c r="AQ1065" s="176"/>
      <c r="AR1065" s="176"/>
      <c r="AS1065" s="176"/>
      <c r="AT1065" s="176"/>
      <c r="AU1065" s="176"/>
      <c r="AV1065" s="176"/>
      <c r="AW1065" s="176"/>
      <c r="AX1065" s="176"/>
      <c r="AY1065" s="176"/>
      <c r="AZ1065" s="176"/>
      <c r="BA1065" s="176"/>
      <c r="BB1065" s="176"/>
      <c r="BC1065" s="176"/>
      <c r="BD1065" s="176"/>
      <c r="BE1065" s="176"/>
      <c r="BF1065" s="176"/>
      <c r="BG1065" s="176"/>
      <c r="BH1065" s="176"/>
      <c r="BI1065" s="176"/>
      <c r="BJ1065" s="176"/>
    </row>
    <row r="1066" spans="2:62" x14ac:dyDescent="0.3">
      <c r="B1066" s="3"/>
      <c r="C1066" s="2"/>
      <c r="D1066" s="2"/>
      <c r="E1066" s="3"/>
      <c r="O1066" s="176"/>
      <c r="P1066" s="176"/>
      <c r="Q1066" s="176"/>
      <c r="R1066" s="176"/>
      <c r="S1066" s="176"/>
      <c r="T1066" s="176"/>
      <c r="U1066" s="176"/>
      <c r="V1066" s="176"/>
      <c r="W1066" s="176"/>
      <c r="X1066" s="176"/>
      <c r="Y1066" s="176"/>
      <c r="Z1066" s="176"/>
      <c r="AA1066" s="176"/>
      <c r="AB1066" s="176"/>
      <c r="AC1066" s="176"/>
      <c r="AD1066" s="176"/>
      <c r="AE1066" s="176"/>
      <c r="AF1066" s="176"/>
      <c r="AG1066" s="176"/>
      <c r="AH1066" s="176"/>
      <c r="AI1066" s="176"/>
      <c r="AJ1066" s="176"/>
      <c r="AK1066" s="176"/>
      <c r="AL1066" s="176"/>
      <c r="AM1066" s="176"/>
      <c r="AN1066" s="176"/>
      <c r="AO1066" s="176"/>
      <c r="AP1066" s="176"/>
      <c r="AQ1066" s="176"/>
      <c r="AR1066" s="176"/>
      <c r="AS1066" s="176"/>
      <c r="AT1066" s="176"/>
      <c r="AU1066" s="176"/>
      <c r="AV1066" s="176"/>
      <c r="AW1066" s="176"/>
      <c r="AX1066" s="176"/>
      <c r="AY1066" s="176"/>
      <c r="AZ1066" s="176"/>
      <c r="BA1066" s="176"/>
      <c r="BB1066" s="176"/>
      <c r="BC1066" s="176"/>
      <c r="BD1066" s="176"/>
      <c r="BE1066" s="176"/>
      <c r="BF1066" s="176"/>
      <c r="BG1066" s="176"/>
      <c r="BH1066" s="176"/>
      <c r="BI1066" s="176"/>
      <c r="BJ1066" s="176"/>
    </row>
    <row r="1067" spans="2:62" x14ac:dyDescent="0.3">
      <c r="B1067" s="3"/>
      <c r="C1067" s="2"/>
      <c r="D1067" s="2"/>
      <c r="E1067" s="3"/>
      <c r="O1067" s="176"/>
      <c r="P1067" s="176"/>
      <c r="Q1067" s="176"/>
      <c r="R1067" s="176"/>
      <c r="S1067" s="176"/>
      <c r="T1067" s="176"/>
      <c r="U1067" s="176"/>
      <c r="V1067" s="176"/>
      <c r="W1067" s="176"/>
      <c r="X1067" s="176"/>
      <c r="Y1067" s="176"/>
      <c r="Z1067" s="176"/>
      <c r="AA1067" s="176"/>
      <c r="AB1067" s="176"/>
      <c r="AC1067" s="176"/>
      <c r="AD1067" s="176"/>
      <c r="AE1067" s="176"/>
      <c r="AF1067" s="176"/>
      <c r="AG1067" s="176"/>
      <c r="AH1067" s="176"/>
      <c r="AI1067" s="176"/>
      <c r="AJ1067" s="176"/>
      <c r="AK1067" s="176"/>
      <c r="AL1067" s="176"/>
      <c r="AM1067" s="176"/>
      <c r="AN1067" s="176"/>
      <c r="AO1067" s="176"/>
      <c r="AP1067" s="176"/>
      <c r="AQ1067" s="176"/>
      <c r="AR1067" s="176"/>
      <c r="AS1067" s="176"/>
      <c r="AT1067" s="176"/>
      <c r="AU1067" s="176"/>
      <c r="AV1067" s="176"/>
      <c r="AW1067" s="176"/>
      <c r="AX1067" s="176"/>
      <c r="AY1067" s="176"/>
      <c r="AZ1067" s="176"/>
      <c r="BA1067" s="176"/>
      <c r="BB1067" s="176"/>
      <c r="BC1067" s="176"/>
      <c r="BD1067" s="176"/>
      <c r="BE1067" s="176"/>
      <c r="BF1067" s="176"/>
      <c r="BG1067" s="176"/>
      <c r="BH1067" s="176"/>
      <c r="BI1067" s="176"/>
      <c r="BJ1067" s="176"/>
    </row>
    <row r="1068" spans="2:62" x14ac:dyDescent="0.3">
      <c r="B1068" s="3"/>
      <c r="C1068" s="2"/>
      <c r="D1068" s="2"/>
      <c r="E1068" s="3"/>
      <c r="O1068" s="176"/>
      <c r="P1068" s="176"/>
      <c r="Q1068" s="176"/>
      <c r="R1068" s="176"/>
      <c r="S1068" s="176"/>
      <c r="T1068" s="176"/>
      <c r="U1068" s="176"/>
      <c r="V1068" s="176"/>
      <c r="W1068" s="176"/>
      <c r="X1068" s="176"/>
      <c r="Y1068" s="176"/>
      <c r="Z1068" s="176"/>
      <c r="AA1068" s="176"/>
      <c r="AB1068" s="176"/>
      <c r="AC1068" s="176"/>
      <c r="AD1068" s="176"/>
      <c r="AE1068" s="176"/>
      <c r="AF1068" s="176"/>
      <c r="AG1068" s="176"/>
      <c r="AH1068" s="176"/>
      <c r="AI1068" s="176"/>
      <c r="AJ1068" s="176"/>
      <c r="AK1068" s="176"/>
      <c r="AL1068" s="176"/>
      <c r="AM1068" s="176"/>
      <c r="AN1068" s="176"/>
      <c r="AO1068" s="176"/>
      <c r="AP1068" s="176"/>
      <c r="AQ1068" s="176"/>
      <c r="AR1068" s="176"/>
      <c r="AS1068" s="176"/>
      <c r="AT1068" s="176"/>
      <c r="AU1068" s="176"/>
      <c r="AV1068" s="176"/>
      <c r="AW1068" s="176"/>
      <c r="AX1068" s="176"/>
      <c r="AY1068" s="176"/>
      <c r="AZ1068" s="176"/>
      <c r="BA1068" s="176"/>
      <c r="BB1068" s="176"/>
      <c r="BC1068" s="176"/>
      <c r="BD1068" s="176"/>
      <c r="BE1068" s="176"/>
      <c r="BF1068" s="176"/>
      <c r="BG1068" s="176"/>
      <c r="BH1068" s="176"/>
      <c r="BI1068" s="176"/>
      <c r="BJ1068" s="176"/>
    </row>
    <row r="1069" spans="2:62" x14ac:dyDescent="0.3">
      <c r="B1069" s="3"/>
      <c r="C1069" s="2"/>
      <c r="D1069" s="2"/>
      <c r="E1069" s="3"/>
      <c r="O1069" s="176"/>
      <c r="P1069" s="176"/>
      <c r="Q1069" s="176"/>
      <c r="R1069" s="176"/>
      <c r="S1069" s="176"/>
      <c r="T1069" s="176"/>
      <c r="U1069" s="176"/>
      <c r="V1069" s="176"/>
      <c r="W1069" s="176"/>
      <c r="X1069" s="176"/>
      <c r="Y1069" s="176"/>
      <c r="Z1069" s="176"/>
      <c r="AA1069" s="176"/>
      <c r="AB1069" s="176"/>
      <c r="AC1069" s="176"/>
      <c r="AD1069" s="176"/>
      <c r="AE1069" s="176"/>
      <c r="AF1069" s="176"/>
      <c r="AG1069" s="176"/>
      <c r="AH1069" s="176"/>
      <c r="AI1069" s="176"/>
      <c r="AJ1069" s="176"/>
      <c r="AK1069" s="176"/>
      <c r="AL1069" s="176"/>
      <c r="AM1069" s="176"/>
      <c r="AN1069" s="176"/>
      <c r="AO1069" s="176"/>
      <c r="AP1069" s="176"/>
      <c r="AQ1069" s="176"/>
      <c r="AR1069" s="176"/>
      <c r="AS1069" s="176"/>
      <c r="AT1069" s="176"/>
      <c r="AU1069" s="176"/>
      <c r="AV1069" s="176"/>
      <c r="AW1069" s="176"/>
      <c r="AX1069" s="176"/>
      <c r="AY1069" s="176"/>
      <c r="AZ1069" s="176"/>
      <c r="BA1069" s="176"/>
      <c r="BB1069" s="176"/>
      <c r="BC1069" s="176"/>
      <c r="BD1069" s="176"/>
      <c r="BE1069" s="176"/>
      <c r="BF1069" s="176"/>
      <c r="BG1069" s="176"/>
      <c r="BH1069" s="176"/>
      <c r="BI1069" s="176"/>
      <c r="BJ1069" s="176"/>
    </row>
    <row r="1070" spans="2:62" x14ac:dyDescent="0.3">
      <c r="B1070" s="3"/>
      <c r="C1070" s="2"/>
      <c r="D1070" s="2"/>
      <c r="E1070" s="3"/>
      <c r="O1070" s="176"/>
      <c r="P1070" s="176"/>
      <c r="Q1070" s="176"/>
      <c r="R1070" s="176"/>
      <c r="S1070" s="176"/>
      <c r="T1070" s="176"/>
      <c r="U1070" s="176"/>
      <c r="V1070" s="176"/>
      <c r="W1070" s="176"/>
      <c r="X1070" s="176"/>
      <c r="Y1070" s="176"/>
      <c r="Z1070" s="176"/>
      <c r="AA1070" s="176"/>
      <c r="AB1070" s="176"/>
      <c r="AC1070" s="176"/>
      <c r="AD1070" s="176"/>
      <c r="AE1070" s="176"/>
      <c r="AF1070" s="176"/>
      <c r="AG1070" s="176"/>
      <c r="AH1070" s="176"/>
      <c r="AI1070" s="176"/>
      <c r="AJ1070" s="176"/>
      <c r="AK1070" s="176"/>
      <c r="AL1070" s="176"/>
      <c r="AM1070" s="176"/>
      <c r="AN1070" s="176"/>
      <c r="AO1070" s="176"/>
      <c r="AP1070" s="176"/>
      <c r="AQ1070" s="176"/>
      <c r="AR1070" s="176"/>
      <c r="AS1070" s="176"/>
      <c r="AT1070" s="176"/>
      <c r="AU1070" s="176"/>
      <c r="AV1070" s="176"/>
      <c r="AW1070" s="176"/>
      <c r="AX1070" s="176"/>
      <c r="AY1070" s="176"/>
      <c r="AZ1070" s="176"/>
      <c r="BA1070" s="176"/>
      <c r="BB1070" s="176"/>
      <c r="BC1070" s="176"/>
      <c r="BD1070" s="176"/>
      <c r="BE1070" s="176"/>
      <c r="BF1070" s="176"/>
      <c r="BG1070" s="176"/>
      <c r="BH1070" s="176"/>
      <c r="BI1070" s="176"/>
      <c r="BJ1070" s="176"/>
    </row>
    <row r="1071" spans="2:62" x14ac:dyDescent="0.3">
      <c r="B1071" s="3"/>
      <c r="C1071" s="2"/>
      <c r="D1071" s="2"/>
      <c r="E1071" s="3"/>
      <c r="O1071" s="176"/>
      <c r="P1071" s="176"/>
      <c r="Q1071" s="176"/>
      <c r="R1071" s="176"/>
      <c r="S1071" s="176"/>
      <c r="T1071" s="176"/>
      <c r="U1071" s="176"/>
      <c r="V1071" s="176"/>
      <c r="W1071" s="176"/>
      <c r="X1071" s="176"/>
      <c r="Y1071" s="176"/>
      <c r="Z1071" s="176"/>
      <c r="AA1071" s="176"/>
      <c r="AB1071" s="176"/>
      <c r="AC1071" s="176"/>
      <c r="AD1071" s="176"/>
      <c r="AE1071" s="176"/>
      <c r="AF1071" s="176"/>
      <c r="AG1071" s="176"/>
      <c r="AH1071" s="176"/>
      <c r="AI1071" s="176"/>
      <c r="AJ1071" s="176"/>
      <c r="AK1071" s="176"/>
      <c r="AL1071" s="176"/>
      <c r="AM1071" s="176"/>
      <c r="AN1071" s="176"/>
      <c r="AO1071" s="176"/>
      <c r="AP1071" s="176"/>
      <c r="AQ1071" s="176"/>
      <c r="AR1071" s="176"/>
      <c r="AS1071" s="176"/>
      <c r="AT1071" s="176"/>
      <c r="AU1071" s="176"/>
      <c r="AV1071" s="176"/>
      <c r="AW1071" s="176"/>
      <c r="AX1071" s="176"/>
      <c r="AY1071" s="176"/>
      <c r="AZ1071" s="176"/>
      <c r="BA1071" s="176"/>
      <c r="BB1071" s="176"/>
      <c r="BC1071" s="176"/>
      <c r="BD1071" s="176"/>
      <c r="BE1071" s="176"/>
      <c r="BF1071" s="176"/>
      <c r="BG1071" s="176"/>
      <c r="BH1071" s="176"/>
      <c r="BI1071" s="176"/>
      <c r="BJ1071" s="176"/>
    </row>
    <row r="1072" spans="2:62" x14ac:dyDescent="0.3">
      <c r="B1072" s="3"/>
      <c r="C1072" s="2"/>
      <c r="D1072" s="2"/>
      <c r="E1072" s="3"/>
      <c r="O1072" s="176"/>
      <c r="P1072" s="176"/>
      <c r="Q1072" s="176"/>
      <c r="R1072" s="176"/>
      <c r="S1072" s="176"/>
      <c r="T1072" s="176"/>
      <c r="U1072" s="176"/>
      <c r="V1072" s="176"/>
      <c r="W1072" s="176"/>
      <c r="X1072" s="176"/>
      <c r="Y1072" s="176"/>
      <c r="Z1072" s="176"/>
      <c r="AA1072" s="176"/>
      <c r="AB1072" s="176"/>
      <c r="AC1072" s="176"/>
      <c r="AD1072" s="176"/>
      <c r="AE1072" s="176"/>
      <c r="AF1072" s="176"/>
      <c r="AG1072" s="176"/>
      <c r="AH1072" s="176"/>
      <c r="AI1072" s="176"/>
      <c r="AJ1072" s="176"/>
      <c r="AK1072" s="176"/>
      <c r="AL1072" s="176"/>
      <c r="AM1072" s="176"/>
      <c r="AN1072" s="176"/>
      <c r="AO1072" s="176"/>
      <c r="AP1072" s="176"/>
      <c r="AQ1072" s="176"/>
      <c r="AR1072" s="176"/>
      <c r="AS1072" s="176"/>
      <c r="AT1072" s="176"/>
      <c r="AU1072" s="176"/>
      <c r="AV1072" s="176"/>
      <c r="AW1072" s="176"/>
      <c r="AX1072" s="176"/>
      <c r="AY1072" s="176"/>
      <c r="AZ1072" s="176"/>
      <c r="BA1072" s="176"/>
      <c r="BB1072" s="176"/>
      <c r="BC1072" s="176"/>
      <c r="BD1072" s="176"/>
      <c r="BE1072" s="176"/>
      <c r="BF1072" s="176"/>
      <c r="BG1072" s="176"/>
      <c r="BH1072" s="176"/>
      <c r="BI1072" s="176"/>
      <c r="BJ1072" s="176"/>
    </row>
    <row r="1073" spans="2:62" x14ac:dyDescent="0.3">
      <c r="B1073" s="3"/>
      <c r="C1073" s="2"/>
      <c r="D1073" s="2"/>
      <c r="E1073" s="3"/>
      <c r="O1073" s="176"/>
      <c r="P1073" s="176"/>
      <c r="Q1073" s="176"/>
      <c r="R1073" s="176"/>
      <c r="S1073" s="176"/>
      <c r="T1073" s="176"/>
      <c r="U1073" s="176"/>
      <c r="V1073" s="176"/>
      <c r="W1073" s="176"/>
      <c r="X1073" s="176"/>
      <c r="Y1073" s="176"/>
      <c r="Z1073" s="176"/>
      <c r="AA1073" s="176"/>
      <c r="AB1073" s="176"/>
      <c r="AC1073" s="176"/>
      <c r="AD1073" s="176"/>
      <c r="AE1073" s="176"/>
      <c r="AF1073" s="176"/>
      <c r="AG1073" s="176"/>
      <c r="AH1073" s="176"/>
      <c r="AI1073" s="176"/>
      <c r="AJ1073" s="176"/>
      <c r="AK1073" s="176"/>
      <c r="AL1073" s="176"/>
      <c r="AM1073" s="176"/>
      <c r="AN1073" s="176"/>
      <c r="AO1073" s="176"/>
      <c r="AP1073" s="176"/>
      <c r="AQ1073" s="176"/>
      <c r="AR1073" s="176"/>
      <c r="AS1073" s="176"/>
      <c r="AT1073" s="176"/>
      <c r="AU1073" s="176"/>
      <c r="AV1073" s="176"/>
      <c r="AW1073" s="176"/>
      <c r="AX1073" s="176"/>
      <c r="AY1073" s="176"/>
      <c r="AZ1073" s="176"/>
      <c r="BA1073" s="176"/>
      <c r="BB1073" s="176"/>
      <c r="BC1073" s="176"/>
      <c r="BD1073" s="176"/>
      <c r="BE1073" s="176"/>
      <c r="BF1073" s="176"/>
      <c r="BG1073" s="176"/>
      <c r="BH1073" s="176"/>
      <c r="BI1073" s="176"/>
      <c r="BJ1073" s="176"/>
    </row>
    <row r="1074" spans="2:62" x14ac:dyDescent="0.3">
      <c r="B1074" s="3"/>
      <c r="C1074" s="2"/>
      <c r="D1074" s="2"/>
      <c r="E1074" s="3"/>
      <c r="O1074" s="176"/>
      <c r="P1074" s="176"/>
      <c r="Q1074" s="176"/>
      <c r="R1074" s="176"/>
      <c r="S1074" s="176"/>
      <c r="T1074" s="176"/>
      <c r="U1074" s="176"/>
      <c r="V1074" s="176"/>
      <c r="W1074" s="176"/>
      <c r="X1074" s="176"/>
      <c r="Y1074" s="176"/>
      <c r="Z1074" s="176"/>
      <c r="AA1074" s="176"/>
      <c r="AB1074" s="176"/>
      <c r="AC1074" s="176"/>
      <c r="AD1074" s="176"/>
      <c r="AE1074" s="176"/>
      <c r="AF1074" s="176"/>
      <c r="AG1074" s="176"/>
      <c r="AH1074" s="176"/>
      <c r="AI1074" s="176"/>
      <c r="AJ1074" s="176"/>
      <c r="AK1074" s="176"/>
      <c r="AL1074" s="176"/>
      <c r="AM1074" s="176"/>
      <c r="AN1074" s="176"/>
      <c r="AO1074" s="176"/>
      <c r="AP1074" s="176"/>
      <c r="AQ1074" s="176"/>
      <c r="AR1074" s="176"/>
      <c r="AS1074" s="176"/>
      <c r="AT1074" s="176"/>
      <c r="AU1074" s="176"/>
      <c r="AV1074" s="176"/>
      <c r="AW1074" s="176"/>
      <c r="AX1074" s="176"/>
      <c r="AY1074" s="176"/>
      <c r="AZ1074" s="176"/>
      <c r="BA1074" s="176"/>
      <c r="BB1074" s="176"/>
      <c r="BC1074" s="176"/>
      <c r="BD1074" s="176"/>
      <c r="BE1074" s="176"/>
      <c r="BF1074" s="176"/>
      <c r="BG1074" s="176"/>
      <c r="BH1074" s="176"/>
      <c r="BI1074" s="176"/>
      <c r="BJ1074" s="176"/>
    </row>
    <row r="1075" spans="2:62" x14ac:dyDescent="0.3">
      <c r="B1075" s="3"/>
      <c r="C1075" s="2"/>
      <c r="D1075" s="2"/>
      <c r="E1075" s="3"/>
      <c r="O1075" s="176"/>
      <c r="P1075" s="176"/>
      <c r="Q1075" s="176"/>
      <c r="R1075" s="176"/>
      <c r="S1075" s="176"/>
      <c r="T1075" s="176"/>
      <c r="U1075" s="176"/>
      <c r="V1075" s="176"/>
      <c r="W1075" s="176"/>
      <c r="X1075" s="176"/>
      <c r="Y1075" s="176"/>
      <c r="Z1075" s="176"/>
      <c r="AA1075" s="176"/>
      <c r="AB1075" s="176"/>
      <c r="AC1075" s="176"/>
      <c r="AD1075" s="176"/>
      <c r="AE1075" s="176"/>
      <c r="AF1075" s="176"/>
      <c r="AG1075" s="176"/>
      <c r="AH1075" s="176"/>
      <c r="AI1075" s="176"/>
      <c r="AJ1075" s="176"/>
      <c r="AK1075" s="176"/>
      <c r="AL1075" s="176"/>
      <c r="AM1075" s="176"/>
      <c r="AN1075" s="176"/>
      <c r="AO1075" s="176"/>
      <c r="AP1075" s="176"/>
      <c r="AQ1075" s="176"/>
      <c r="AR1075" s="176"/>
      <c r="AS1075" s="176"/>
      <c r="AT1075" s="176"/>
      <c r="AU1075" s="176"/>
      <c r="AV1075" s="176"/>
      <c r="AW1075" s="176"/>
      <c r="AX1075" s="176"/>
      <c r="AY1075" s="176"/>
      <c r="AZ1075" s="176"/>
      <c r="BA1075" s="176"/>
      <c r="BB1075" s="176"/>
      <c r="BC1075" s="176"/>
      <c r="BD1075" s="176"/>
      <c r="BE1075" s="176"/>
      <c r="BF1075" s="176"/>
      <c r="BG1075" s="176"/>
      <c r="BH1075" s="176"/>
      <c r="BI1075" s="176"/>
      <c r="BJ1075" s="176"/>
    </row>
    <row r="1076" spans="2:62" x14ac:dyDescent="0.3">
      <c r="B1076" s="3"/>
      <c r="C1076" s="2"/>
      <c r="D1076" s="2"/>
      <c r="E1076" s="3"/>
      <c r="O1076" s="176"/>
      <c r="P1076" s="176"/>
      <c r="Q1076" s="176"/>
      <c r="R1076" s="176"/>
      <c r="S1076" s="176"/>
      <c r="T1076" s="176"/>
      <c r="U1076" s="176"/>
      <c r="V1076" s="176"/>
      <c r="W1076" s="176"/>
      <c r="X1076" s="176"/>
      <c r="Y1076" s="176"/>
      <c r="Z1076" s="176"/>
      <c r="AA1076" s="176"/>
      <c r="AB1076" s="176"/>
      <c r="AC1076" s="176"/>
      <c r="AD1076" s="176"/>
      <c r="AE1076" s="176"/>
      <c r="AF1076" s="176"/>
      <c r="AG1076" s="176"/>
      <c r="AH1076" s="176"/>
      <c r="AI1076" s="176"/>
      <c r="AJ1076" s="176"/>
      <c r="AK1076" s="176"/>
      <c r="AL1076" s="176"/>
      <c r="AM1076" s="176"/>
      <c r="AN1076" s="176"/>
      <c r="AO1076" s="176"/>
      <c r="AP1076" s="176"/>
      <c r="AQ1076" s="176"/>
      <c r="AR1076" s="176"/>
      <c r="AS1076" s="176"/>
      <c r="AT1076" s="176"/>
      <c r="AU1076" s="176"/>
      <c r="AV1076" s="176"/>
      <c r="AW1076" s="176"/>
      <c r="AX1076" s="176"/>
      <c r="AY1076" s="176"/>
      <c r="AZ1076" s="176"/>
      <c r="BA1076" s="176"/>
      <c r="BB1076" s="176"/>
      <c r="BC1076" s="176"/>
      <c r="BD1076" s="176"/>
      <c r="BE1076" s="176"/>
      <c r="BF1076" s="176"/>
      <c r="BG1076" s="176"/>
      <c r="BH1076" s="176"/>
      <c r="BI1076" s="176"/>
      <c r="BJ1076" s="176"/>
    </row>
    <row r="1077" spans="2:62" x14ac:dyDescent="0.3">
      <c r="B1077" s="3"/>
      <c r="C1077" s="2"/>
      <c r="D1077" s="2"/>
      <c r="E1077" s="3"/>
      <c r="O1077" s="176"/>
      <c r="P1077" s="176"/>
      <c r="Q1077" s="176"/>
      <c r="R1077" s="176"/>
      <c r="S1077" s="176"/>
      <c r="T1077" s="176"/>
      <c r="U1077" s="176"/>
      <c r="V1077" s="176"/>
      <c r="W1077" s="176"/>
      <c r="X1077" s="176"/>
      <c r="Y1077" s="176"/>
      <c r="Z1077" s="176"/>
      <c r="AA1077" s="176"/>
      <c r="AB1077" s="176"/>
      <c r="AC1077" s="176"/>
      <c r="AD1077" s="176"/>
      <c r="AE1077" s="176"/>
      <c r="AF1077" s="176"/>
      <c r="AG1077" s="176"/>
      <c r="AH1077" s="176"/>
      <c r="AI1077" s="176"/>
      <c r="AJ1077" s="176"/>
      <c r="AK1077" s="176"/>
      <c r="AL1077" s="176"/>
      <c r="AM1077" s="176"/>
      <c r="AN1077" s="176"/>
      <c r="AO1077" s="176"/>
      <c r="AP1077" s="176"/>
      <c r="AQ1077" s="176"/>
      <c r="AR1077" s="176"/>
      <c r="AS1077" s="176"/>
      <c r="AT1077" s="176"/>
      <c r="AU1077" s="176"/>
      <c r="AV1077" s="176"/>
      <c r="AW1077" s="176"/>
      <c r="AX1077" s="176"/>
      <c r="AY1077" s="176"/>
      <c r="AZ1077" s="176"/>
      <c r="BA1077" s="176"/>
      <c r="BB1077" s="176"/>
      <c r="BC1077" s="176"/>
      <c r="BD1077" s="176"/>
      <c r="BE1077" s="176"/>
      <c r="BF1077" s="176"/>
      <c r="BG1077" s="176"/>
      <c r="BH1077" s="176"/>
      <c r="BI1077" s="176"/>
      <c r="BJ1077" s="176"/>
    </row>
    <row r="1078" spans="2:62" x14ac:dyDescent="0.3">
      <c r="B1078" s="3"/>
      <c r="C1078" s="2"/>
      <c r="D1078" s="2"/>
      <c r="E1078" s="3"/>
      <c r="O1078" s="176"/>
      <c r="P1078" s="176"/>
      <c r="Q1078" s="176"/>
      <c r="R1078" s="176"/>
      <c r="S1078" s="176"/>
      <c r="T1078" s="176"/>
      <c r="U1078" s="176"/>
      <c r="V1078" s="176"/>
      <c r="W1078" s="176"/>
      <c r="X1078" s="176"/>
      <c r="Y1078" s="176"/>
      <c r="Z1078" s="176"/>
      <c r="AA1078" s="176"/>
      <c r="AB1078" s="176"/>
      <c r="AC1078" s="176"/>
      <c r="AD1078" s="176"/>
      <c r="AE1078" s="176"/>
      <c r="AF1078" s="176"/>
      <c r="AG1078" s="176"/>
      <c r="AH1078" s="176"/>
      <c r="AI1078" s="176"/>
      <c r="AJ1078" s="176"/>
      <c r="AK1078" s="176"/>
      <c r="AL1078" s="176"/>
      <c r="AM1078" s="176"/>
      <c r="AN1078" s="176"/>
      <c r="AO1078" s="176"/>
      <c r="AP1078" s="176"/>
      <c r="AQ1078" s="176"/>
      <c r="AR1078" s="176"/>
      <c r="AS1078" s="176"/>
      <c r="AT1078" s="176"/>
      <c r="AU1078" s="176"/>
      <c r="AV1078" s="176"/>
      <c r="AW1078" s="176"/>
      <c r="AX1078" s="176"/>
      <c r="AY1078" s="176"/>
      <c r="AZ1078" s="176"/>
      <c r="BA1078" s="176"/>
      <c r="BB1078" s="176"/>
      <c r="BC1078" s="176"/>
      <c r="BD1078" s="176"/>
      <c r="BE1078" s="176"/>
      <c r="BF1078" s="176"/>
      <c r="BG1078" s="176"/>
      <c r="BH1078" s="176"/>
      <c r="BI1078" s="176"/>
      <c r="BJ1078" s="176"/>
    </row>
    <row r="1079" spans="2:62" x14ac:dyDescent="0.3">
      <c r="B1079" s="3"/>
      <c r="C1079" s="2"/>
      <c r="D1079" s="2"/>
      <c r="E1079" s="3"/>
      <c r="O1079" s="176"/>
      <c r="P1079" s="176"/>
      <c r="Q1079" s="176"/>
      <c r="R1079" s="176"/>
      <c r="S1079" s="176"/>
      <c r="T1079" s="176"/>
      <c r="U1079" s="176"/>
      <c r="V1079" s="176"/>
      <c r="W1079" s="176"/>
      <c r="X1079" s="176"/>
      <c r="Y1079" s="176"/>
      <c r="Z1079" s="176"/>
      <c r="AA1079" s="176"/>
      <c r="AB1079" s="176"/>
      <c r="AC1079" s="176"/>
      <c r="AD1079" s="176"/>
      <c r="AE1079" s="176"/>
      <c r="AF1079" s="176"/>
      <c r="AG1079" s="176"/>
      <c r="AH1079" s="176"/>
      <c r="AI1079" s="176"/>
      <c r="AJ1079" s="176"/>
      <c r="AK1079" s="176"/>
      <c r="AL1079" s="176"/>
      <c r="AM1079" s="176"/>
      <c r="AN1079" s="176"/>
      <c r="AO1079" s="176"/>
      <c r="AP1079" s="176"/>
      <c r="AQ1079" s="176"/>
      <c r="AR1079" s="176"/>
      <c r="AS1079" s="176"/>
      <c r="AT1079" s="176"/>
      <c r="AU1079" s="176"/>
      <c r="AV1079" s="176"/>
      <c r="AW1079" s="176"/>
      <c r="AX1079" s="176"/>
      <c r="AY1079" s="176"/>
      <c r="AZ1079" s="176"/>
      <c r="BA1079" s="176"/>
      <c r="BB1079" s="176"/>
      <c r="BC1079" s="176"/>
      <c r="BD1079" s="176"/>
      <c r="BE1079" s="176"/>
      <c r="BF1079" s="176"/>
      <c r="BG1079" s="176"/>
      <c r="BH1079" s="176"/>
      <c r="BI1079" s="176"/>
      <c r="BJ1079" s="176"/>
    </row>
    <row r="1080" spans="2:62" x14ac:dyDescent="0.3">
      <c r="B1080" s="3"/>
      <c r="C1080" s="2"/>
      <c r="D1080" s="2"/>
      <c r="E1080" s="3"/>
      <c r="O1080" s="176"/>
      <c r="P1080" s="176"/>
      <c r="Q1080" s="176"/>
      <c r="R1080" s="176"/>
      <c r="S1080" s="176"/>
      <c r="T1080" s="176"/>
      <c r="U1080" s="176"/>
      <c r="V1080" s="176"/>
      <c r="W1080" s="176"/>
      <c r="X1080" s="176"/>
      <c r="Y1080" s="176"/>
      <c r="Z1080" s="176"/>
      <c r="AA1080" s="176"/>
      <c r="AB1080" s="176"/>
      <c r="AC1080" s="176"/>
      <c r="AD1080" s="176"/>
      <c r="AE1080" s="176"/>
      <c r="AF1080" s="176"/>
      <c r="AG1080" s="176"/>
      <c r="AH1080" s="176"/>
      <c r="AI1080" s="176"/>
      <c r="AJ1080" s="176"/>
      <c r="AK1080" s="176"/>
      <c r="AL1080" s="176"/>
      <c r="AM1080" s="176"/>
      <c r="AN1080" s="176"/>
      <c r="AO1080" s="176"/>
      <c r="AP1080" s="176"/>
      <c r="AQ1080" s="176"/>
      <c r="AR1080" s="176"/>
      <c r="AS1080" s="176"/>
      <c r="AT1080" s="176"/>
      <c r="AU1080" s="176"/>
      <c r="AV1080" s="176"/>
      <c r="AW1080" s="176"/>
      <c r="AX1080" s="176"/>
      <c r="AY1080" s="176"/>
      <c r="AZ1080" s="176"/>
      <c r="BA1080" s="176"/>
      <c r="BB1080" s="176"/>
      <c r="BC1080" s="176"/>
      <c r="BD1080" s="176"/>
      <c r="BE1080" s="176"/>
      <c r="BF1080" s="176"/>
      <c r="BG1080" s="176"/>
      <c r="BH1080" s="176"/>
      <c r="BI1080" s="176"/>
      <c r="BJ1080" s="176"/>
    </row>
    <row r="1081" spans="2:62" x14ac:dyDescent="0.3">
      <c r="B1081" s="3"/>
      <c r="C1081" s="2"/>
      <c r="D1081" s="2"/>
      <c r="E1081" s="3"/>
      <c r="O1081" s="176"/>
      <c r="P1081" s="176"/>
      <c r="Q1081" s="176"/>
      <c r="R1081" s="176"/>
      <c r="S1081" s="176"/>
      <c r="T1081" s="176"/>
      <c r="U1081" s="176"/>
      <c r="V1081" s="176"/>
      <c r="W1081" s="176"/>
      <c r="X1081" s="176"/>
      <c r="Y1081" s="176"/>
      <c r="Z1081" s="176"/>
      <c r="AA1081" s="176"/>
      <c r="AB1081" s="176"/>
      <c r="AC1081" s="176"/>
      <c r="AD1081" s="176"/>
      <c r="AE1081" s="176"/>
      <c r="AF1081" s="176"/>
      <c r="AG1081" s="176"/>
      <c r="AH1081" s="176"/>
      <c r="AI1081" s="176"/>
      <c r="AJ1081" s="176"/>
      <c r="AK1081" s="176"/>
      <c r="AL1081" s="176"/>
      <c r="AM1081" s="176"/>
      <c r="AN1081" s="176"/>
      <c r="AO1081" s="176"/>
      <c r="AP1081" s="176"/>
      <c r="AQ1081" s="176"/>
      <c r="AR1081" s="176"/>
      <c r="AS1081" s="176"/>
      <c r="AT1081" s="176"/>
      <c r="AU1081" s="176"/>
      <c r="AV1081" s="176"/>
      <c r="AW1081" s="176"/>
      <c r="AX1081" s="176"/>
      <c r="AY1081" s="176"/>
      <c r="AZ1081" s="176"/>
      <c r="BA1081" s="176"/>
      <c r="BB1081" s="176"/>
      <c r="BC1081" s="176"/>
      <c r="BD1081" s="176"/>
      <c r="BE1081" s="176"/>
      <c r="BF1081" s="176"/>
      <c r="BG1081" s="176"/>
      <c r="BH1081" s="176"/>
      <c r="BI1081" s="176"/>
      <c r="BJ1081" s="176"/>
    </row>
    <row r="1082" spans="2:62" x14ac:dyDescent="0.3">
      <c r="B1082" s="3"/>
      <c r="C1082" s="2"/>
      <c r="D1082" s="2"/>
      <c r="E1082" s="3"/>
      <c r="O1082" s="176"/>
      <c r="P1082" s="176"/>
      <c r="Q1082" s="176"/>
      <c r="R1082" s="176"/>
      <c r="S1082" s="176"/>
      <c r="T1082" s="176"/>
      <c r="U1082" s="176"/>
      <c r="V1082" s="176"/>
      <c r="W1082" s="176"/>
      <c r="X1082" s="176"/>
      <c r="Y1082" s="176"/>
      <c r="Z1082" s="176"/>
      <c r="AA1082" s="176"/>
      <c r="AB1082" s="176"/>
      <c r="AC1082" s="176"/>
      <c r="AD1082" s="176"/>
      <c r="AE1082" s="176"/>
      <c r="AF1082" s="176"/>
      <c r="AG1082" s="176"/>
      <c r="AH1082" s="176"/>
      <c r="AI1082" s="176"/>
      <c r="AJ1082" s="176"/>
      <c r="AK1082" s="176"/>
      <c r="AL1082" s="176"/>
      <c r="AM1082" s="176"/>
      <c r="AN1082" s="176"/>
      <c r="AO1082" s="176"/>
      <c r="AP1082" s="176"/>
      <c r="AQ1082" s="176"/>
      <c r="AR1082" s="176"/>
      <c r="AS1082" s="176"/>
      <c r="AT1082" s="176"/>
      <c r="AU1082" s="176"/>
      <c r="AV1082" s="176"/>
      <c r="AW1082" s="176"/>
      <c r="AX1082" s="176"/>
      <c r="AY1082" s="176"/>
      <c r="AZ1082" s="176"/>
      <c r="BA1082" s="176"/>
      <c r="BB1082" s="176"/>
      <c r="BC1082" s="176"/>
      <c r="BD1082" s="176"/>
      <c r="BE1082" s="176"/>
      <c r="BF1082" s="176"/>
      <c r="BG1082" s="176"/>
      <c r="BH1082" s="176"/>
      <c r="BI1082" s="176"/>
      <c r="BJ1082" s="176"/>
    </row>
    <row r="1083" spans="2:62" x14ac:dyDescent="0.3">
      <c r="B1083" s="3"/>
      <c r="C1083" s="2"/>
      <c r="D1083" s="2"/>
      <c r="E1083" s="3"/>
      <c r="O1083" s="176"/>
      <c r="P1083" s="176"/>
      <c r="Q1083" s="176"/>
      <c r="R1083" s="176"/>
      <c r="S1083" s="176"/>
      <c r="T1083" s="176"/>
      <c r="U1083" s="176"/>
      <c r="V1083" s="176"/>
      <c r="W1083" s="176"/>
      <c r="X1083" s="176"/>
      <c r="Y1083" s="176"/>
      <c r="Z1083" s="176"/>
      <c r="AA1083" s="176"/>
      <c r="AB1083" s="176"/>
      <c r="AC1083" s="176"/>
      <c r="AD1083" s="176"/>
      <c r="AE1083" s="176"/>
      <c r="AF1083" s="176"/>
      <c r="AG1083" s="176"/>
      <c r="AH1083" s="176"/>
      <c r="AI1083" s="176"/>
      <c r="AJ1083" s="176"/>
      <c r="AK1083" s="176"/>
      <c r="AL1083" s="176"/>
      <c r="AM1083" s="176"/>
      <c r="AN1083" s="176"/>
      <c r="AO1083" s="176"/>
      <c r="AP1083" s="176"/>
      <c r="AQ1083" s="176"/>
      <c r="AR1083" s="176"/>
      <c r="AS1083" s="176"/>
      <c r="AT1083" s="176"/>
      <c r="AU1083" s="176"/>
      <c r="AV1083" s="176"/>
      <c r="AW1083" s="176"/>
      <c r="AX1083" s="176"/>
      <c r="AY1083" s="176"/>
      <c r="AZ1083" s="176"/>
      <c r="BA1083" s="176"/>
      <c r="BB1083" s="176"/>
      <c r="BC1083" s="176"/>
      <c r="BD1083" s="176"/>
      <c r="BE1083" s="176"/>
      <c r="BF1083" s="176"/>
      <c r="BG1083" s="176"/>
      <c r="BH1083" s="176"/>
      <c r="BI1083" s="176"/>
      <c r="BJ1083" s="176"/>
    </row>
    <row r="1084" spans="2:62" x14ac:dyDescent="0.3">
      <c r="B1084" s="3"/>
      <c r="C1084" s="2"/>
      <c r="D1084" s="2"/>
      <c r="E1084" s="3"/>
      <c r="O1084" s="176"/>
      <c r="P1084" s="176"/>
      <c r="Q1084" s="176"/>
      <c r="R1084" s="176"/>
      <c r="S1084" s="176"/>
      <c r="T1084" s="176"/>
      <c r="U1084" s="176"/>
      <c r="V1084" s="176"/>
      <c r="W1084" s="176"/>
      <c r="X1084" s="176"/>
      <c r="Y1084" s="176"/>
      <c r="Z1084" s="176"/>
      <c r="AA1084" s="176"/>
      <c r="AB1084" s="176"/>
      <c r="AC1084" s="176"/>
      <c r="AD1084" s="176"/>
      <c r="AE1084" s="176"/>
      <c r="AF1084" s="176"/>
      <c r="AG1084" s="176"/>
      <c r="AH1084" s="176"/>
      <c r="AI1084" s="176"/>
      <c r="AJ1084" s="176"/>
      <c r="AK1084" s="176"/>
      <c r="AL1084" s="176"/>
      <c r="AM1084" s="176"/>
      <c r="AN1084" s="176"/>
      <c r="AO1084" s="176"/>
      <c r="AP1084" s="176"/>
      <c r="AQ1084" s="176"/>
      <c r="AR1084" s="176"/>
      <c r="AS1084" s="176"/>
      <c r="AT1084" s="176"/>
      <c r="AU1084" s="176"/>
      <c r="AV1084" s="176"/>
      <c r="AW1084" s="176"/>
      <c r="AX1084" s="176"/>
      <c r="AY1084" s="176"/>
      <c r="AZ1084" s="176"/>
      <c r="BA1084" s="176"/>
      <c r="BB1084" s="176"/>
      <c r="BC1084" s="176"/>
      <c r="BD1084" s="176"/>
      <c r="BE1084" s="176"/>
      <c r="BF1084" s="176"/>
      <c r="BG1084" s="176"/>
      <c r="BH1084" s="176"/>
      <c r="BI1084" s="176"/>
      <c r="BJ1084" s="176"/>
    </row>
    <row r="1085" spans="2:62" x14ac:dyDescent="0.3">
      <c r="B1085" s="3"/>
      <c r="C1085" s="2"/>
      <c r="D1085" s="2"/>
      <c r="E1085" s="3"/>
      <c r="O1085" s="176"/>
      <c r="P1085" s="176"/>
      <c r="Q1085" s="176"/>
      <c r="R1085" s="176"/>
      <c r="S1085" s="176"/>
      <c r="T1085" s="176"/>
      <c r="U1085" s="176"/>
      <c r="V1085" s="176"/>
      <c r="W1085" s="176"/>
      <c r="X1085" s="176"/>
      <c r="Y1085" s="176"/>
      <c r="Z1085" s="176"/>
      <c r="AA1085" s="176"/>
      <c r="AB1085" s="176"/>
      <c r="AC1085" s="176"/>
      <c r="AD1085" s="176"/>
      <c r="AE1085" s="176"/>
      <c r="AF1085" s="176"/>
      <c r="AG1085" s="176"/>
      <c r="AH1085" s="176"/>
      <c r="AI1085" s="176"/>
      <c r="AJ1085" s="176"/>
      <c r="AK1085" s="176"/>
      <c r="AL1085" s="176"/>
      <c r="AM1085" s="176"/>
      <c r="AN1085" s="176"/>
      <c r="AO1085" s="176"/>
      <c r="AP1085" s="176"/>
      <c r="AQ1085" s="176"/>
      <c r="AR1085" s="176"/>
      <c r="AS1085" s="176"/>
      <c r="AT1085" s="176"/>
      <c r="AU1085" s="176"/>
      <c r="AV1085" s="176"/>
      <c r="AW1085" s="176"/>
      <c r="AX1085" s="176"/>
      <c r="AY1085" s="176"/>
      <c r="AZ1085" s="176"/>
      <c r="BA1085" s="176"/>
      <c r="BB1085" s="176"/>
      <c r="BC1085" s="176"/>
      <c r="BD1085" s="176"/>
      <c r="BE1085" s="176"/>
      <c r="BF1085" s="176"/>
      <c r="BG1085" s="176"/>
      <c r="BH1085" s="176"/>
      <c r="BI1085" s="176"/>
      <c r="BJ1085" s="176"/>
    </row>
    <row r="1086" spans="2:62" x14ac:dyDescent="0.3">
      <c r="B1086" s="3"/>
      <c r="C1086" s="2"/>
      <c r="D1086" s="2"/>
      <c r="E1086" s="3"/>
      <c r="O1086" s="176"/>
      <c r="P1086" s="176"/>
      <c r="Q1086" s="176"/>
      <c r="R1086" s="176"/>
      <c r="S1086" s="176"/>
      <c r="T1086" s="176"/>
      <c r="U1086" s="176"/>
      <c r="V1086" s="176"/>
      <c r="W1086" s="176"/>
      <c r="X1086" s="176"/>
      <c r="Y1086" s="176"/>
      <c r="Z1086" s="176"/>
      <c r="AA1086" s="176"/>
      <c r="AB1086" s="176"/>
      <c r="AC1086" s="176"/>
      <c r="AD1086" s="176"/>
      <c r="AE1086" s="176"/>
      <c r="AF1086" s="176"/>
      <c r="AG1086" s="176"/>
      <c r="AH1086" s="176"/>
      <c r="AI1086" s="176"/>
      <c r="AJ1086" s="176"/>
      <c r="AK1086" s="176"/>
      <c r="AL1086" s="176"/>
      <c r="AM1086" s="176"/>
      <c r="AN1086" s="176"/>
      <c r="AO1086" s="176"/>
      <c r="AP1086" s="176"/>
      <c r="AQ1086" s="176"/>
      <c r="AR1086" s="176"/>
      <c r="AS1086" s="176"/>
      <c r="AT1086" s="176"/>
      <c r="AU1086" s="176"/>
      <c r="AV1086" s="176"/>
      <c r="AW1086" s="176"/>
      <c r="AX1086" s="176"/>
      <c r="AY1086" s="176"/>
      <c r="AZ1086" s="176"/>
      <c r="BA1086" s="176"/>
      <c r="BB1086" s="176"/>
      <c r="BC1086" s="176"/>
      <c r="BD1086" s="176"/>
      <c r="BE1086" s="176"/>
      <c r="BF1086" s="176"/>
      <c r="BG1086" s="176"/>
      <c r="BH1086" s="176"/>
      <c r="BI1086" s="176"/>
      <c r="BJ1086" s="176"/>
    </row>
    <row r="1087" spans="2:62" x14ac:dyDescent="0.3">
      <c r="B1087" s="3"/>
      <c r="C1087" s="2"/>
      <c r="D1087" s="2"/>
      <c r="E1087" s="3"/>
      <c r="O1087" s="176"/>
      <c r="P1087" s="176"/>
      <c r="Q1087" s="176"/>
      <c r="R1087" s="176"/>
      <c r="S1087" s="176"/>
      <c r="T1087" s="176"/>
      <c r="U1087" s="176"/>
      <c r="V1087" s="176"/>
      <c r="W1087" s="176"/>
      <c r="X1087" s="176"/>
      <c r="Y1087" s="176"/>
      <c r="Z1087" s="176"/>
      <c r="AA1087" s="176"/>
      <c r="AB1087" s="176"/>
      <c r="AC1087" s="176"/>
      <c r="AD1087" s="176"/>
      <c r="AE1087" s="176"/>
      <c r="AF1087" s="176"/>
      <c r="AG1087" s="176"/>
      <c r="AH1087" s="176"/>
      <c r="AI1087" s="176"/>
      <c r="AJ1087" s="176"/>
      <c r="AK1087" s="176"/>
      <c r="AL1087" s="176"/>
      <c r="AM1087" s="176"/>
      <c r="AN1087" s="176"/>
      <c r="AO1087" s="176"/>
      <c r="AP1087" s="176"/>
      <c r="AQ1087" s="176"/>
      <c r="AR1087" s="176"/>
      <c r="AS1087" s="176"/>
      <c r="AT1087" s="176"/>
      <c r="AU1087" s="176"/>
      <c r="AV1087" s="176"/>
      <c r="AW1087" s="176"/>
      <c r="AX1087" s="176"/>
      <c r="AY1087" s="176"/>
      <c r="AZ1087" s="176"/>
      <c r="BA1087" s="176"/>
      <c r="BB1087" s="176"/>
      <c r="BC1087" s="176"/>
      <c r="BD1087" s="176"/>
      <c r="BE1087" s="176"/>
      <c r="BF1087" s="176"/>
      <c r="BG1087" s="176"/>
      <c r="BH1087" s="176"/>
      <c r="BI1087" s="176"/>
      <c r="BJ1087" s="176"/>
    </row>
    <row r="1088" spans="2:62" x14ac:dyDescent="0.3">
      <c r="B1088" s="3"/>
      <c r="C1088" s="2"/>
      <c r="D1088" s="2"/>
      <c r="E1088" s="3"/>
      <c r="O1088" s="176"/>
      <c r="P1088" s="176"/>
      <c r="Q1088" s="176"/>
      <c r="R1088" s="176"/>
      <c r="S1088" s="176"/>
      <c r="T1088" s="176"/>
      <c r="U1088" s="176"/>
      <c r="V1088" s="176"/>
      <c r="W1088" s="176"/>
      <c r="X1088" s="176"/>
      <c r="Y1088" s="176"/>
      <c r="Z1088" s="176"/>
      <c r="AA1088" s="176"/>
      <c r="AB1088" s="176"/>
      <c r="AC1088" s="176"/>
      <c r="AD1088" s="176"/>
      <c r="AE1088" s="176"/>
      <c r="AF1088" s="176"/>
      <c r="AG1088" s="176"/>
      <c r="AH1088" s="176"/>
      <c r="AI1088" s="176"/>
      <c r="AJ1088" s="176"/>
      <c r="AK1088" s="176"/>
      <c r="AL1088" s="176"/>
      <c r="AM1088" s="176"/>
      <c r="AN1088" s="176"/>
      <c r="AO1088" s="176"/>
      <c r="AP1088" s="176"/>
      <c r="AQ1088" s="176"/>
      <c r="AR1088" s="176"/>
      <c r="AS1088" s="176"/>
      <c r="AT1088" s="176"/>
      <c r="AU1088" s="176"/>
      <c r="AV1088" s="176"/>
      <c r="AW1088" s="176"/>
      <c r="AX1088" s="176"/>
      <c r="AY1088" s="176"/>
      <c r="AZ1088" s="176"/>
      <c r="BA1088" s="176"/>
      <c r="BB1088" s="176"/>
      <c r="BC1088" s="176"/>
      <c r="BD1088" s="176"/>
      <c r="BE1088" s="176"/>
      <c r="BF1088" s="176"/>
      <c r="BG1088" s="176"/>
      <c r="BH1088" s="176"/>
      <c r="BI1088" s="176"/>
      <c r="BJ1088" s="176"/>
    </row>
    <row r="1089" spans="2:62" x14ac:dyDescent="0.3">
      <c r="B1089" s="3"/>
      <c r="C1089" s="2"/>
      <c r="D1089" s="2"/>
      <c r="E1089" s="3"/>
      <c r="O1089" s="176"/>
      <c r="P1089" s="176"/>
      <c r="Q1089" s="176"/>
      <c r="R1089" s="176"/>
      <c r="S1089" s="176"/>
      <c r="T1089" s="176"/>
      <c r="U1089" s="176"/>
      <c r="V1089" s="176"/>
      <c r="W1089" s="176"/>
      <c r="X1089" s="176"/>
      <c r="Y1089" s="176"/>
      <c r="Z1089" s="176"/>
      <c r="AA1089" s="176"/>
      <c r="AB1089" s="176"/>
      <c r="AC1089" s="176"/>
      <c r="AD1089" s="176"/>
      <c r="AE1089" s="176"/>
      <c r="AF1089" s="176"/>
      <c r="AG1089" s="176"/>
      <c r="AH1089" s="176"/>
      <c r="AI1089" s="176"/>
      <c r="AJ1089" s="176"/>
      <c r="AK1089" s="176"/>
      <c r="AL1089" s="176"/>
      <c r="AM1089" s="176"/>
      <c r="AN1089" s="176"/>
      <c r="AO1089" s="176"/>
      <c r="AP1089" s="176"/>
      <c r="AQ1089" s="176"/>
      <c r="AR1089" s="176"/>
      <c r="AS1089" s="176"/>
      <c r="AT1089" s="176"/>
      <c r="AU1089" s="176"/>
      <c r="AV1089" s="176"/>
      <c r="AW1089" s="176"/>
      <c r="AX1089" s="176"/>
      <c r="AY1089" s="176"/>
      <c r="AZ1089" s="176"/>
      <c r="BA1089" s="176"/>
      <c r="BB1089" s="176"/>
      <c r="BC1089" s="176"/>
      <c r="BD1089" s="176"/>
      <c r="BE1089" s="176"/>
      <c r="BF1089" s="176"/>
      <c r="BG1089" s="176"/>
      <c r="BH1089" s="176"/>
      <c r="BI1089" s="176"/>
      <c r="BJ1089" s="176"/>
    </row>
    <row r="1090" spans="2:62" x14ac:dyDescent="0.3">
      <c r="B1090" s="3"/>
      <c r="C1090" s="2"/>
      <c r="D1090" s="2"/>
      <c r="E1090" s="3"/>
      <c r="O1090" s="176"/>
      <c r="P1090" s="176"/>
      <c r="Q1090" s="176"/>
      <c r="R1090" s="176"/>
      <c r="S1090" s="176"/>
      <c r="T1090" s="176"/>
      <c r="U1090" s="176"/>
      <c r="V1090" s="176"/>
      <c r="W1090" s="176"/>
      <c r="X1090" s="176"/>
      <c r="Y1090" s="176"/>
      <c r="Z1090" s="176"/>
      <c r="AA1090" s="176"/>
      <c r="AB1090" s="176"/>
      <c r="AC1090" s="176"/>
      <c r="AD1090" s="176"/>
      <c r="AE1090" s="176"/>
      <c r="AF1090" s="176"/>
      <c r="AG1090" s="176"/>
      <c r="AH1090" s="176"/>
      <c r="AI1090" s="176"/>
      <c r="AJ1090" s="176"/>
      <c r="AK1090" s="176"/>
      <c r="AL1090" s="176"/>
      <c r="AM1090" s="176"/>
      <c r="AN1090" s="176"/>
      <c r="AO1090" s="176"/>
      <c r="AP1090" s="176"/>
      <c r="AQ1090" s="176"/>
      <c r="AR1090" s="176"/>
      <c r="AS1090" s="176"/>
      <c r="AT1090" s="176"/>
      <c r="AU1090" s="176"/>
      <c r="AV1090" s="176"/>
      <c r="AW1090" s="176"/>
      <c r="AX1090" s="176"/>
      <c r="AY1090" s="176"/>
      <c r="AZ1090" s="176"/>
      <c r="BA1090" s="176"/>
      <c r="BB1090" s="176"/>
      <c r="BC1090" s="176"/>
      <c r="BD1090" s="176"/>
      <c r="BE1090" s="176"/>
      <c r="BF1090" s="176"/>
      <c r="BG1090" s="176"/>
      <c r="BH1090" s="176"/>
      <c r="BI1090" s="176"/>
      <c r="BJ1090" s="176"/>
    </row>
    <row r="1091" spans="2:62" x14ac:dyDescent="0.3">
      <c r="B1091" s="3"/>
      <c r="C1091" s="2"/>
      <c r="D1091" s="2"/>
      <c r="E1091" s="3"/>
      <c r="O1091" s="176"/>
      <c r="P1091" s="176"/>
      <c r="Q1091" s="176"/>
      <c r="R1091" s="176"/>
      <c r="S1091" s="176"/>
      <c r="T1091" s="176"/>
      <c r="U1091" s="176"/>
      <c r="V1091" s="176"/>
      <c r="W1091" s="176"/>
      <c r="X1091" s="176"/>
      <c r="Y1091" s="176"/>
      <c r="Z1091" s="176"/>
      <c r="AA1091" s="176"/>
      <c r="AB1091" s="176"/>
      <c r="AC1091" s="176"/>
      <c r="AD1091" s="176"/>
      <c r="AE1091" s="176"/>
      <c r="AF1091" s="176"/>
      <c r="AG1091" s="176"/>
      <c r="AH1091" s="176"/>
      <c r="AI1091" s="176"/>
      <c r="AJ1091" s="176"/>
      <c r="AK1091" s="176"/>
      <c r="AL1091" s="176"/>
      <c r="AM1091" s="176"/>
      <c r="AN1091" s="176"/>
      <c r="AO1091" s="176"/>
      <c r="AP1091" s="176"/>
      <c r="AQ1091" s="176"/>
      <c r="AR1091" s="176"/>
      <c r="AS1091" s="176"/>
      <c r="AT1091" s="176"/>
      <c r="AU1091" s="176"/>
      <c r="AV1091" s="176"/>
      <c r="AW1091" s="176"/>
      <c r="AX1091" s="176"/>
      <c r="AY1091" s="176"/>
      <c r="AZ1091" s="176"/>
      <c r="BA1091" s="176"/>
      <c r="BB1091" s="176"/>
      <c r="BC1091" s="176"/>
      <c r="BD1091" s="176"/>
      <c r="BE1091" s="176"/>
      <c r="BF1091" s="176"/>
      <c r="BG1091" s="176"/>
      <c r="BH1091" s="176"/>
      <c r="BI1091" s="176"/>
      <c r="BJ1091" s="176"/>
    </row>
    <row r="1092" spans="2:62" x14ac:dyDescent="0.3">
      <c r="B1092" s="3"/>
      <c r="C1092" s="2"/>
      <c r="D1092" s="2"/>
      <c r="E1092" s="3"/>
      <c r="O1092" s="176"/>
      <c r="P1092" s="176"/>
      <c r="Q1092" s="176"/>
      <c r="R1092" s="176"/>
      <c r="S1092" s="176"/>
      <c r="T1092" s="176"/>
      <c r="U1092" s="176"/>
      <c r="V1092" s="176"/>
      <c r="W1092" s="176"/>
      <c r="X1092" s="176"/>
      <c r="Y1092" s="176"/>
      <c r="Z1092" s="176"/>
      <c r="AA1092" s="176"/>
      <c r="AB1092" s="176"/>
      <c r="AC1092" s="176"/>
      <c r="AD1092" s="176"/>
      <c r="AE1092" s="176"/>
      <c r="AF1092" s="176"/>
      <c r="AG1092" s="176"/>
      <c r="AH1092" s="176"/>
      <c r="AI1092" s="176"/>
      <c r="AJ1092" s="176"/>
      <c r="AK1092" s="176"/>
      <c r="AL1092" s="176"/>
      <c r="AM1092" s="176"/>
      <c r="AN1092" s="176"/>
      <c r="AO1092" s="176"/>
      <c r="AP1092" s="176"/>
      <c r="AQ1092" s="176"/>
      <c r="AR1092" s="176"/>
      <c r="AS1092" s="176"/>
      <c r="AT1092" s="176"/>
      <c r="AU1092" s="176"/>
      <c r="AV1092" s="176"/>
      <c r="AW1092" s="176"/>
      <c r="AX1092" s="176"/>
      <c r="AY1092" s="176"/>
      <c r="AZ1092" s="176"/>
      <c r="BA1092" s="176"/>
      <c r="BB1092" s="176"/>
      <c r="BC1092" s="176"/>
      <c r="BD1092" s="176"/>
      <c r="BE1092" s="176"/>
      <c r="BF1092" s="176"/>
      <c r="BG1092" s="176"/>
      <c r="BH1092" s="176"/>
      <c r="BI1092" s="176"/>
      <c r="BJ1092" s="176"/>
    </row>
    <row r="1093" spans="2:62" x14ac:dyDescent="0.3">
      <c r="B1093" s="3"/>
      <c r="C1093" s="2"/>
      <c r="D1093" s="2"/>
      <c r="E1093" s="3"/>
      <c r="O1093" s="176"/>
      <c r="P1093" s="176"/>
      <c r="Q1093" s="176"/>
      <c r="R1093" s="176"/>
      <c r="S1093" s="176"/>
      <c r="T1093" s="176"/>
      <c r="U1093" s="176"/>
      <c r="V1093" s="176"/>
      <c r="W1093" s="176"/>
      <c r="X1093" s="176"/>
      <c r="Y1093" s="176"/>
      <c r="Z1093" s="176"/>
      <c r="AA1093" s="176"/>
      <c r="AB1093" s="176"/>
      <c r="AC1093" s="176"/>
      <c r="AD1093" s="176"/>
      <c r="AE1093" s="176"/>
      <c r="AF1093" s="176"/>
      <c r="AG1093" s="176"/>
      <c r="AH1093" s="176"/>
      <c r="AI1093" s="176"/>
      <c r="AJ1093" s="176"/>
      <c r="AK1093" s="176"/>
      <c r="AL1093" s="176"/>
      <c r="AM1093" s="176"/>
      <c r="AN1093" s="176"/>
      <c r="AO1093" s="176"/>
      <c r="AP1093" s="176"/>
      <c r="AQ1093" s="176"/>
      <c r="AR1093" s="176"/>
      <c r="AS1093" s="176"/>
      <c r="AT1093" s="176"/>
      <c r="AU1093" s="176"/>
      <c r="AV1093" s="176"/>
      <c r="AW1093" s="176"/>
      <c r="AX1093" s="176"/>
      <c r="AY1093" s="176"/>
      <c r="AZ1093" s="176"/>
      <c r="BA1093" s="176"/>
      <c r="BB1093" s="176"/>
      <c r="BC1093" s="176"/>
      <c r="BD1093" s="176"/>
      <c r="BE1093" s="176"/>
      <c r="BF1093" s="176"/>
      <c r="BG1093" s="176"/>
      <c r="BH1093" s="176"/>
      <c r="BI1093" s="176"/>
      <c r="BJ1093" s="176"/>
    </row>
    <row r="1094" spans="2:62" x14ac:dyDescent="0.3">
      <c r="B1094" s="3"/>
      <c r="C1094" s="2"/>
      <c r="D1094" s="2"/>
      <c r="E1094" s="3"/>
      <c r="O1094" s="176"/>
      <c r="P1094" s="176"/>
      <c r="Q1094" s="176"/>
      <c r="R1094" s="176"/>
      <c r="S1094" s="176"/>
      <c r="T1094" s="176"/>
      <c r="U1094" s="176"/>
      <c r="V1094" s="176"/>
      <c r="W1094" s="176"/>
      <c r="X1094" s="176"/>
      <c r="Y1094" s="176"/>
      <c r="Z1094" s="176"/>
      <c r="AA1094" s="176"/>
      <c r="AB1094" s="176"/>
      <c r="AC1094" s="176"/>
      <c r="AD1094" s="176"/>
      <c r="AE1094" s="176"/>
      <c r="AF1094" s="176"/>
      <c r="AG1094" s="176"/>
      <c r="AH1094" s="176"/>
      <c r="AI1094" s="176"/>
      <c r="AJ1094" s="176"/>
      <c r="AK1094" s="176"/>
      <c r="AL1094" s="176"/>
      <c r="AM1094" s="176"/>
      <c r="AN1094" s="176"/>
      <c r="AO1094" s="176"/>
      <c r="AP1094" s="176"/>
      <c r="AQ1094" s="176"/>
      <c r="AR1094" s="176"/>
      <c r="AS1094" s="176"/>
      <c r="AT1094" s="176"/>
      <c r="AU1094" s="176"/>
      <c r="AV1094" s="176"/>
      <c r="AW1094" s="176"/>
      <c r="AX1094" s="176"/>
      <c r="AY1094" s="176"/>
      <c r="AZ1094" s="176"/>
      <c r="BA1094" s="176"/>
      <c r="BB1094" s="176"/>
      <c r="BC1094" s="176"/>
      <c r="BD1094" s="176"/>
      <c r="BE1094" s="176"/>
      <c r="BF1094" s="176"/>
      <c r="BG1094" s="176"/>
      <c r="BH1094" s="176"/>
      <c r="BI1094" s="176"/>
      <c r="BJ1094" s="176"/>
    </row>
    <row r="1095" spans="2:62" x14ac:dyDescent="0.3">
      <c r="B1095" s="3"/>
      <c r="C1095" s="2"/>
      <c r="D1095" s="2"/>
      <c r="E1095" s="3"/>
      <c r="O1095" s="176"/>
      <c r="P1095" s="176"/>
      <c r="Q1095" s="176"/>
      <c r="R1095" s="176"/>
      <c r="S1095" s="176"/>
      <c r="T1095" s="176"/>
      <c r="U1095" s="176"/>
      <c r="V1095" s="176"/>
      <c r="W1095" s="176"/>
      <c r="X1095" s="176"/>
      <c r="Y1095" s="176"/>
      <c r="Z1095" s="176"/>
      <c r="AA1095" s="176"/>
      <c r="AB1095" s="176"/>
      <c r="AC1095" s="176"/>
      <c r="AD1095" s="176"/>
      <c r="AE1095" s="176"/>
      <c r="AF1095" s="176"/>
      <c r="AG1095" s="176"/>
      <c r="AH1095" s="176"/>
      <c r="AI1095" s="176"/>
      <c r="AJ1095" s="176"/>
      <c r="AK1095" s="176"/>
      <c r="AL1095" s="176"/>
      <c r="AM1095" s="176"/>
      <c r="AN1095" s="176"/>
      <c r="AO1095" s="176"/>
      <c r="AP1095" s="176"/>
      <c r="AQ1095" s="176"/>
      <c r="AR1095" s="176"/>
      <c r="AS1095" s="176"/>
      <c r="AT1095" s="176"/>
      <c r="AU1095" s="176"/>
      <c r="AV1095" s="176"/>
      <c r="AW1095" s="176"/>
      <c r="AX1095" s="176"/>
      <c r="AY1095" s="176"/>
      <c r="AZ1095" s="176"/>
      <c r="BA1095" s="176"/>
      <c r="BB1095" s="176"/>
      <c r="BC1095" s="176"/>
      <c r="BD1095" s="176"/>
      <c r="BE1095" s="176"/>
      <c r="BF1095" s="176"/>
      <c r="BG1095" s="176"/>
      <c r="BH1095" s="176"/>
      <c r="BI1095" s="176"/>
      <c r="BJ1095" s="176"/>
    </row>
    <row r="1096" spans="2:62" x14ac:dyDescent="0.3">
      <c r="B1096" s="3"/>
      <c r="C1096" s="2"/>
      <c r="D1096" s="2"/>
      <c r="E1096" s="3"/>
      <c r="O1096" s="176"/>
      <c r="P1096" s="176"/>
      <c r="Q1096" s="176"/>
      <c r="R1096" s="176"/>
      <c r="S1096" s="176"/>
      <c r="T1096" s="176"/>
      <c r="U1096" s="176"/>
      <c r="V1096" s="176"/>
      <c r="W1096" s="176"/>
      <c r="X1096" s="176"/>
      <c r="Y1096" s="176"/>
      <c r="Z1096" s="176"/>
      <c r="AA1096" s="176"/>
      <c r="AB1096" s="176"/>
      <c r="AC1096" s="176"/>
      <c r="AD1096" s="176"/>
      <c r="AE1096" s="176"/>
      <c r="AF1096" s="176"/>
      <c r="AG1096" s="176"/>
      <c r="AH1096" s="176"/>
      <c r="AI1096" s="176"/>
      <c r="AJ1096" s="176"/>
      <c r="AK1096" s="176"/>
      <c r="AL1096" s="176"/>
      <c r="AM1096" s="176"/>
      <c r="AN1096" s="176"/>
      <c r="AO1096" s="176"/>
      <c r="AP1096" s="176"/>
      <c r="AQ1096" s="176"/>
      <c r="AR1096" s="176"/>
      <c r="AS1096" s="176"/>
      <c r="AT1096" s="176"/>
      <c r="AU1096" s="176"/>
      <c r="AV1096" s="176"/>
      <c r="AW1096" s="176"/>
      <c r="AX1096" s="176"/>
      <c r="AY1096" s="176"/>
      <c r="AZ1096" s="176"/>
      <c r="BA1096" s="176"/>
      <c r="BB1096" s="176"/>
      <c r="BC1096" s="176"/>
      <c r="BD1096" s="176"/>
      <c r="BE1096" s="176"/>
      <c r="BF1096" s="176"/>
      <c r="BG1096" s="176"/>
      <c r="BH1096" s="176"/>
      <c r="BI1096" s="176"/>
      <c r="BJ1096" s="176"/>
    </row>
    <row r="1097" spans="2:62" x14ac:dyDescent="0.3">
      <c r="B1097" s="3"/>
      <c r="C1097" s="2"/>
      <c r="D1097" s="2"/>
      <c r="E1097" s="3"/>
      <c r="O1097" s="176"/>
      <c r="P1097" s="176"/>
      <c r="Q1097" s="176"/>
      <c r="R1097" s="176"/>
      <c r="S1097" s="176"/>
      <c r="T1097" s="176"/>
      <c r="U1097" s="176"/>
      <c r="V1097" s="176"/>
      <c r="W1097" s="176"/>
      <c r="X1097" s="176"/>
      <c r="Y1097" s="176"/>
      <c r="Z1097" s="176"/>
      <c r="AA1097" s="176"/>
      <c r="AB1097" s="176"/>
      <c r="AC1097" s="176"/>
      <c r="AD1097" s="176"/>
      <c r="AE1097" s="176"/>
      <c r="AF1097" s="176"/>
      <c r="AG1097" s="176"/>
      <c r="AH1097" s="176"/>
      <c r="AI1097" s="176"/>
      <c r="AJ1097" s="176"/>
      <c r="AK1097" s="176"/>
      <c r="AL1097" s="176"/>
      <c r="AM1097" s="176"/>
      <c r="AN1097" s="176"/>
      <c r="AO1097" s="176"/>
      <c r="AP1097" s="176"/>
      <c r="AQ1097" s="176"/>
      <c r="AR1097" s="176"/>
      <c r="AS1097" s="176"/>
      <c r="AT1097" s="176"/>
      <c r="AU1097" s="176"/>
      <c r="AV1097" s="176"/>
      <c r="AW1097" s="176"/>
      <c r="AX1097" s="176"/>
      <c r="AY1097" s="176"/>
      <c r="AZ1097" s="176"/>
      <c r="BA1097" s="176"/>
      <c r="BB1097" s="176"/>
      <c r="BC1097" s="176"/>
      <c r="BD1097" s="176"/>
      <c r="BE1097" s="176"/>
      <c r="BF1097" s="176"/>
      <c r="BG1097" s="176"/>
      <c r="BH1097" s="176"/>
      <c r="BI1097" s="176"/>
      <c r="BJ1097" s="176"/>
    </row>
    <row r="1098" spans="2:62" x14ac:dyDescent="0.3">
      <c r="B1098" s="3"/>
      <c r="C1098" s="2"/>
      <c r="D1098" s="2"/>
      <c r="E1098" s="3"/>
      <c r="O1098" s="176"/>
      <c r="P1098" s="176"/>
      <c r="Q1098" s="176"/>
      <c r="R1098" s="176"/>
      <c r="S1098" s="176"/>
      <c r="T1098" s="176"/>
      <c r="U1098" s="176"/>
      <c r="V1098" s="176"/>
      <c r="W1098" s="176"/>
      <c r="X1098" s="176"/>
      <c r="Y1098" s="176"/>
      <c r="Z1098" s="176"/>
      <c r="AA1098" s="176"/>
      <c r="AB1098" s="176"/>
      <c r="AC1098" s="176"/>
      <c r="AD1098" s="176"/>
      <c r="AE1098" s="176"/>
      <c r="AF1098" s="176"/>
      <c r="AG1098" s="176"/>
      <c r="AH1098" s="176"/>
      <c r="AI1098" s="176"/>
      <c r="AJ1098" s="176"/>
      <c r="AK1098" s="176"/>
      <c r="AL1098" s="176"/>
      <c r="AM1098" s="176"/>
      <c r="AN1098" s="176"/>
      <c r="AO1098" s="176"/>
      <c r="AP1098" s="176"/>
      <c r="AQ1098" s="176"/>
      <c r="AR1098" s="176"/>
      <c r="AS1098" s="176"/>
      <c r="AT1098" s="176"/>
      <c r="AU1098" s="176"/>
      <c r="AV1098" s="176"/>
      <c r="AW1098" s="176"/>
      <c r="AX1098" s="176"/>
      <c r="AY1098" s="176"/>
      <c r="AZ1098" s="176"/>
      <c r="BA1098" s="176"/>
      <c r="BB1098" s="176"/>
      <c r="BC1098" s="176"/>
      <c r="BD1098" s="176"/>
      <c r="BE1098" s="176"/>
      <c r="BF1098" s="176"/>
      <c r="BG1098" s="176"/>
      <c r="BH1098" s="176"/>
      <c r="BI1098" s="176"/>
      <c r="BJ1098" s="176"/>
    </row>
    <row r="1099" spans="2:62" x14ac:dyDescent="0.3">
      <c r="B1099" s="3"/>
      <c r="C1099" s="2"/>
      <c r="D1099" s="2"/>
      <c r="E1099" s="3"/>
      <c r="O1099" s="176"/>
      <c r="P1099" s="176"/>
      <c r="Q1099" s="176"/>
      <c r="R1099" s="176"/>
      <c r="S1099" s="176"/>
      <c r="T1099" s="176"/>
      <c r="U1099" s="176"/>
      <c r="V1099" s="176"/>
      <c r="W1099" s="176"/>
      <c r="X1099" s="176"/>
      <c r="Y1099" s="176"/>
      <c r="Z1099" s="176"/>
      <c r="AA1099" s="176"/>
      <c r="AB1099" s="176"/>
      <c r="AC1099" s="176"/>
      <c r="AD1099" s="176"/>
      <c r="AE1099" s="176"/>
      <c r="AF1099" s="176"/>
      <c r="AG1099" s="176"/>
      <c r="AH1099" s="176"/>
      <c r="AI1099" s="176"/>
      <c r="AJ1099" s="176"/>
      <c r="AK1099" s="176"/>
      <c r="AL1099" s="176"/>
      <c r="AM1099" s="176"/>
      <c r="AN1099" s="176"/>
      <c r="AO1099" s="176"/>
      <c r="AP1099" s="176"/>
      <c r="AQ1099" s="176"/>
      <c r="AR1099" s="176"/>
      <c r="AS1099" s="176"/>
      <c r="AT1099" s="176"/>
      <c r="AU1099" s="176"/>
      <c r="AV1099" s="176"/>
      <c r="AW1099" s="176"/>
      <c r="AX1099" s="176"/>
      <c r="AY1099" s="176"/>
      <c r="AZ1099" s="176"/>
      <c r="BA1099" s="176"/>
      <c r="BB1099" s="176"/>
      <c r="BC1099" s="176"/>
      <c r="BD1099" s="176"/>
      <c r="BE1099" s="176"/>
      <c r="BF1099" s="176"/>
      <c r="BG1099" s="176"/>
      <c r="BH1099" s="176"/>
      <c r="BI1099" s="176"/>
      <c r="BJ1099" s="176"/>
    </row>
    <row r="1100" spans="2:62" x14ac:dyDescent="0.3">
      <c r="B1100" s="3"/>
      <c r="C1100" s="2"/>
      <c r="D1100" s="2"/>
      <c r="E1100" s="3"/>
      <c r="O1100" s="176"/>
      <c r="P1100" s="176"/>
      <c r="Q1100" s="176"/>
      <c r="R1100" s="176"/>
      <c r="S1100" s="176"/>
      <c r="T1100" s="176"/>
      <c r="U1100" s="176"/>
      <c r="V1100" s="176"/>
      <c r="W1100" s="176"/>
      <c r="X1100" s="176"/>
      <c r="Y1100" s="176"/>
      <c r="Z1100" s="176"/>
      <c r="AA1100" s="176"/>
      <c r="AB1100" s="176"/>
      <c r="AC1100" s="176"/>
      <c r="AD1100" s="176"/>
      <c r="AE1100" s="176"/>
      <c r="AF1100" s="176"/>
      <c r="AG1100" s="176"/>
      <c r="AH1100" s="176"/>
      <c r="AI1100" s="176"/>
      <c r="AJ1100" s="176"/>
      <c r="AK1100" s="176"/>
      <c r="AL1100" s="176"/>
      <c r="AM1100" s="176"/>
      <c r="AN1100" s="176"/>
      <c r="AO1100" s="176"/>
      <c r="AP1100" s="176"/>
      <c r="AQ1100" s="176"/>
      <c r="AR1100" s="176"/>
      <c r="AS1100" s="176"/>
      <c r="AT1100" s="176"/>
      <c r="AU1100" s="176"/>
      <c r="AV1100" s="176"/>
      <c r="AW1100" s="176"/>
      <c r="AX1100" s="176"/>
      <c r="AY1100" s="176"/>
      <c r="AZ1100" s="176"/>
      <c r="BA1100" s="176"/>
      <c r="BB1100" s="176"/>
      <c r="BC1100" s="176"/>
      <c r="BD1100" s="176"/>
      <c r="BE1100" s="176"/>
      <c r="BF1100" s="176"/>
      <c r="BG1100" s="176"/>
      <c r="BH1100" s="176"/>
      <c r="BI1100" s="176"/>
      <c r="BJ1100" s="176"/>
    </row>
    <row r="1101" spans="2:62" x14ac:dyDescent="0.3">
      <c r="B1101" s="3"/>
      <c r="C1101" s="2"/>
      <c r="D1101" s="2"/>
      <c r="E1101" s="3"/>
      <c r="O1101" s="176"/>
      <c r="P1101" s="176"/>
      <c r="Q1101" s="176"/>
      <c r="R1101" s="176"/>
      <c r="S1101" s="176"/>
      <c r="T1101" s="176"/>
      <c r="U1101" s="176"/>
      <c r="V1101" s="176"/>
      <c r="W1101" s="176"/>
      <c r="X1101" s="176"/>
      <c r="Y1101" s="176"/>
      <c r="Z1101" s="176"/>
      <c r="AA1101" s="176"/>
      <c r="AB1101" s="176"/>
      <c r="AC1101" s="176"/>
      <c r="AD1101" s="176"/>
      <c r="AE1101" s="176"/>
      <c r="AF1101" s="176"/>
      <c r="AG1101" s="176"/>
      <c r="AH1101" s="176"/>
      <c r="AI1101" s="176"/>
      <c r="AJ1101" s="176"/>
      <c r="AK1101" s="176"/>
      <c r="AL1101" s="176"/>
      <c r="AM1101" s="176"/>
      <c r="AN1101" s="176"/>
      <c r="AO1101" s="176"/>
      <c r="AP1101" s="176"/>
      <c r="AQ1101" s="176"/>
      <c r="AR1101" s="176"/>
      <c r="AS1101" s="176"/>
      <c r="AT1101" s="176"/>
      <c r="AU1101" s="176"/>
      <c r="AV1101" s="176"/>
      <c r="AW1101" s="176"/>
      <c r="AX1101" s="176"/>
      <c r="AY1101" s="176"/>
      <c r="AZ1101" s="176"/>
      <c r="BA1101" s="176"/>
      <c r="BB1101" s="176"/>
      <c r="BC1101" s="176"/>
      <c r="BD1101" s="176"/>
      <c r="BE1101" s="176"/>
      <c r="BF1101" s="176"/>
      <c r="BG1101" s="176"/>
      <c r="BH1101" s="176"/>
      <c r="BI1101" s="176"/>
      <c r="BJ1101" s="176"/>
    </row>
    <row r="1102" spans="2:62" x14ac:dyDescent="0.3">
      <c r="B1102" s="3"/>
      <c r="C1102" s="2"/>
      <c r="D1102" s="2"/>
      <c r="E1102" s="3"/>
      <c r="O1102" s="176"/>
      <c r="P1102" s="176"/>
      <c r="Q1102" s="176"/>
      <c r="R1102" s="176"/>
      <c r="S1102" s="176"/>
      <c r="T1102" s="176"/>
      <c r="U1102" s="176"/>
      <c r="V1102" s="176"/>
      <c r="W1102" s="176"/>
      <c r="X1102" s="176"/>
      <c r="Y1102" s="176"/>
      <c r="Z1102" s="176"/>
      <c r="AA1102" s="176"/>
      <c r="AB1102" s="176"/>
      <c r="AC1102" s="176"/>
      <c r="AD1102" s="176"/>
      <c r="AE1102" s="176"/>
      <c r="AF1102" s="176"/>
      <c r="AG1102" s="176"/>
      <c r="AH1102" s="176"/>
      <c r="AI1102" s="176"/>
      <c r="AJ1102" s="176"/>
      <c r="AK1102" s="176"/>
      <c r="AL1102" s="176"/>
      <c r="AM1102" s="176"/>
      <c r="AN1102" s="176"/>
      <c r="AO1102" s="176"/>
      <c r="AP1102" s="176"/>
      <c r="AQ1102" s="176"/>
      <c r="AR1102" s="176"/>
      <c r="AS1102" s="176"/>
      <c r="AT1102" s="176"/>
      <c r="AU1102" s="176"/>
      <c r="AV1102" s="176"/>
      <c r="AW1102" s="176"/>
      <c r="AX1102" s="176"/>
      <c r="AY1102" s="176"/>
      <c r="AZ1102" s="176"/>
      <c r="BA1102" s="176"/>
      <c r="BB1102" s="176"/>
      <c r="BC1102" s="176"/>
      <c r="BD1102" s="176"/>
      <c r="BE1102" s="176"/>
      <c r="BF1102" s="176"/>
      <c r="BG1102" s="176"/>
      <c r="BH1102" s="176"/>
      <c r="BI1102" s="176"/>
      <c r="BJ1102" s="176"/>
    </row>
    <row r="1103" spans="2:62" x14ac:dyDescent="0.3">
      <c r="B1103" s="3"/>
      <c r="C1103" s="2"/>
      <c r="D1103" s="2"/>
      <c r="E1103" s="3"/>
      <c r="O1103" s="176"/>
      <c r="P1103" s="176"/>
      <c r="Q1103" s="176"/>
      <c r="R1103" s="176"/>
      <c r="S1103" s="176"/>
      <c r="T1103" s="176"/>
      <c r="U1103" s="176"/>
      <c r="V1103" s="176"/>
      <c r="W1103" s="176"/>
      <c r="X1103" s="176"/>
      <c r="Y1103" s="176"/>
      <c r="Z1103" s="176"/>
      <c r="AA1103" s="176"/>
      <c r="AB1103" s="176"/>
      <c r="AC1103" s="176"/>
      <c r="AD1103" s="176"/>
      <c r="AE1103" s="176"/>
      <c r="AF1103" s="176"/>
      <c r="AG1103" s="176"/>
      <c r="AH1103" s="176"/>
      <c r="AI1103" s="176"/>
      <c r="AJ1103" s="176"/>
      <c r="AK1103" s="176"/>
      <c r="AL1103" s="176"/>
      <c r="AM1103" s="176"/>
      <c r="AN1103" s="176"/>
      <c r="AO1103" s="176"/>
      <c r="AP1103" s="176"/>
      <c r="AQ1103" s="176"/>
      <c r="AR1103" s="176"/>
      <c r="AS1103" s="176"/>
      <c r="AT1103" s="176"/>
      <c r="AU1103" s="176"/>
      <c r="AV1103" s="176"/>
      <c r="AW1103" s="176"/>
      <c r="AX1103" s="176"/>
      <c r="AY1103" s="176"/>
      <c r="AZ1103" s="176"/>
      <c r="BA1103" s="176"/>
      <c r="BB1103" s="176"/>
      <c r="BC1103" s="176"/>
      <c r="BD1103" s="176"/>
      <c r="BE1103" s="176"/>
      <c r="BF1103" s="176"/>
      <c r="BG1103" s="176"/>
      <c r="BH1103" s="176"/>
      <c r="BI1103" s="176"/>
      <c r="BJ1103" s="176"/>
    </row>
    <row r="1104" spans="2:62" x14ac:dyDescent="0.3">
      <c r="B1104" s="3"/>
      <c r="C1104" s="2"/>
      <c r="D1104" s="2"/>
      <c r="E1104" s="3"/>
      <c r="O1104" s="176"/>
      <c r="P1104" s="176"/>
      <c r="Q1104" s="176"/>
      <c r="R1104" s="176"/>
      <c r="S1104" s="176"/>
      <c r="T1104" s="176"/>
      <c r="U1104" s="176"/>
      <c r="V1104" s="176"/>
      <c r="W1104" s="176"/>
      <c r="X1104" s="176"/>
      <c r="Y1104" s="176"/>
      <c r="Z1104" s="176"/>
      <c r="AA1104" s="176"/>
      <c r="AB1104" s="176"/>
      <c r="AC1104" s="176"/>
      <c r="AD1104" s="176"/>
      <c r="AE1104" s="176"/>
      <c r="AF1104" s="176"/>
      <c r="AG1104" s="176"/>
      <c r="AH1104" s="176"/>
      <c r="AI1104" s="176"/>
      <c r="AJ1104" s="176"/>
      <c r="AK1104" s="176"/>
      <c r="AL1104" s="176"/>
      <c r="AM1104" s="176"/>
      <c r="AN1104" s="176"/>
      <c r="AO1104" s="176"/>
      <c r="AP1104" s="176"/>
      <c r="AQ1104" s="176"/>
      <c r="AR1104" s="176"/>
      <c r="AS1104" s="176"/>
      <c r="AT1104" s="176"/>
      <c r="AU1104" s="176"/>
      <c r="AV1104" s="176"/>
      <c r="AW1104" s="176"/>
      <c r="AX1104" s="176"/>
      <c r="AY1104" s="176"/>
      <c r="AZ1104" s="176"/>
      <c r="BA1104" s="176"/>
      <c r="BB1104" s="176"/>
      <c r="BC1104" s="176"/>
      <c r="BD1104" s="176"/>
      <c r="BE1104" s="176"/>
      <c r="BF1104" s="176"/>
      <c r="BG1104" s="176"/>
      <c r="BH1104" s="176"/>
      <c r="BI1104" s="176"/>
      <c r="BJ1104" s="176"/>
    </row>
    <row r="1105" spans="2:62" x14ac:dyDescent="0.3">
      <c r="B1105" s="3"/>
      <c r="C1105" s="2"/>
      <c r="D1105" s="2"/>
      <c r="E1105" s="3"/>
      <c r="O1105" s="176"/>
      <c r="P1105" s="176"/>
      <c r="Q1105" s="176"/>
      <c r="R1105" s="176"/>
      <c r="S1105" s="176"/>
      <c r="T1105" s="176"/>
      <c r="U1105" s="176"/>
      <c r="V1105" s="176"/>
      <c r="W1105" s="176"/>
      <c r="X1105" s="176"/>
      <c r="Y1105" s="176"/>
      <c r="Z1105" s="176"/>
      <c r="AA1105" s="176"/>
      <c r="AB1105" s="176"/>
      <c r="AC1105" s="176"/>
      <c r="AD1105" s="176"/>
      <c r="AE1105" s="176"/>
      <c r="AF1105" s="176"/>
      <c r="AG1105" s="176"/>
      <c r="AH1105" s="176"/>
      <c r="AI1105" s="176"/>
      <c r="AJ1105" s="176"/>
      <c r="AK1105" s="176"/>
      <c r="AL1105" s="176"/>
      <c r="AM1105" s="176"/>
      <c r="AN1105" s="176"/>
      <c r="AO1105" s="176"/>
      <c r="AP1105" s="176"/>
      <c r="AQ1105" s="176"/>
      <c r="AR1105" s="176"/>
      <c r="AS1105" s="176"/>
      <c r="AT1105" s="176"/>
      <c r="AU1105" s="176"/>
      <c r="AV1105" s="176"/>
      <c r="AW1105" s="176"/>
      <c r="AX1105" s="176"/>
      <c r="AY1105" s="176"/>
      <c r="AZ1105" s="176"/>
      <c r="BA1105" s="176"/>
      <c r="BB1105" s="176"/>
      <c r="BC1105" s="176"/>
      <c r="BD1105" s="176"/>
      <c r="BE1105" s="176"/>
      <c r="BF1105" s="176"/>
      <c r="BG1105" s="176"/>
      <c r="BH1105" s="176"/>
      <c r="BI1105" s="176"/>
      <c r="BJ1105" s="176"/>
    </row>
    <row r="1106" spans="2:62" x14ac:dyDescent="0.3">
      <c r="B1106" s="3"/>
      <c r="C1106" s="2"/>
      <c r="D1106" s="2"/>
      <c r="E1106" s="3"/>
      <c r="O1106" s="176"/>
      <c r="P1106" s="176"/>
      <c r="Q1106" s="176"/>
      <c r="R1106" s="176"/>
      <c r="S1106" s="176"/>
      <c r="T1106" s="176"/>
      <c r="U1106" s="176"/>
      <c r="V1106" s="176"/>
      <c r="W1106" s="176"/>
      <c r="X1106" s="176"/>
      <c r="Y1106" s="176"/>
      <c r="Z1106" s="176"/>
      <c r="AA1106" s="176"/>
      <c r="AB1106" s="176"/>
      <c r="AC1106" s="176"/>
      <c r="AD1106" s="176"/>
      <c r="AE1106" s="176"/>
      <c r="AF1106" s="176"/>
      <c r="AG1106" s="176"/>
      <c r="AH1106" s="176"/>
      <c r="AI1106" s="176"/>
      <c r="AJ1106" s="176"/>
      <c r="AK1106" s="176"/>
      <c r="AL1106" s="176"/>
      <c r="AM1106" s="176"/>
      <c r="AN1106" s="176"/>
      <c r="AO1106" s="176"/>
      <c r="AP1106" s="176"/>
      <c r="AQ1106" s="176"/>
      <c r="AR1106" s="176"/>
      <c r="AS1106" s="176"/>
      <c r="AT1106" s="176"/>
      <c r="AU1106" s="176"/>
      <c r="AV1106" s="176"/>
      <c r="AW1106" s="176"/>
      <c r="AX1106" s="176"/>
      <c r="AY1106" s="176"/>
      <c r="AZ1106" s="176"/>
      <c r="BA1106" s="176"/>
      <c r="BB1106" s="176"/>
      <c r="BC1106" s="176"/>
      <c r="BD1106" s="176"/>
      <c r="BE1106" s="176"/>
      <c r="BF1106" s="176"/>
      <c r="BG1106" s="176"/>
      <c r="BH1106" s="176"/>
      <c r="BI1106" s="176"/>
      <c r="BJ1106" s="176"/>
    </row>
    <row r="1107" spans="2:62" x14ac:dyDescent="0.3">
      <c r="B1107" s="3"/>
      <c r="C1107" s="2"/>
      <c r="D1107" s="2"/>
      <c r="E1107" s="3"/>
      <c r="O1107" s="176"/>
      <c r="P1107" s="176"/>
      <c r="Q1107" s="176"/>
      <c r="R1107" s="176"/>
      <c r="S1107" s="176"/>
      <c r="T1107" s="176"/>
      <c r="U1107" s="176"/>
      <c r="V1107" s="176"/>
      <c r="W1107" s="176"/>
      <c r="X1107" s="176"/>
      <c r="Y1107" s="176"/>
      <c r="Z1107" s="176"/>
      <c r="AA1107" s="176"/>
      <c r="AB1107" s="176"/>
      <c r="AC1107" s="176"/>
      <c r="AD1107" s="176"/>
      <c r="AE1107" s="176"/>
      <c r="AF1107" s="176"/>
      <c r="AG1107" s="176"/>
      <c r="AH1107" s="176"/>
      <c r="AI1107" s="176"/>
      <c r="AJ1107" s="176"/>
      <c r="AK1107" s="176"/>
      <c r="AL1107" s="176"/>
      <c r="AM1107" s="176"/>
      <c r="AN1107" s="176"/>
      <c r="AO1107" s="176"/>
      <c r="AP1107" s="176"/>
      <c r="AQ1107" s="176"/>
      <c r="AR1107" s="176"/>
      <c r="AS1107" s="176"/>
      <c r="AT1107" s="176"/>
      <c r="AU1107" s="176"/>
      <c r="AV1107" s="176"/>
      <c r="AW1107" s="176"/>
      <c r="AX1107" s="176"/>
      <c r="AY1107" s="176"/>
      <c r="AZ1107" s="176"/>
      <c r="BA1107" s="176"/>
      <c r="BB1107" s="176"/>
      <c r="BC1107" s="176"/>
      <c r="BD1107" s="176"/>
      <c r="BE1107" s="176"/>
      <c r="BF1107" s="176"/>
      <c r="BG1107" s="176"/>
      <c r="BH1107" s="176"/>
      <c r="BI1107" s="176"/>
      <c r="BJ1107" s="176"/>
    </row>
    <row r="1108" spans="2:62" x14ac:dyDescent="0.3">
      <c r="B1108" s="3"/>
      <c r="C1108" s="2"/>
      <c r="D1108" s="2"/>
      <c r="E1108" s="3"/>
      <c r="O1108" s="176"/>
      <c r="P1108" s="176"/>
      <c r="Q1108" s="176"/>
      <c r="R1108" s="176"/>
      <c r="S1108" s="176"/>
      <c r="T1108" s="176"/>
      <c r="U1108" s="176"/>
      <c r="V1108" s="176"/>
      <c r="W1108" s="176"/>
      <c r="X1108" s="176"/>
      <c r="Y1108" s="176"/>
      <c r="Z1108" s="176"/>
      <c r="AA1108" s="176"/>
      <c r="AB1108" s="176"/>
      <c r="AC1108" s="176"/>
      <c r="AD1108" s="176"/>
      <c r="AE1108" s="176"/>
      <c r="AF1108" s="176"/>
      <c r="AG1108" s="176"/>
      <c r="AH1108" s="176"/>
      <c r="AI1108" s="176"/>
      <c r="AJ1108" s="176"/>
      <c r="AK1108" s="176"/>
      <c r="AL1108" s="176"/>
      <c r="AM1108" s="176"/>
      <c r="AN1108" s="176"/>
      <c r="AO1108" s="176"/>
      <c r="AP1108" s="176"/>
      <c r="AQ1108" s="176"/>
      <c r="AR1108" s="176"/>
      <c r="AS1108" s="176"/>
      <c r="AT1108" s="176"/>
      <c r="AU1108" s="176"/>
      <c r="AV1108" s="176"/>
      <c r="AW1108" s="176"/>
      <c r="AX1108" s="176"/>
      <c r="AY1108" s="176"/>
      <c r="AZ1108" s="176"/>
      <c r="BA1108" s="176"/>
      <c r="BB1108" s="176"/>
      <c r="BC1108" s="176"/>
      <c r="BD1108" s="176"/>
      <c r="BE1108" s="176"/>
      <c r="BF1108" s="176"/>
      <c r="BG1108" s="176"/>
      <c r="BH1108" s="176"/>
      <c r="BI1108" s="176"/>
      <c r="BJ1108" s="176"/>
    </row>
    <row r="1109" spans="2:62" x14ac:dyDescent="0.3">
      <c r="B1109" s="3"/>
      <c r="C1109" s="2"/>
      <c r="D1109" s="2"/>
      <c r="E1109" s="3"/>
      <c r="O1109" s="176"/>
      <c r="P1109" s="176"/>
      <c r="Q1109" s="176"/>
      <c r="R1109" s="176"/>
      <c r="S1109" s="176"/>
      <c r="T1109" s="176"/>
      <c r="U1109" s="176"/>
      <c r="V1109" s="176"/>
      <c r="W1109" s="176"/>
      <c r="X1109" s="176"/>
      <c r="Y1109" s="176"/>
      <c r="Z1109" s="176"/>
      <c r="AA1109" s="176"/>
      <c r="AB1109" s="176"/>
      <c r="AC1109" s="176"/>
      <c r="AD1109" s="176"/>
      <c r="AE1109" s="176"/>
      <c r="AF1109" s="176"/>
      <c r="AG1109" s="176"/>
      <c r="AH1109" s="176"/>
      <c r="AI1109" s="176"/>
      <c r="AJ1109" s="176"/>
      <c r="AK1109" s="176"/>
      <c r="AL1109" s="176"/>
      <c r="AM1109" s="176"/>
      <c r="AN1109" s="176"/>
      <c r="AO1109" s="176"/>
      <c r="AP1109" s="176"/>
      <c r="AQ1109" s="176"/>
      <c r="AR1109" s="176"/>
      <c r="AS1109" s="176"/>
      <c r="AT1109" s="176"/>
      <c r="AU1109" s="176"/>
      <c r="AV1109" s="176"/>
      <c r="AW1109" s="176"/>
      <c r="AX1109" s="176"/>
      <c r="AY1109" s="176"/>
      <c r="AZ1109" s="176"/>
      <c r="BA1109" s="176"/>
      <c r="BB1109" s="176"/>
      <c r="BC1109" s="176"/>
      <c r="BD1109" s="176"/>
      <c r="BE1109" s="176"/>
      <c r="BF1109" s="176"/>
      <c r="BG1109" s="176"/>
      <c r="BH1109" s="176"/>
      <c r="BI1109" s="176"/>
      <c r="BJ1109" s="176"/>
    </row>
    <row r="1110" spans="2:62" x14ac:dyDescent="0.3">
      <c r="B1110" s="3"/>
      <c r="C1110" s="2"/>
      <c r="D1110" s="2"/>
      <c r="E1110" s="3"/>
      <c r="O1110" s="176"/>
      <c r="P1110" s="176"/>
      <c r="Q1110" s="176"/>
      <c r="R1110" s="176"/>
      <c r="S1110" s="176"/>
      <c r="T1110" s="176"/>
      <c r="U1110" s="176"/>
      <c r="V1110" s="176"/>
      <c r="W1110" s="176"/>
      <c r="X1110" s="176"/>
      <c r="Y1110" s="176"/>
      <c r="Z1110" s="176"/>
      <c r="AA1110" s="176"/>
      <c r="AB1110" s="176"/>
      <c r="AC1110" s="176"/>
      <c r="AD1110" s="176"/>
      <c r="AE1110" s="176"/>
      <c r="AF1110" s="176"/>
      <c r="AG1110" s="176"/>
      <c r="AH1110" s="176"/>
      <c r="AI1110" s="176"/>
      <c r="AJ1110" s="176"/>
      <c r="AK1110" s="176"/>
      <c r="AL1110" s="176"/>
      <c r="AM1110" s="176"/>
      <c r="AN1110" s="176"/>
      <c r="AO1110" s="176"/>
      <c r="AP1110" s="176"/>
      <c r="AQ1110" s="176"/>
      <c r="AR1110" s="176"/>
      <c r="AS1110" s="176"/>
      <c r="AT1110" s="176"/>
      <c r="AU1110" s="176"/>
      <c r="AV1110" s="176"/>
      <c r="AW1110" s="176"/>
      <c r="AX1110" s="176"/>
      <c r="AY1110" s="176"/>
      <c r="AZ1110" s="176"/>
      <c r="BA1110" s="176"/>
      <c r="BB1110" s="176"/>
      <c r="BC1110" s="176"/>
      <c r="BD1110" s="176"/>
      <c r="BE1110" s="176"/>
      <c r="BF1110" s="176"/>
      <c r="BG1110" s="176"/>
      <c r="BH1110" s="176"/>
      <c r="BI1110" s="176"/>
      <c r="BJ1110" s="176"/>
    </row>
    <row r="1111" spans="2:62" x14ac:dyDescent="0.3">
      <c r="B1111" s="3"/>
      <c r="C1111" s="2"/>
      <c r="D1111" s="2"/>
      <c r="E1111" s="3"/>
      <c r="O1111" s="176"/>
      <c r="P1111" s="176"/>
      <c r="Q1111" s="176"/>
      <c r="R1111" s="176"/>
      <c r="S1111" s="176"/>
      <c r="T1111" s="176"/>
      <c r="U1111" s="176"/>
      <c r="V1111" s="176"/>
      <c r="W1111" s="176"/>
      <c r="X1111" s="176"/>
      <c r="Y1111" s="176"/>
      <c r="Z1111" s="176"/>
      <c r="AA1111" s="176"/>
      <c r="AB1111" s="176"/>
      <c r="AC1111" s="176"/>
      <c r="AD1111" s="176"/>
      <c r="AE1111" s="176"/>
      <c r="AF1111" s="176"/>
      <c r="AG1111" s="176"/>
      <c r="AH1111" s="176"/>
      <c r="AI1111" s="176"/>
      <c r="AJ1111" s="176"/>
      <c r="AK1111" s="176"/>
      <c r="AL1111" s="176"/>
      <c r="AM1111" s="176"/>
      <c r="AN1111" s="176"/>
      <c r="AO1111" s="176"/>
      <c r="AP1111" s="176"/>
      <c r="AQ1111" s="176"/>
      <c r="AR1111" s="176"/>
      <c r="AS1111" s="176"/>
      <c r="AT1111" s="176"/>
      <c r="AU1111" s="176"/>
      <c r="AV1111" s="176"/>
      <c r="AW1111" s="176"/>
      <c r="AX1111" s="176"/>
      <c r="AY1111" s="176"/>
      <c r="AZ1111" s="176"/>
      <c r="BA1111" s="176"/>
      <c r="BB1111" s="176"/>
      <c r="BC1111" s="176"/>
      <c r="BD1111" s="176"/>
      <c r="BE1111" s="176"/>
      <c r="BF1111" s="176"/>
      <c r="BG1111" s="176"/>
      <c r="BH1111" s="176"/>
      <c r="BI1111" s="176"/>
      <c r="BJ1111" s="176"/>
    </row>
    <row r="1112" spans="2:62" x14ac:dyDescent="0.3">
      <c r="B1112" s="3"/>
      <c r="C1112" s="2"/>
      <c r="D1112" s="2"/>
      <c r="E1112" s="3"/>
      <c r="O1112" s="176"/>
      <c r="P1112" s="176"/>
      <c r="Q1112" s="176"/>
      <c r="R1112" s="176"/>
      <c r="S1112" s="176"/>
      <c r="T1112" s="176"/>
      <c r="U1112" s="176"/>
      <c r="V1112" s="176"/>
      <c r="W1112" s="176"/>
      <c r="X1112" s="176"/>
      <c r="Y1112" s="176"/>
      <c r="Z1112" s="176"/>
      <c r="AA1112" s="176"/>
      <c r="AB1112" s="176"/>
      <c r="AC1112" s="176"/>
      <c r="AD1112" s="176"/>
      <c r="AE1112" s="176"/>
      <c r="AF1112" s="176"/>
      <c r="AG1112" s="176"/>
      <c r="AH1112" s="176"/>
      <c r="AI1112" s="176"/>
      <c r="AJ1112" s="176"/>
      <c r="AK1112" s="176"/>
      <c r="AL1112" s="176"/>
      <c r="AM1112" s="176"/>
      <c r="AN1112" s="176"/>
      <c r="AO1112" s="176"/>
      <c r="AP1112" s="176"/>
      <c r="AQ1112" s="176"/>
      <c r="AR1112" s="176"/>
      <c r="AS1112" s="176"/>
      <c r="AT1112" s="176"/>
      <c r="AU1112" s="176"/>
      <c r="AV1112" s="176"/>
      <c r="AW1112" s="176"/>
      <c r="AX1112" s="176"/>
      <c r="AY1112" s="176"/>
      <c r="AZ1112" s="176"/>
      <c r="BA1112" s="176"/>
      <c r="BB1112" s="176"/>
      <c r="BC1112" s="176"/>
      <c r="BD1112" s="176"/>
      <c r="BE1112" s="176"/>
      <c r="BF1112" s="176"/>
      <c r="BG1112" s="176"/>
      <c r="BH1112" s="176"/>
      <c r="BI1112" s="176"/>
      <c r="BJ1112" s="176"/>
    </row>
    <row r="1113" spans="2:62" x14ac:dyDescent="0.3">
      <c r="B1113" s="3"/>
      <c r="C1113" s="2"/>
      <c r="D1113" s="2"/>
      <c r="E1113" s="3"/>
      <c r="O1113" s="176"/>
      <c r="P1113" s="176"/>
      <c r="Q1113" s="176"/>
      <c r="R1113" s="176"/>
      <c r="S1113" s="176"/>
      <c r="T1113" s="176"/>
      <c r="U1113" s="176"/>
      <c r="V1113" s="176"/>
      <c r="W1113" s="176"/>
      <c r="X1113" s="176"/>
      <c r="Y1113" s="176"/>
      <c r="Z1113" s="176"/>
      <c r="AA1113" s="176"/>
      <c r="AB1113" s="176"/>
      <c r="AC1113" s="176"/>
      <c r="AD1113" s="176"/>
      <c r="AE1113" s="176"/>
      <c r="AF1113" s="176"/>
      <c r="AG1113" s="176"/>
      <c r="AH1113" s="176"/>
      <c r="AI1113" s="176"/>
      <c r="AJ1113" s="176"/>
      <c r="AK1113" s="176"/>
      <c r="AL1113" s="176"/>
      <c r="AM1113" s="176"/>
      <c r="AN1113" s="176"/>
      <c r="AO1113" s="176"/>
      <c r="AP1113" s="176"/>
      <c r="AQ1113" s="176"/>
      <c r="AR1113" s="176"/>
      <c r="AS1113" s="176"/>
      <c r="AT1113" s="176"/>
      <c r="AU1113" s="176"/>
      <c r="AV1113" s="176"/>
      <c r="AW1113" s="176"/>
      <c r="AX1113" s="176"/>
      <c r="AY1113" s="176"/>
      <c r="AZ1113" s="176"/>
      <c r="BA1113" s="176"/>
      <c r="BB1113" s="176"/>
      <c r="BC1113" s="176"/>
      <c r="BD1113" s="176"/>
      <c r="BE1113" s="176"/>
      <c r="BF1113" s="176"/>
      <c r="BG1113" s="176"/>
      <c r="BH1113" s="176"/>
      <c r="BI1113" s="176"/>
      <c r="BJ1113" s="176"/>
    </row>
    <row r="1114" spans="2:62" x14ac:dyDescent="0.3">
      <c r="B1114" s="3"/>
      <c r="C1114" s="2"/>
      <c r="D1114" s="2"/>
      <c r="E1114" s="3"/>
      <c r="O1114" s="176"/>
      <c r="P1114" s="176"/>
      <c r="Q1114" s="176"/>
      <c r="R1114" s="176"/>
      <c r="S1114" s="176"/>
      <c r="T1114" s="176"/>
      <c r="U1114" s="176"/>
      <c r="V1114" s="176"/>
      <c r="W1114" s="176"/>
      <c r="X1114" s="176"/>
      <c r="Y1114" s="176"/>
      <c r="Z1114" s="176"/>
      <c r="AA1114" s="176"/>
      <c r="AB1114" s="176"/>
      <c r="AC1114" s="176"/>
      <c r="AD1114" s="176"/>
      <c r="AE1114" s="176"/>
      <c r="AF1114" s="176"/>
      <c r="AG1114" s="176"/>
      <c r="AH1114" s="176"/>
      <c r="AI1114" s="176"/>
      <c r="AJ1114" s="176"/>
      <c r="AK1114" s="176"/>
      <c r="AL1114" s="176"/>
      <c r="AM1114" s="176"/>
      <c r="AN1114" s="176"/>
      <c r="AO1114" s="176"/>
      <c r="AP1114" s="176"/>
      <c r="AQ1114" s="176"/>
      <c r="AR1114" s="176"/>
      <c r="AS1114" s="176"/>
      <c r="AT1114" s="176"/>
      <c r="AU1114" s="176"/>
      <c r="AV1114" s="176"/>
      <c r="AW1114" s="176"/>
      <c r="AX1114" s="176"/>
      <c r="AY1114" s="176"/>
      <c r="AZ1114" s="176"/>
      <c r="BA1114" s="176"/>
      <c r="BB1114" s="176"/>
      <c r="BC1114" s="176"/>
      <c r="BD1114" s="176"/>
      <c r="BE1114" s="176"/>
      <c r="BF1114" s="176"/>
      <c r="BG1114" s="176"/>
      <c r="BH1114" s="176"/>
      <c r="BI1114" s="176"/>
      <c r="BJ1114" s="176"/>
    </row>
    <row r="1115" spans="2:62" x14ac:dyDescent="0.3">
      <c r="B1115" s="3"/>
      <c r="C1115" s="2"/>
      <c r="D1115" s="2"/>
      <c r="E1115" s="3"/>
      <c r="O1115" s="176"/>
      <c r="P1115" s="176"/>
      <c r="Q1115" s="176"/>
      <c r="R1115" s="176"/>
      <c r="S1115" s="176"/>
      <c r="T1115" s="176"/>
      <c r="U1115" s="176"/>
      <c r="V1115" s="176"/>
      <c r="W1115" s="176"/>
      <c r="X1115" s="176"/>
      <c r="Y1115" s="176"/>
      <c r="Z1115" s="176"/>
      <c r="AA1115" s="176"/>
      <c r="AB1115" s="176"/>
      <c r="AC1115" s="176"/>
      <c r="AD1115" s="176"/>
      <c r="AE1115" s="176"/>
      <c r="AF1115" s="176"/>
      <c r="AG1115" s="176"/>
      <c r="AH1115" s="176"/>
      <c r="AI1115" s="176"/>
      <c r="AJ1115" s="176"/>
      <c r="AK1115" s="176"/>
      <c r="AL1115" s="176"/>
      <c r="AM1115" s="176"/>
      <c r="AN1115" s="176"/>
      <c r="AO1115" s="176"/>
      <c r="AP1115" s="176"/>
      <c r="AQ1115" s="176"/>
      <c r="AR1115" s="176"/>
      <c r="AS1115" s="176"/>
      <c r="AT1115" s="176"/>
      <c r="AU1115" s="176"/>
      <c r="AV1115" s="176"/>
      <c r="AW1115" s="176"/>
      <c r="AX1115" s="176"/>
      <c r="AY1115" s="176"/>
      <c r="AZ1115" s="176"/>
      <c r="BA1115" s="176"/>
      <c r="BB1115" s="176"/>
      <c r="BC1115" s="176"/>
      <c r="BD1115" s="176"/>
      <c r="BE1115" s="176"/>
      <c r="BF1115" s="176"/>
      <c r="BG1115" s="176"/>
      <c r="BH1115" s="176"/>
      <c r="BI1115" s="176"/>
      <c r="BJ1115" s="176"/>
    </row>
    <row r="1116" spans="2:62" x14ac:dyDescent="0.3">
      <c r="B1116" s="3"/>
      <c r="C1116" s="2"/>
      <c r="D1116" s="2"/>
      <c r="E1116" s="3"/>
      <c r="O1116" s="176"/>
      <c r="P1116" s="176"/>
      <c r="Q1116" s="176"/>
      <c r="R1116" s="176"/>
      <c r="S1116" s="176"/>
      <c r="T1116" s="176"/>
      <c r="U1116" s="176"/>
      <c r="V1116" s="176"/>
      <c r="W1116" s="176"/>
      <c r="X1116" s="176"/>
      <c r="Y1116" s="176"/>
      <c r="Z1116" s="176"/>
      <c r="AA1116" s="176"/>
      <c r="AB1116" s="176"/>
      <c r="AC1116" s="176"/>
      <c r="AD1116" s="176"/>
      <c r="AE1116" s="176"/>
      <c r="AF1116" s="176"/>
      <c r="AG1116" s="176"/>
      <c r="AH1116" s="176"/>
      <c r="AI1116" s="176"/>
      <c r="AJ1116" s="176"/>
      <c r="AK1116" s="176"/>
      <c r="AL1116" s="176"/>
      <c r="AM1116" s="176"/>
      <c r="AN1116" s="176"/>
      <c r="AO1116" s="176"/>
      <c r="AP1116" s="176"/>
      <c r="AQ1116" s="176"/>
      <c r="AR1116" s="176"/>
      <c r="AS1116" s="176"/>
      <c r="AT1116" s="176"/>
      <c r="AU1116" s="176"/>
      <c r="AV1116" s="176"/>
      <c r="AW1116" s="176"/>
      <c r="AX1116" s="176"/>
      <c r="AY1116" s="176"/>
      <c r="AZ1116" s="176"/>
      <c r="BA1116" s="176"/>
      <c r="BB1116" s="176"/>
      <c r="BC1116" s="176"/>
      <c r="BD1116" s="176"/>
      <c r="BE1116" s="176"/>
      <c r="BF1116" s="176"/>
      <c r="BG1116" s="176"/>
      <c r="BH1116" s="176"/>
      <c r="BI1116" s="176"/>
      <c r="BJ1116" s="176"/>
    </row>
    <row r="1117" spans="2:62" x14ac:dyDescent="0.3">
      <c r="B1117" s="3"/>
      <c r="C1117" s="2"/>
      <c r="D1117" s="2"/>
      <c r="E1117" s="3"/>
      <c r="O1117" s="176"/>
      <c r="P1117" s="176"/>
      <c r="Q1117" s="176"/>
      <c r="R1117" s="176"/>
      <c r="S1117" s="176"/>
      <c r="T1117" s="176"/>
      <c r="U1117" s="176"/>
      <c r="V1117" s="176"/>
      <c r="W1117" s="176"/>
      <c r="X1117" s="176"/>
      <c r="Y1117" s="176"/>
      <c r="Z1117" s="176"/>
      <c r="AA1117" s="176"/>
      <c r="AB1117" s="176"/>
      <c r="AC1117" s="176"/>
      <c r="AD1117" s="176"/>
      <c r="AE1117" s="176"/>
      <c r="AF1117" s="176"/>
      <c r="AG1117" s="176"/>
      <c r="AH1117" s="176"/>
      <c r="AI1117" s="176"/>
      <c r="AJ1117" s="176"/>
      <c r="AK1117" s="176"/>
      <c r="AL1117" s="176"/>
      <c r="AM1117" s="176"/>
      <c r="AN1117" s="176"/>
      <c r="AO1117" s="176"/>
      <c r="AP1117" s="176"/>
      <c r="AQ1117" s="176"/>
      <c r="AR1117" s="176"/>
      <c r="AS1117" s="176"/>
      <c r="AT1117" s="176"/>
      <c r="AU1117" s="176"/>
      <c r="AV1117" s="176"/>
      <c r="AW1117" s="176"/>
      <c r="AX1117" s="176"/>
      <c r="AY1117" s="176"/>
      <c r="AZ1117" s="176"/>
      <c r="BA1117" s="176"/>
      <c r="BB1117" s="176"/>
      <c r="BC1117" s="176"/>
      <c r="BD1117" s="176"/>
      <c r="BE1117" s="176"/>
      <c r="BF1117" s="176"/>
      <c r="BG1117" s="176"/>
      <c r="BH1117" s="176"/>
      <c r="BI1117" s="176"/>
      <c r="BJ1117" s="176"/>
    </row>
    <row r="1118" spans="2:62" x14ac:dyDescent="0.3">
      <c r="B1118" s="3"/>
      <c r="C1118" s="2"/>
      <c r="D1118" s="2"/>
      <c r="E1118" s="3"/>
      <c r="O1118" s="176"/>
      <c r="P1118" s="176"/>
      <c r="Q1118" s="176"/>
      <c r="R1118" s="176"/>
      <c r="S1118" s="176"/>
      <c r="T1118" s="176"/>
      <c r="U1118" s="176"/>
      <c r="V1118" s="176"/>
      <c r="W1118" s="176"/>
      <c r="X1118" s="176"/>
      <c r="Y1118" s="176"/>
      <c r="Z1118" s="176"/>
      <c r="AA1118" s="176"/>
      <c r="AB1118" s="176"/>
      <c r="AC1118" s="176"/>
      <c r="AD1118" s="176"/>
      <c r="AE1118" s="176"/>
      <c r="AF1118" s="176"/>
      <c r="AG1118" s="176"/>
      <c r="AH1118" s="176"/>
      <c r="AI1118" s="176"/>
      <c r="AJ1118" s="176"/>
      <c r="AK1118" s="176"/>
      <c r="AL1118" s="176"/>
      <c r="AM1118" s="176"/>
      <c r="AN1118" s="176"/>
      <c r="AO1118" s="176"/>
      <c r="AP1118" s="176"/>
      <c r="AQ1118" s="176"/>
      <c r="AR1118" s="176"/>
      <c r="AS1118" s="176"/>
      <c r="AT1118" s="176"/>
      <c r="AU1118" s="176"/>
      <c r="AV1118" s="176"/>
      <c r="AW1118" s="176"/>
      <c r="AX1118" s="176"/>
      <c r="AY1118" s="176"/>
      <c r="AZ1118" s="176"/>
      <c r="BA1118" s="176"/>
      <c r="BB1118" s="176"/>
      <c r="BC1118" s="176"/>
      <c r="BD1118" s="176"/>
      <c r="BE1118" s="176"/>
      <c r="BF1118" s="176"/>
      <c r="BG1118" s="176"/>
      <c r="BH1118" s="176"/>
      <c r="BI1118" s="176"/>
      <c r="BJ1118" s="176"/>
    </row>
    <row r="1119" spans="2:62" x14ac:dyDescent="0.3">
      <c r="B1119" s="3"/>
      <c r="C1119" s="2"/>
      <c r="D1119" s="2"/>
      <c r="E1119" s="3"/>
      <c r="O1119" s="176"/>
      <c r="P1119" s="176"/>
      <c r="Q1119" s="176"/>
      <c r="R1119" s="176"/>
      <c r="S1119" s="176"/>
      <c r="T1119" s="176"/>
      <c r="U1119" s="176"/>
      <c r="V1119" s="176"/>
      <c r="W1119" s="176"/>
      <c r="X1119" s="176"/>
      <c r="Y1119" s="176"/>
      <c r="Z1119" s="176"/>
      <c r="AA1119" s="176"/>
      <c r="AB1119" s="176"/>
      <c r="AC1119" s="176"/>
      <c r="AD1119" s="176"/>
      <c r="AE1119" s="176"/>
      <c r="AF1119" s="176"/>
      <c r="AG1119" s="176"/>
      <c r="AH1119" s="176"/>
      <c r="AI1119" s="176"/>
      <c r="AJ1119" s="176"/>
      <c r="AK1119" s="176"/>
      <c r="AL1119" s="176"/>
      <c r="AM1119" s="176"/>
      <c r="AN1119" s="176"/>
      <c r="AO1119" s="176"/>
      <c r="AP1119" s="176"/>
      <c r="AQ1119" s="176"/>
      <c r="AR1119" s="176"/>
      <c r="AS1119" s="176"/>
      <c r="AT1119" s="176"/>
      <c r="AU1119" s="176"/>
      <c r="AV1119" s="176"/>
      <c r="AW1119" s="176"/>
      <c r="AX1119" s="176"/>
      <c r="AY1119" s="176"/>
      <c r="AZ1119" s="176"/>
      <c r="BA1119" s="176"/>
      <c r="BB1119" s="176"/>
      <c r="BC1119" s="176"/>
      <c r="BD1119" s="176"/>
      <c r="BE1119" s="176"/>
      <c r="BF1119" s="176"/>
      <c r="BG1119" s="176"/>
      <c r="BH1119" s="176"/>
      <c r="BI1119" s="176"/>
      <c r="BJ1119" s="176"/>
    </row>
    <row r="1120" spans="2:62" x14ac:dyDescent="0.3">
      <c r="B1120" s="3"/>
      <c r="C1120" s="2"/>
      <c r="D1120" s="2"/>
      <c r="E1120" s="3"/>
      <c r="O1120" s="176"/>
      <c r="P1120" s="176"/>
      <c r="Q1120" s="176"/>
      <c r="R1120" s="176"/>
      <c r="S1120" s="176"/>
      <c r="T1120" s="176"/>
      <c r="U1120" s="176"/>
      <c r="V1120" s="176"/>
      <c r="W1120" s="176"/>
      <c r="X1120" s="176"/>
      <c r="Y1120" s="176"/>
      <c r="Z1120" s="176"/>
      <c r="AA1120" s="176"/>
      <c r="AB1120" s="176"/>
      <c r="AC1120" s="176"/>
      <c r="AD1120" s="176"/>
      <c r="AE1120" s="176"/>
      <c r="AF1120" s="176"/>
      <c r="AG1120" s="176"/>
      <c r="AH1120" s="176"/>
      <c r="AI1120" s="176"/>
      <c r="AJ1120" s="176"/>
      <c r="AK1120" s="176"/>
      <c r="AL1120" s="176"/>
      <c r="AM1120" s="176"/>
      <c r="AN1120" s="176"/>
      <c r="AO1120" s="176"/>
      <c r="AP1120" s="176"/>
      <c r="AQ1120" s="176"/>
      <c r="AR1120" s="176"/>
      <c r="AS1120" s="176"/>
      <c r="AT1120" s="176"/>
      <c r="AU1120" s="176"/>
      <c r="AV1120" s="176"/>
      <c r="AW1120" s="176"/>
      <c r="AX1120" s="176"/>
      <c r="AY1120" s="176"/>
      <c r="AZ1120" s="176"/>
      <c r="BA1120" s="176"/>
      <c r="BB1120" s="176"/>
      <c r="BC1120" s="176"/>
      <c r="BD1120" s="176"/>
      <c r="BE1120" s="176"/>
      <c r="BF1120" s="176"/>
      <c r="BG1120" s="176"/>
      <c r="BH1120" s="176"/>
      <c r="BI1120" s="176"/>
      <c r="BJ1120" s="176"/>
    </row>
    <row r="1121" spans="2:62" x14ac:dyDescent="0.3">
      <c r="B1121" s="3"/>
      <c r="C1121" s="2"/>
      <c r="D1121" s="2"/>
      <c r="E1121" s="3"/>
      <c r="O1121" s="176"/>
      <c r="P1121" s="176"/>
      <c r="Q1121" s="176"/>
      <c r="R1121" s="176"/>
      <c r="S1121" s="176"/>
      <c r="T1121" s="176"/>
      <c r="U1121" s="176"/>
      <c r="V1121" s="176"/>
      <c r="W1121" s="176"/>
      <c r="X1121" s="176"/>
      <c r="Y1121" s="176"/>
      <c r="Z1121" s="176"/>
      <c r="AA1121" s="176"/>
      <c r="AB1121" s="176"/>
      <c r="AC1121" s="176"/>
      <c r="AD1121" s="176"/>
      <c r="AE1121" s="176"/>
      <c r="AF1121" s="176"/>
      <c r="AG1121" s="176"/>
      <c r="AH1121" s="176"/>
      <c r="AI1121" s="176"/>
      <c r="AJ1121" s="176"/>
      <c r="AK1121" s="176"/>
      <c r="AL1121" s="176"/>
      <c r="AM1121" s="176"/>
      <c r="AN1121" s="176"/>
      <c r="AO1121" s="176"/>
      <c r="AP1121" s="176"/>
      <c r="AQ1121" s="176"/>
      <c r="AR1121" s="176"/>
      <c r="AS1121" s="176"/>
      <c r="AT1121" s="176"/>
      <c r="AU1121" s="176"/>
      <c r="AV1121" s="176"/>
      <c r="AW1121" s="176"/>
      <c r="AX1121" s="176"/>
      <c r="AY1121" s="176"/>
      <c r="AZ1121" s="176"/>
      <c r="BA1121" s="176"/>
      <c r="BB1121" s="176"/>
      <c r="BC1121" s="176"/>
      <c r="BD1121" s="176"/>
      <c r="BE1121" s="176"/>
      <c r="BF1121" s="176"/>
      <c r="BG1121" s="176"/>
      <c r="BH1121" s="176"/>
      <c r="BI1121" s="176"/>
      <c r="BJ1121" s="176"/>
    </row>
    <row r="1122" spans="2:62" x14ac:dyDescent="0.3">
      <c r="B1122" s="3"/>
      <c r="C1122" s="2"/>
      <c r="D1122" s="2"/>
      <c r="E1122" s="3"/>
      <c r="O1122" s="176"/>
      <c r="P1122" s="176"/>
      <c r="Q1122" s="176"/>
      <c r="R1122" s="176"/>
      <c r="S1122" s="176"/>
      <c r="T1122" s="176"/>
      <c r="U1122" s="176"/>
      <c r="V1122" s="176"/>
      <c r="W1122" s="176"/>
      <c r="X1122" s="176"/>
      <c r="Y1122" s="176"/>
      <c r="Z1122" s="176"/>
      <c r="AA1122" s="176"/>
      <c r="AB1122" s="176"/>
      <c r="AC1122" s="176"/>
      <c r="AD1122" s="176"/>
      <c r="AE1122" s="176"/>
      <c r="AF1122" s="176"/>
      <c r="AG1122" s="176"/>
      <c r="AH1122" s="176"/>
      <c r="AI1122" s="176"/>
      <c r="AJ1122" s="176"/>
      <c r="AK1122" s="176"/>
      <c r="AL1122" s="176"/>
      <c r="AM1122" s="176"/>
      <c r="AN1122" s="176"/>
      <c r="AO1122" s="176"/>
      <c r="AP1122" s="176"/>
      <c r="AQ1122" s="176"/>
      <c r="AR1122" s="176"/>
      <c r="AS1122" s="176"/>
      <c r="AT1122" s="176"/>
      <c r="AU1122" s="176"/>
      <c r="AV1122" s="176"/>
      <c r="AW1122" s="176"/>
      <c r="AX1122" s="176"/>
      <c r="AY1122" s="176"/>
      <c r="AZ1122" s="176"/>
      <c r="BA1122" s="176"/>
      <c r="BB1122" s="176"/>
      <c r="BC1122" s="176"/>
      <c r="BD1122" s="176"/>
      <c r="BE1122" s="176"/>
      <c r="BF1122" s="176"/>
      <c r="BG1122" s="176"/>
      <c r="BH1122" s="176"/>
      <c r="BI1122" s="176"/>
      <c r="BJ1122" s="176"/>
    </row>
    <row r="1123" spans="2:62" x14ac:dyDescent="0.3">
      <c r="B1123" s="3"/>
      <c r="C1123" s="2"/>
      <c r="D1123" s="2"/>
      <c r="E1123" s="3"/>
      <c r="O1123" s="176"/>
      <c r="P1123" s="176"/>
      <c r="Q1123" s="176"/>
      <c r="R1123" s="176"/>
      <c r="S1123" s="176"/>
      <c r="T1123" s="176"/>
      <c r="U1123" s="176"/>
      <c r="V1123" s="176"/>
      <c r="W1123" s="176"/>
      <c r="X1123" s="176"/>
      <c r="Y1123" s="176"/>
      <c r="Z1123" s="176"/>
      <c r="AA1123" s="176"/>
      <c r="AB1123" s="176"/>
      <c r="AC1123" s="176"/>
      <c r="AD1123" s="176"/>
      <c r="AE1123" s="176"/>
      <c r="AF1123" s="176"/>
      <c r="AG1123" s="176"/>
      <c r="AH1123" s="176"/>
      <c r="AI1123" s="176"/>
      <c r="AJ1123" s="176"/>
      <c r="AK1123" s="176"/>
      <c r="AL1123" s="176"/>
      <c r="AM1123" s="176"/>
      <c r="AN1123" s="176"/>
      <c r="AO1123" s="176"/>
      <c r="AP1123" s="176"/>
      <c r="AQ1123" s="176"/>
      <c r="AR1123" s="176"/>
      <c r="AS1123" s="176"/>
      <c r="AT1123" s="176"/>
      <c r="AU1123" s="176"/>
      <c r="AV1123" s="176"/>
      <c r="AW1123" s="176"/>
      <c r="AX1123" s="176"/>
      <c r="AY1123" s="176"/>
      <c r="AZ1123" s="176"/>
      <c r="BA1123" s="176"/>
      <c r="BB1123" s="176"/>
      <c r="BC1123" s="176"/>
      <c r="BD1123" s="176"/>
      <c r="BE1123" s="176"/>
      <c r="BF1123" s="176"/>
      <c r="BG1123" s="176"/>
      <c r="BH1123" s="176"/>
      <c r="BI1123" s="176"/>
      <c r="BJ1123" s="176"/>
    </row>
    <row r="1124" spans="2:62" x14ac:dyDescent="0.3">
      <c r="B1124" s="3"/>
      <c r="C1124" s="2"/>
      <c r="D1124" s="2"/>
      <c r="E1124" s="3"/>
      <c r="O1124" s="176"/>
      <c r="P1124" s="176"/>
      <c r="Q1124" s="176"/>
      <c r="R1124" s="176"/>
      <c r="S1124" s="176"/>
      <c r="T1124" s="176"/>
      <c r="U1124" s="176"/>
      <c r="V1124" s="176"/>
      <c r="W1124" s="176"/>
      <c r="X1124" s="176"/>
      <c r="Y1124" s="176"/>
      <c r="Z1124" s="176"/>
      <c r="AA1124" s="176"/>
      <c r="AB1124" s="176"/>
      <c r="AC1124" s="176"/>
      <c r="AD1124" s="176"/>
      <c r="AE1124" s="176"/>
      <c r="AF1124" s="176"/>
      <c r="AG1124" s="176"/>
      <c r="AH1124" s="176"/>
      <c r="AI1124" s="176"/>
      <c r="AJ1124" s="176"/>
      <c r="AK1124" s="176"/>
      <c r="AL1124" s="176"/>
      <c r="AM1124" s="176"/>
      <c r="AN1124" s="176"/>
      <c r="AO1124" s="176"/>
      <c r="AP1124" s="176"/>
      <c r="AQ1124" s="176"/>
      <c r="AR1124" s="176"/>
      <c r="AS1124" s="176"/>
      <c r="AT1124" s="176"/>
      <c r="AU1124" s="176"/>
      <c r="AV1124" s="176"/>
      <c r="AW1124" s="176"/>
      <c r="AX1124" s="176"/>
      <c r="AY1124" s="176"/>
      <c r="AZ1124" s="176"/>
      <c r="BA1124" s="176"/>
      <c r="BB1124" s="176"/>
      <c r="BC1124" s="176"/>
      <c r="BD1124" s="176"/>
      <c r="BE1124" s="176"/>
      <c r="BF1124" s="176"/>
      <c r="BG1124" s="176"/>
      <c r="BH1124" s="176"/>
      <c r="BI1124" s="176"/>
      <c r="BJ1124" s="176"/>
    </row>
    <row r="1125" spans="2:62" x14ac:dyDescent="0.3">
      <c r="B1125" s="3"/>
      <c r="C1125" s="2"/>
      <c r="D1125" s="2"/>
      <c r="E1125" s="3"/>
      <c r="O1125" s="176"/>
      <c r="P1125" s="176"/>
      <c r="Q1125" s="176"/>
      <c r="R1125" s="176"/>
      <c r="S1125" s="176"/>
      <c r="T1125" s="176"/>
      <c r="U1125" s="176"/>
      <c r="V1125" s="176"/>
      <c r="W1125" s="176"/>
      <c r="X1125" s="176"/>
      <c r="Y1125" s="176"/>
      <c r="Z1125" s="176"/>
      <c r="AA1125" s="176"/>
      <c r="AB1125" s="176"/>
      <c r="AC1125" s="176"/>
      <c r="AD1125" s="176"/>
      <c r="AE1125" s="176"/>
      <c r="AF1125" s="176"/>
      <c r="AG1125" s="176"/>
      <c r="AH1125" s="176"/>
      <c r="AI1125" s="176"/>
      <c r="AJ1125" s="176"/>
      <c r="AK1125" s="176"/>
      <c r="AL1125" s="176"/>
      <c r="AM1125" s="176"/>
      <c r="AN1125" s="176"/>
      <c r="AO1125" s="176"/>
      <c r="AP1125" s="176"/>
      <c r="AQ1125" s="176"/>
      <c r="AR1125" s="176"/>
      <c r="AS1125" s="176"/>
      <c r="AT1125" s="176"/>
      <c r="AU1125" s="176"/>
      <c r="AV1125" s="176"/>
      <c r="AW1125" s="176"/>
      <c r="AX1125" s="176"/>
      <c r="AY1125" s="176"/>
      <c r="AZ1125" s="176"/>
      <c r="BA1125" s="176"/>
      <c r="BB1125" s="176"/>
      <c r="BC1125" s="176"/>
      <c r="BD1125" s="176"/>
      <c r="BE1125" s="176"/>
      <c r="BF1125" s="176"/>
      <c r="BG1125" s="176"/>
      <c r="BH1125" s="176"/>
      <c r="BI1125" s="176"/>
      <c r="BJ1125" s="176"/>
    </row>
    <row r="1126" spans="2:62" x14ac:dyDescent="0.3">
      <c r="B1126" s="3"/>
      <c r="C1126" s="2"/>
      <c r="D1126" s="2"/>
      <c r="E1126" s="3"/>
      <c r="O1126" s="176"/>
      <c r="P1126" s="176"/>
      <c r="Q1126" s="176"/>
      <c r="R1126" s="176"/>
      <c r="S1126" s="176"/>
      <c r="T1126" s="176"/>
      <c r="U1126" s="176"/>
      <c r="V1126" s="176"/>
      <c r="W1126" s="176"/>
      <c r="X1126" s="176"/>
      <c r="Y1126" s="176"/>
      <c r="Z1126" s="176"/>
      <c r="AA1126" s="176"/>
      <c r="AB1126" s="176"/>
      <c r="AC1126" s="176"/>
      <c r="AD1126" s="176"/>
      <c r="AE1126" s="176"/>
      <c r="AF1126" s="176"/>
      <c r="AG1126" s="176"/>
      <c r="AH1126" s="176"/>
      <c r="AI1126" s="176"/>
      <c r="AJ1126" s="176"/>
      <c r="AK1126" s="176"/>
      <c r="AL1126" s="176"/>
      <c r="AM1126" s="176"/>
      <c r="AN1126" s="176"/>
      <c r="AO1126" s="176"/>
      <c r="AP1126" s="176"/>
      <c r="AQ1126" s="176"/>
      <c r="AR1126" s="176"/>
      <c r="AS1126" s="176"/>
      <c r="AT1126" s="176"/>
      <c r="AU1126" s="176"/>
      <c r="AV1126" s="176"/>
      <c r="AW1126" s="176"/>
      <c r="AX1126" s="176"/>
      <c r="AY1126" s="176"/>
      <c r="AZ1126" s="176"/>
      <c r="BA1126" s="176"/>
      <c r="BB1126" s="176"/>
      <c r="BC1126" s="176"/>
      <c r="BD1126" s="176"/>
      <c r="BE1126" s="176"/>
      <c r="BF1126" s="176"/>
      <c r="BG1126" s="176"/>
      <c r="BH1126" s="176"/>
      <c r="BI1126" s="176"/>
      <c r="BJ1126" s="176"/>
    </row>
    <row r="1127" spans="2:62" x14ac:dyDescent="0.3">
      <c r="B1127" s="3"/>
      <c r="C1127" s="2"/>
      <c r="D1127" s="2"/>
      <c r="E1127" s="3"/>
      <c r="O1127" s="176"/>
      <c r="P1127" s="176"/>
      <c r="Q1127" s="176"/>
      <c r="R1127" s="176"/>
      <c r="S1127" s="176"/>
      <c r="T1127" s="176"/>
      <c r="U1127" s="176"/>
      <c r="V1127" s="176"/>
      <c r="W1127" s="176"/>
      <c r="X1127" s="176"/>
      <c r="Y1127" s="176"/>
      <c r="Z1127" s="176"/>
      <c r="AA1127" s="176"/>
      <c r="AB1127" s="176"/>
      <c r="AC1127" s="176"/>
      <c r="AD1127" s="176"/>
      <c r="AE1127" s="176"/>
      <c r="AF1127" s="176"/>
      <c r="AG1127" s="176"/>
      <c r="AH1127" s="176"/>
      <c r="AI1127" s="176"/>
      <c r="AJ1127" s="176"/>
      <c r="AK1127" s="176"/>
      <c r="AL1127" s="176"/>
      <c r="AM1127" s="176"/>
      <c r="AN1127" s="176"/>
      <c r="AO1127" s="176"/>
      <c r="AP1127" s="176"/>
      <c r="AQ1127" s="176"/>
      <c r="AR1127" s="176"/>
      <c r="AS1127" s="176"/>
      <c r="AT1127" s="176"/>
      <c r="AU1127" s="176"/>
      <c r="AV1127" s="176"/>
      <c r="AW1127" s="176"/>
      <c r="AX1127" s="176"/>
      <c r="AY1127" s="176"/>
      <c r="AZ1127" s="176"/>
      <c r="BA1127" s="176"/>
      <c r="BB1127" s="176"/>
      <c r="BC1127" s="176"/>
      <c r="BD1127" s="176"/>
      <c r="BE1127" s="176"/>
      <c r="BF1127" s="176"/>
      <c r="BG1127" s="176"/>
      <c r="BH1127" s="176"/>
      <c r="BI1127" s="176"/>
      <c r="BJ1127" s="176"/>
    </row>
    <row r="1128" spans="2:62" x14ac:dyDescent="0.3">
      <c r="B1128" s="3"/>
      <c r="C1128" s="2"/>
      <c r="D1128" s="2"/>
      <c r="E1128" s="3"/>
      <c r="O1128" s="176"/>
      <c r="P1128" s="176"/>
      <c r="Q1128" s="176"/>
      <c r="R1128" s="176"/>
      <c r="S1128" s="176"/>
      <c r="T1128" s="176"/>
      <c r="U1128" s="176"/>
      <c r="V1128" s="176"/>
      <c r="W1128" s="176"/>
      <c r="X1128" s="176"/>
      <c r="Y1128" s="176"/>
      <c r="Z1128" s="176"/>
      <c r="AA1128" s="176"/>
      <c r="AB1128" s="176"/>
      <c r="AC1128" s="176"/>
      <c r="AD1128" s="176"/>
      <c r="AE1128" s="176"/>
      <c r="AF1128" s="176"/>
      <c r="AG1128" s="176"/>
      <c r="AH1128" s="176"/>
      <c r="AI1128" s="176"/>
      <c r="AJ1128" s="176"/>
      <c r="AK1128" s="176"/>
      <c r="AL1128" s="176"/>
      <c r="AM1128" s="176"/>
      <c r="AN1128" s="176"/>
      <c r="AO1128" s="176"/>
      <c r="AP1128" s="176"/>
      <c r="AQ1128" s="176"/>
      <c r="AR1128" s="176"/>
      <c r="AS1128" s="176"/>
      <c r="AT1128" s="176"/>
      <c r="AU1128" s="176"/>
      <c r="AV1128" s="176"/>
      <c r="AW1128" s="176"/>
      <c r="AX1128" s="176"/>
      <c r="AY1128" s="176"/>
      <c r="AZ1128" s="176"/>
      <c r="BA1128" s="176"/>
      <c r="BB1128" s="176"/>
      <c r="BC1128" s="176"/>
      <c r="BD1128" s="176"/>
      <c r="BE1128" s="176"/>
      <c r="BF1128" s="176"/>
      <c r="BG1128" s="176"/>
      <c r="BH1128" s="176"/>
      <c r="BI1128" s="176"/>
      <c r="BJ1128" s="176"/>
    </row>
    <row r="1129" spans="2:62" x14ac:dyDescent="0.3">
      <c r="B1129" s="3"/>
      <c r="C1129" s="2"/>
      <c r="D1129" s="2"/>
      <c r="E1129" s="3"/>
      <c r="O1129" s="176"/>
      <c r="P1129" s="176"/>
      <c r="Q1129" s="176"/>
      <c r="R1129" s="176"/>
      <c r="S1129" s="176"/>
      <c r="T1129" s="176"/>
      <c r="U1129" s="176"/>
      <c r="V1129" s="176"/>
      <c r="W1129" s="176"/>
      <c r="X1129" s="176"/>
      <c r="Y1129" s="176"/>
      <c r="Z1129" s="176"/>
      <c r="AA1129" s="176"/>
      <c r="AB1129" s="176"/>
      <c r="AC1129" s="176"/>
      <c r="AD1129" s="176"/>
      <c r="AE1129" s="176"/>
      <c r="AF1129" s="176"/>
      <c r="AG1129" s="176"/>
      <c r="AH1129" s="176"/>
      <c r="AI1129" s="176"/>
      <c r="AJ1129" s="176"/>
      <c r="AK1129" s="176"/>
      <c r="AL1129" s="176"/>
      <c r="AM1129" s="176"/>
      <c r="AN1129" s="176"/>
      <c r="AO1129" s="176"/>
      <c r="AP1129" s="176"/>
      <c r="AQ1129" s="176"/>
      <c r="AR1129" s="176"/>
      <c r="AS1129" s="176"/>
      <c r="AT1129" s="176"/>
      <c r="AU1129" s="176"/>
      <c r="AV1129" s="176"/>
      <c r="AW1129" s="176"/>
      <c r="AX1129" s="176"/>
      <c r="AY1129" s="176"/>
      <c r="AZ1129" s="176"/>
      <c r="BA1129" s="176"/>
      <c r="BB1129" s="176"/>
      <c r="BC1129" s="176"/>
      <c r="BD1129" s="176"/>
      <c r="BE1129" s="176"/>
      <c r="BF1129" s="176"/>
      <c r="BG1129" s="176"/>
      <c r="BH1129" s="176"/>
      <c r="BI1129" s="176"/>
      <c r="BJ1129" s="176"/>
    </row>
    <row r="1130" spans="2:62" x14ac:dyDescent="0.3">
      <c r="B1130" s="3"/>
      <c r="C1130" s="2"/>
      <c r="D1130" s="2"/>
      <c r="E1130" s="3"/>
      <c r="O1130" s="176"/>
      <c r="P1130" s="176"/>
      <c r="Q1130" s="176"/>
      <c r="R1130" s="176"/>
      <c r="S1130" s="176"/>
      <c r="T1130" s="176"/>
      <c r="U1130" s="176"/>
      <c r="V1130" s="176"/>
      <c r="W1130" s="176"/>
      <c r="X1130" s="176"/>
      <c r="Y1130" s="176"/>
      <c r="Z1130" s="176"/>
      <c r="AA1130" s="176"/>
      <c r="AB1130" s="176"/>
      <c r="AC1130" s="176"/>
      <c r="AD1130" s="176"/>
      <c r="AE1130" s="176"/>
      <c r="AF1130" s="176"/>
      <c r="AG1130" s="176"/>
      <c r="AH1130" s="176"/>
      <c r="AI1130" s="176"/>
      <c r="AJ1130" s="176"/>
      <c r="AK1130" s="176"/>
      <c r="AL1130" s="176"/>
      <c r="AM1130" s="176"/>
      <c r="AN1130" s="176"/>
      <c r="AO1130" s="176"/>
      <c r="AP1130" s="176"/>
      <c r="AQ1130" s="176"/>
      <c r="AR1130" s="176"/>
      <c r="AS1130" s="176"/>
      <c r="AT1130" s="176"/>
      <c r="AU1130" s="176"/>
      <c r="AV1130" s="176"/>
      <c r="AW1130" s="176"/>
      <c r="AX1130" s="176"/>
      <c r="AY1130" s="176"/>
      <c r="AZ1130" s="176"/>
      <c r="BA1130" s="176"/>
      <c r="BB1130" s="176"/>
      <c r="BC1130" s="176"/>
      <c r="BD1130" s="176"/>
      <c r="BE1130" s="176"/>
      <c r="BF1130" s="176"/>
      <c r="BG1130" s="176"/>
      <c r="BH1130" s="176"/>
      <c r="BI1130" s="176"/>
      <c r="BJ1130" s="176"/>
    </row>
    <row r="1131" spans="2:62" x14ac:dyDescent="0.3">
      <c r="B1131" s="3"/>
      <c r="C1131" s="2"/>
      <c r="D1131" s="2"/>
      <c r="E1131" s="3"/>
      <c r="O1131" s="176"/>
      <c r="P1131" s="176"/>
      <c r="Q1131" s="176"/>
      <c r="R1131" s="176"/>
      <c r="S1131" s="176"/>
      <c r="T1131" s="176"/>
      <c r="U1131" s="176"/>
      <c r="V1131" s="176"/>
      <c r="W1131" s="176"/>
      <c r="X1131" s="176"/>
      <c r="Y1131" s="176"/>
      <c r="Z1131" s="176"/>
      <c r="AA1131" s="176"/>
      <c r="AB1131" s="176"/>
      <c r="AC1131" s="176"/>
      <c r="AD1131" s="176"/>
      <c r="AE1131" s="176"/>
      <c r="AF1131" s="176"/>
      <c r="AG1131" s="176"/>
      <c r="AH1131" s="176"/>
      <c r="AI1131" s="176"/>
      <c r="AJ1131" s="176"/>
      <c r="AK1131" s="176"/>
      <c r="AL1131" s="176"/>
      <c r="AM1131" s="176"/>
      <c r="AN1131" s="176"/>
      <c r="AO1131" s="176"/>
      <c r="AP1131" s="176"/>
      <c r="AQ1131" s="176"/>
      <c r="AR1131" s="176"/>
      <c r="AS1131" s="176"/>
      <c r="AT1131" s="176"/>
      <c r="AU1131" s="176"/>
      <c r="AV1131" s="176"/>
      <c r="AW1131" s="176"/>
      <c r="AX1131" s="176"/>
      <c r="AY1131" s="176"/>
      <c r="AZ1131" s="176"/>
      <c r="BA1131" s="176"/>
      <c r="BB1131" s="176"/>
      <c r="BC1131" s="176"/>
      <c r="BD1131" s="176"/>
      <c r="BE1131" s="176"/>
      <c r="BF1131" s="176"/>
      <c r="BG1131" s="176"/>
      <c r="BH1131" s="176"/>
      <c r="BI1131" s="176"/>
      <c r="BJ1131" s="176"/>
    </row>
    <row r="1132" spans="2:62" x14ac:dyDescent="0.3">
      <c r="B1132" s="3"/>
      <c r="C1132" s="2"/>
      <c r="D1132" s="2"/>
      <c r="E1132" s="3"/>
      <c r="O1132" s="176"/>
      <c r="P1132" s="176"/>
      <c r="Q1132" s="176"/>
      <c r="R1132" s="176"/>
      <c r="S1132" s="176"/>
      <c r="T1132" s="176"/>
      <c r="U1132" s="176"/>
      <c r="V1132" s="176"/>
      <c r="W1132" s="176"/>
      <c r="X1132" s="176"/>
      <c r="Y1132" s="176"/>
      <c r="Z1132" s="176"/>
      <c r="AA1132" s="176"/>
      <c r="AB1132" s="176"/>
      <c r="AC1132" s="176"/>
      <c r="AD1132" s="176"/>
      <c r="AE1132" s="176"/>
      <c r="AF1132" s="176"/>
      <c r="AG1132" s="176"/>
      <c r="AH1132" s="176"/>
      <c r="AI1132" s="176"/>
      <c r="AJ1132" s="176"/>
      <c r="AK1132" s="176"/>
      <c r="AL1132" s="176"/>
      <c r="AM1132" s="176"/>
      <c r="AN1132" s="176"/>
      <c r="AO1132" s="176"/>
      <c r="AP1132" s="176"/>
      <c r="AQ1132" s="176"/>
      <c r="AR1132" s="176"/>
      <c r="AS1132" s="176"/>
      <c r="AT1132" s="176"/>
      <c r="AU1132" s="176"/>
      <c r="AV1132" s="176"/>
      <c r="AW1132" s="176"/>
      <c r="AX1132" s="176"/>
      <c r="AY1132" s="176"/>
      <c r="AZ1132" s="176"/>
      <c r="BA1132" s="176"/>
      <c r="BB1132" s="176"/>
      <c r="BC1132" s="176"/>
      <c r="BD1132" s="176"/>
      <c r="BE1132" s="176"/>
      <c r="BF1132" s="176"/>
      <c r="BG1132" s="176"/>
      <c r="BH1132" s="176"/>
      <c r="BI1132" s="176"/>
      <c r="BJ1132" s="176"/>
    </row>
    <row r="1133" spans="2:62" x14ac:dyDescent="0.3">
      <c r="B1133" s="3"/>
      <c r="C1133" s="2"/>
      <c r="D1133" s="2"/>
      <c r="E1133" s="3"/>
      <c r="O1133" s="176"/>
      <c r="P1133" s="176"/>
      <c r="Q1133" s="176"/>
      <c r="R1133" s="176"/>
      <c r="S1133" s="176"/>
      <c r="T1133" s="176"/>
      <c r="U1133" s="176"/>
      <c r="V1133" s="176"/>
      <c r="W1133" s="176"/>
      <c r="X1133" s="176"/>
      <c r="Y1133" s="176"/>
      <c r="Z1133" s="176"/>
      <c r="AA1133" s="176"/>
      <c r="AB1133" s="176"/>
      <c r="AC1133" s="176"/>
      <c r="AD1133" s="176"/>
      <c r="AE1133" s="176"/>
      <c r="AF1133" s="176"/>
      <c r="AG1133" s="176"/>
      <c r="AH1133" s="176"/>
      <c r="AI1133" s="176"/>
      <c r="AJ1133" s="176"/>
      <c r="AK1133" s="176"/>
      <c r="AL1133" s="176"/>
      <c r="AM1133" s="176"/>
      <c r="AN1133" s="176"/>
      <c r="AO1133" s="176"/>
      <c r="AP1133" s="176"/>
      <c r="AQ1133" s="176"/>
      <c r="AR1133" s="176"/>
      <c r="AS1133" s="176"/>
      <c r="AT1133" s="176"/>
      <c r="AU1133" s="176"/>
      <c r="AV1133" s="176"/>
      <c r="AW1133" s="176"/>
      <c r="AX1133" s="176"/>
      <c r="AY1133" s="176"/>
      <c r="AZ1133" s="176"/>
      <c r="BA1133" s="176"/>
      <c r="BB1133" s="176"/>
      <c r="BC1133" s="176"/>
      <c r="BD1133" s="176"/>
      <c r="BE1133" s="176"/>
      <c r="BF1133" s="176"/>
      <c r="BG1133" s="176"/>
      <c r="BH1133" s="176"/>
      <c r="BI1133" s="176"/>
      <c r="BJ1133" s="176"/>
    </row>
    <row r="1134" spans="2:62" x14ac:dyDescent="0.3">
      <c r="B1134" s="3"/>
      <c r="C1134" s="2"/>
      <c r="D1134" s="2"/>
      <c r="E1134" s="3"/>
      <c r="O1134" s="176"/>
      <c r="P1134" s="176"/>
      <c r="Q1134" s="176"/>
      <c r="R1134" s="176"/>
      <c r="S1134" s="176"/>
      <c r="T1134" s="176"/>
      <c r="U1134" s="176"/>
      <c r="V1134" s="176"/>
      <c r="W1134" s="176"/>
      <c r="X1134" s="176"/>
      <c r="Y1134" s="176"/>
      <c r="Z1134" s="176"/>
      <c r="AA1134" s="176"/>
      <c r="AB1134" s="176"/>
      <c r="AC1134" s="176"/>
      <c r="AD1134" s="176"/>
      <c r="AE1134" s="176"/>
      <c r="AF1134" s="176"/>
      <c r="AG1134" s="176"/>
      <c r="AH1134" s="176"/>
      <c r="AI1134" s="176"/>
      <c r="AJ1134" s="176"/>
      <c r="AK1134" s="176"/>
      <c r="AL1134" s="176"/>
      <c r="AM1134" s="176"/>
      <c r="AN1134" s="176"/>
      <c r="AO1134" s="176"/>
      <c r="AP1134" s="176"/>
      <c r="AQ1134" s="176"/>
      <c r="AR1134" s="176"/>
      <c r="AS1134" s="176"/>
      <c r="AT1134" s="176"/>
      <c r="AU1134" s="176"/>
      <c r="AV1134" s="176"/>
      <c r="AW1134" s="176"/>
      <c r="AX1134" s="176"/>
      <c r="AY1134" s="176"/>
      <c r="AZ1134" s="176"/>
      <c r="BA1134" s="176"/>
      <c r="BB1134" s="176"/>
      <c r="BC1134" s="176"/>
      <c r="BD1134" s="176"/>
      <c r="BE1134" s="176"/>
      <c r="BF1134" s="176"/>
      <c r="BG1134" s="176"/>
      <c r="BH1134" s="176"/>
      <c r="BI1134" s="176"/>
      <c r="BJ1134" s="176"/>
    </row>
    <row r="1135" spans="2:62" x14ac:dyDescent="0.3">
      <c r="B1135" s="3"/>
      <c r="C1135" s="2"/>
      <c r="D1135" s="2"/>
      <c r="E1135" s="3"/>
      <c r="O1135" s="176"/>
      <c r="P1135" s="176"/>
      <c r="Q1135" s="176"/>
      <c r="R1135" s="176"/>
      <c r="S1135" s="176"/>
      <c r="T1135" s="176"/>
      <c r="U1135" s="176"/>
      <c r="V1135" s="176"/>
      <c r="W1135" s="176"/>
      <c r="X1135" s="176"/>
      <c r="Y1135" s="176"/>
      <c r="Z1135" s="176"/>
      <c r="AA1135" s="176"/>
      <c r="AB1135" s="176"/>
      <c r="AC1135" s="176"/>
      <c r="AD1135" s="176"/>
      <c r="AE1135" s="176"/>
      <c r="AF1135" s="176"/>
      <c r="AG1135" s="176"/>
      <c r="AH1135" s="176"/>
      <c r="AI1135" s="176"/>
      <c r="AJ1135" s="176"/>
      <c r="AK1135" s="176"/>
      <c r="AL1135" s="176"/>
      <c r="AM1135" s="176"/>
      <c r="AN1135" s="176"/>
      <c r="AO1135" s="176"/>
      <c r="AP1135" s="176"/>
      <c r="AQ1135" s="176"/>
      <c r="AR1135" s="176"/>
      <c r="AS1135" s="176"/>
      <c r="AT1135" s="176"/>
      <c r="AU1135" s="176"/>
      <c r="AV1135" s="176"/>
      <c r="AW1135" s="176"/>
      <c r="AX1135" s="176"/>
      <c r="AY1135" s="176"/>
      <c r="AZ1135" s="176"/>
      <c r="BA1135" s="176"/>
      <c r="BB1135" s="176"/>
      <c r="BC1135" s="176"/>
      <c r="BD1135" s="176"/>
      <c r="BE1135" s="176"/>
      <c r="BF1135" s="176"/>
      <c r="BG1135" s="176"/>
      <c r="BH1135" s="176"/>
      <c r="BI1135" s="176"/>
      <c r="BJ1135" s="176"/>
    </row>
    <row r="1136" spans="2:62" x14ac:dyDescent="0.3">
      <c r="B1136" s="3"/>
      <c r="C1136" s="2"/>
      <c r="D1136" s="2"/>
      <c r="E1136" s="3"/>
      <c r="O1136" s="176"/>
      <c r="P1136" s="176"/>
      <c r="Q1136" s="176"/>
      <c r="R1136" s="176"/>
      <c r="S1136" s="176"/>
      <c r="T1136" s="176"/>
      <c r="U1136" s="176"/>
      <c r="V1136" s="176"/>
      <c r="W1136" s="176"/>
      <c r="X1136" s="176"/>
      <c r="Y1136" s="176"/>
      <c r="Z1136" s="176"/>
      <c r="AA1136" s="176"/>
      <c r="AB1136" s="176"/>
      <c r="AC1136" s="176"/>
      <c r="AD1136" s="176"/>
      <c r="AE1136" s="176"/>
      <c r="AF1136" s="176"/>
      <c r="AG1136" s="176"/>
      <c r="AH1136" s="176"/>
      <c r="AI1136" s="176"/>
      <c r="AJ1136" s="176"/>
      <c r="AK1136" s="176"/>
      <c r="AL1136" s="176"/>
      <c r="AM1136" s="176"/>
      <c r="AN1136" s="176"/>
      <c r="AO1136" s="176"/>
      <c r="AP1136" s="176"/>
      <c r="AQ1136" s="176"/>
      <c r="AR1136" s="176"/>
      <c r="AS1136" s="176"/>
      <c r="AT1136" s="176"/>
      <c r="AU1136" s="176"/>
      <c r="AV1136" s="176"/>
      <c r="AW1136" s="176"/>
      <c r="AX1136" s="176"/>
      <c r="AY1136" s="176"/>
      <c r="AZ1136" s="176"/>
      <c r="BA1136" s="176"/>
      <c r="BB1136" s="176"/>
      <c r="BC1136" s="176"/>
      <c r="BD1136" s="176"/>
      <c r="BE1136" s="176"/>
      <c r="BF1136" s="176"/>
      <c r="BG1136" s="176"/>
      <c r="BH1136" s="176"/>
      <c r="BI1136" s="176"/>
      <c r="BJ1136" s="176"/>
    </row>
    <row r="1137" spans="2:62" x14ac:dyDescent="0.3">
      <c r="B1137" s="3"/>
      <c r="C1137" s="2"/>
      <c r="D1137" s="2"/>
      <c r="E1137" s="3"/>
      <c r="O1137" s="176"/>
      <c r="P1137" s="176"/>
      <c r="Q1137" s="176"/>
      <c r="R1137" s="176"/>
      <c r="S1137" s="176"/>
      <c r="T1137" s="176"/>
      <c r="U1137" s="176"/>
      <c r="V1137" s="176"/>
      <c r="W1137" s="176"/>
      <c r="X1137" s="176"/>
      <c r="Y1137" s="176"/>
      <c r="Z1137" s="176"/>
      <c r="AA1137" s="176"/>
      <c r="AB1137" s="176"/>
      <c r="AC1137" s="176"/>
      <c r="AD1137" s="176"/>
      <c r="AE1137" s="176"/>
      <c r="AF1137" s="176"/>
      <c r="AG1137" s="176"/>
      <c r="AH1137" s="176"/>
      <c r="AI1137" s="176"/>
      <c r="AJ1137" s="176"/>
      <c r="AK1137" s="176"/>
      <c r="AL1137" s="176"/>
      <c r="AM1137" s="176"/>
      <c r="AN1137" s="176"/>
      <c r="AO1137" s="176"/>
      <c r="AP1137" s="176"/>
      <c r="AQ1137" s="176"/>
      <c r="AR1137" s="176"/>
      <c r="AS1137" s="176"/>
      <c r="AT1137" s="176"/>
      <c r="AU1137" s="176"/>
      <c r="AV1137" s="176"/>
      <c r="AW1137" s="176"/>
      <c r="AX1137" s="176"/>
      <c r="AY1137" s="176"/>
      <c r="AZ1137" s="176"/>
      <c r="BA1137" s="176"/>
      <c r="BB1137" s="176"/>
      <c r="BC1137" s="176"/>
      <c r="BD1137" s="176"/>
      <c r="BE1137" s="176"/>
      <c r="BF1137" s="176"/>
      <c r="BG1137" s="176"/>
      <c r="BH1137" s="176"/>
      <c r="BI1137" s="176"/>
      <c r="BJ1137" s="176"/>
    </row>
    <row r="1138" spans="2:62" x14ac:dyDescent="0.3">
      <c r="B1138" s="3"/>
      <c r="C1138" s="2"/>
      <c r="D1138" s="2"/>
      <c r="E1138" s="3"/>
      <c r="O1138" s="176"/>
      <c r="P1138" s="176"/>
      <c r="Q1138" s="176"/>
      <c r="R1138" s="176"/>
      <c r="S1138" s="176"/>
      <c r="T1138" s="176"/>
      <c r="U1138" s="176"/>
      <c r="V1138" s="176"/>
      <c r="W1138" s="176"/>
      <c r="X1138" s="176"/>
      <c r="Y1138" s="176"/>
      <c r="Z1138" s="176"/>
      <c r="AA1138" s="176"/>
      <c r="AB1138" s="176"/>
      <c r="AC1138" s="176"/>
      <c r="AD1138" s="176"/>
      <c r="AE1138" s="176"/>
      <c r="AF1138" s="176"/>
      <c r="AG1138" s="176"/>
      <c r="AH1138" s="176"/>
      <c r="AI1138" s="176"/>
      <c r="AJ1138" s="176"/>
      <c r="AK1138" s="176"/>
      <c r="AL1138" s="176"/>
      <c r="AM1138" s="176"/>
      <c r="AN1138" s="176"/>
      <c r="AO1138" s="176"/>
      <c r="AP1138" s="176"/>
      <c r="AQ1138" s="176"/>
      <c r="AR1138" s="176"/>
      <c r="AS1138" s="176"/>
      <c r="AT1138" s="176"/>
      <c r="AU1138" s="176"/>
      <c r="AV1138" s="176"/>
      <c r="AW1138" s="176"/>
      <c r="AX1138" s="176"/>
      <c r="AY1138" s="176"/>
      <c r="AZ1138" s="176"/>
      <c r="BA1138" s="176"/>
      <c r="BB1138" s="176"/>
      <c r="BC1138" s="176"/>
      <c r="BD1138" s="176"/>
      <c r="BE1138" s="176"/>
      <c r="BF1138" s="176"/>
      <c r="BG1138" s="176"/>
      <c r="BH1138" s="176"/>
      <c r="BI1138" s="176"/>
      <c r="BJ1138" s="176"/>
    </row>
    <row r="1139" spans="2:62" x14ac:dyDescent="0.3">
      <c r="B1139" s="3"/>
      <c r="C1139" s="2"/>
      <c r="D1139" s="2"/>
      <c r="E1139" s="3"/>
      <c r="O1139" s="176"/>
      <c r="P1139" s="176"/>
      <c r="Q1139" s="176"/>
      <c r="R1139" s="176"/>
      <c r="S1139" s="176"/>
      <c r="T1139" s="176"/>
      <c r="U1139" s="176"/>
      <c r="V1139" s="176"/>
      <c r="W1139" s="176"/>
      <c r="X1139" s="176"/>
      <c r="Y1139" s="176"/>
      <c r="Z1139" s="176"/>
      <c r="AA1139" s="176"/>
      <c r="AB1139" s="176"/>
      <c r="AC1139" s="176"/>
      <c r="AD1139" s="176"/>
      <c r="AE1139" s="176"/>
      <c r="AF1139" s="176"/>
      <c r="AG1139" s="176"/>
      <c r="AH1139" s="176"/>
      <c r="AI1139" s="176"/>
      <c r="AJ1139" s="176"/>
      <c r="AK1139" s="176"/>
      <c r="AL1139" s="176"/>
      <c r="AM1139" s="176"/>
      <c r="AN1139" s="176"/>
      <c r="AO1139" s="176"/>
      <c r="AP1139" s="176"/>
      <c r="AQ1139" s="176"/>
      <c r="AR1139" s="176"/>
      <c r="AS1139" s="176"/>
      <c r="AT1139" s="176"/>
      <c r="AU1139" s="176"/>
      <c r="AV1139" s="176"/>
      <c r="AW1139" s="176"/>
      <c r="AX1139" s="176"/>
      <c r="AY1139" s="176"/>
      <c r="AZ1139" s="176"/>
      <c r="BA1139" s="176"/>
      <c r="BB1139" s="176"/>
      <c r="BC1139" s="176"/>
      <c r="BD1139" s="176"/>
      <c r="BE1139" s="176"/>
      <c r="BF1139" s="176"/>
      <c r="BG1139" s="176"/>
      <c r="BH1139" s="176"/>
      <c r="BI1139" s="176"/>
      <c r="BJ1139" s="176"/>
    </row>
    <row r="1140" spans="2:62" x14ac:dyDescent="0.3">
      <c r="B1140" s="3"/>
      <c r="C1140" s="2"/>
      <c r="D1140" s="2"/>
      <c r="E1140" s="3"/>
      <c r="O1140" s="176"/>
      <c r="P1140" s="176"/>
      <c r="Q1140" s="176"/>
      <c r="R1140" s="176"/>
      <c r="S1140" s="176"/>
      <c r="T1140" s="176"/>
      <c r="U1140" s="176"/>
      <c r="V1140" s="176"/>
      <c r="W1140" s="176"/>
      <c r="X1140" s="176"/>
      <c r="Y1140" s="176"/>
      <c r="Z1140" s="176"/>
      <c r="AA1140" s="176"/>
      <c r="AB1140" s="176"/>
      <c r="AC1140" s="176"/>
      <c r="AD1140" s="176"/>
      <c r="AE1140" s="176"/>
      <c r="AF1140" s="176"/>
      <c r="AG1140" s="176"/>
      <c r="AH1140" s="176"/>
      <c r="AI1140" s="176"/>
      <c r="AJ1140" s="176"/>
      <c r="AK1140" s="176"/>
      <c r="AL1140" s="176"/>
      <c r="AM1140" s="176"/>
      <c r="AN1140" s="176"/>
      <c r="AO1140" s="176"/>
      <c r="AP1140" s="176"/>
      <c r="AQ1140" s="176"/>
      <c r="AR1140" s="176"/>
      <c r="AS1140" s="176"/>
      <c r="AT1140" s="176"/>
      <c r="AU1140" s="176"/>
      <c r="AV1140" s="176"/>
      <c r="AW1140" s="176"/>
      <c r="AX1140" s="176"/>
      <c r="AY1140" s="176"/>
      <c r="AZ1140" s="176"/>
      <c r="BA1140" s="176"/>
      <c r="BB1140" s="176"/>
      <c r="BC1140" s="176"/>
      <c r="BD1140" s="176"/>
      <c r="BE1140" s="176"/>
      <c r="BF1140" s="176"/>
      <c r="BG1140" s="176"/>
      <c r="BH1140" s="176"/>
      <c r="BI1140" s="176"/>
      <c r="BJ1140" s="176"/>
    </row>
    <row r="1141" spans="2:62" x14ac:dyDescent="0.3">
      <c r="B1141" s="3"/>
      <c r="C1141" s="2"/>
      <c r="D1141" s="2"/>
      <c r="E1141" s="3"/>
      <c r="O1141" s="176"/>
      <c r="P1141" s="176"/>
      <c r="Q1141" s="176"/>
      <c r="R1141" s="176"/>
      <c r="S1141" s="176"/>
      <c r="T1141" s="176"/>
      <c r="U1141" s="176"/>
      <c r="V1141" s="176"/>
      <c r="W1141" s="176"/>
      <c r="X1141" s="176"/>
      <c r="Y1141" s="176"/>
      <c r="Z1141" s="176"/>
      <c r="AA1141" s="176"/>
      <c r="AB1141" s="176"/>
      <c r="AC1141" s="176"/>
      <c r="AD1141" s="176"/>
      <c r="AE1141" s="176"/>
      <c r="AF1141" s="176"/>
      <c r="AG1141" s="176"/>
      <c r="AH1141" s="176"/>
      <c r="AI1141" s="176"/>
      <c r="AJ1141" s="176"/>
      <c r="AK1141" s="176"/>
      <c r="AL1141" s="176"/>
      <c r="AM1141" s="176"/>
      <c r="AN1141" s="176"/>
      <c r="AO1141" s="176"/>
      <c r="AP1141" s="176"/>
      <c r="AQ1141" s="176"/>
      <c r="AR1141" s="176"/>
      <c r="AS1141" s="176"/>
      <c r="AT1141" s="176"/>
      <c r="AU1141" s="176"/>
      <c r="AV1141" s="176"/>
      <c r="AW1141" s="176"/>
      <c r="AX1141" s="176"/>
      <c r="AY1141" s="176"/>
      <c r="AZ1141" s="176"/>
      <c r="BA1141" s="176"/>
      <c r="BB1141" s="176"/>
      <c r="BC1141" s="176"/>
      <c r="BD1141" s="176"/>
      <c r="BE1141" s="176"/>
      <c r="BF1141" s="176"/>
      <c r="BG1141" s="176"/>
      <c r="BH1141" s="176"/>
      <c r="BI1141" s="176"/>
      <c r="BJ1141" s="176"/>
    </row>
    <row r="1142" spans="2:62" x14ac:dyDescent="0.3">
      <c r="B1142" s="3"/>
      <c r="C1142" s="2"/>
      <c r="D1142" s="2"/>
      <c r="E1142" s="3"/>
      <c r="O1142" s="176"/>
      <c r="P1142" s="176"/>
      <c r="Q1142" s="176"/>
      <c r="R1142" s="176"/>
      <c r="S1142" s="176"/>
      <c r="T1142" s="176"/>
      <c r="U1142" s="176"/>
      <c r="V1142" s="176"/>
      <c r="W1142" s="176"/>
      <c r="X1142" s="176"/>
      <c r="Y1142" s="176"/>
      <c r="Z1142" s="176"/>
      <c r="AA1142" s="176"/>
      <c r="AB1142" s="176"/>
      <c r="AC1142" s="176"/>
      <c r="AD1142" s="176"/>
      <c r="AE1142" s="176"/>
      <c r="AF1142" s="176"/>
      <c r="AG1142" s="176"/>
      <c r="AH1142" s="176"/>
      <c r="AI1142" s="176"/>
      <c r="AJ1142" s="176"/>
      <c r="AK1142" s="176"/>
      <c r="AL1142" s="176"/>
      <c r="AM1142" s="176"/>
      <c r="AN1142" s="176"/>
      <c r="AO1142" s="176"/>
      <c r="AP1142" s="176"/>
      <c r="AQ1142" s="176"/>
      <c r="AR1142" s="176"/>
      <c r="AS1142" s="176"/>
      <c r="AT1142" s="176"/>
      <c r="AU1142" s="176"/>
      <c r="AV1142" s="176"/>
      <c r="AW1142" s="176"/>
      <c r="AX1142" s="176"/>
      <c r="AY1142" s="176"/>
      <c r="AZ1142" s="176"/>
      <c r="BA1142" s="176"/>
      <c r="BB1142" s="176"/>
      <c r="BC1142" s="176"/>
      <c r="BD1142" s="176"/>
      <c r="BE1142" s="176"/>
      <c r="BF1142" s="176"/>
      <c r="BG1142" s="176"/>
      <c r="BH1142" s="176"/>
      <c r="BI1142" s="176"/>
      <c r="BJ1142" s="176"/>
    </row>
    <row r="1143" spans="2:62" x14ac:dyDescent="0.3">
      <c r="B1143" s="3"/>
      <c r="C1143" s="2"/>
      <c r="D1143" s="2"/>
      <c r="E1143" s="3"/>
      <c r="O1143" s="176"/>
      <c r="P1143" s="176"/>
      <c r="Q1143" s="176"/>
      <c r="R1143" s="176"/>
      <c r="S1143" s="176"/>
      <c r="T1143" s="176"/>
      <c r="U1143" s="176"/>
      <c r="V1143" s="176"/>
      <c r="W1143" s="176"/>
      <c r="X1143" s="176"/>
      <c r="Y1143" s="176"/>
      <c r="Z1143" s="176"/>
      <c r="AA1143" s="176"/>
      <c r="AB1143" s="176"/>
      <c r="AC1143" s="176"/>
      <c r="AD1143" s="176"/>
      <c r="AE1143" s="176"/>
      <c r="AF1143" s="176"/>
      <c r="AG1143" s="176"/>
      <c r="AH1143" s="176"/>
      <c r="AI1143" s="176"/>
      <c r="AJ1143" s="176"/>
      <c r="AK1143" s="176"/>
      <c r="AL1143" s="176"/>
      <c r="AM1143" s="176"/>
      <c r="AN1143" s="176"/>
      <c r="AO1143" s="176"/>
      <c r="AP1143" s="176"/>
      <c r="AQ1143" s="176"/>
      <c r="AR1143" s="176"/>
      <c r="AS1143" s="176"/>
      <c r="AT1143" s="176"/>
      <c r="AU1143" s="176"/>
      <c r="AV1143" s="176"/>
      <c r="AW1143" s="176"/>
      <c r="AX1143" s="176"/>
      <c r="AY1143" s="176"/>
      <c r="AZ1143" s="176"/>
      <c r="BA1143" s="176"/>
      <c r="BB1143" s="176"/>
      <c r="BC1143" s="176"/>
      <c r="BD1143" s="176"/>
      <c r="BE1143" s="176"/>
      <c r="BF1143" s="176"/>
      <c r="BG1143" s="176"/>
      <c r="BH1143" s="176"/>
      <c r="BI1143" s="176"/>
      <c r="BJ1143" s="176"/>
    </row>
    <row r="1144" spans="2:62" x14ac:dyDescent="0.3">
      <c r="B1144" s="3"/>
      <c r="C1144" s="2"/>
      <c r="D1144" s="2"/>
      <c r="E1144" s="3"/>
      <c r="O1144" s="176"/>
      <c r="P1144" s="176"/>
      <c r="Q1144" s="176"/>
      <c r="R1144" s="176"/>
      <c r="S1144" s="176"/>
      <c r="T1144" s="176"/>
      <c r="U1144" s="176"/>
      <c r="V1144" s="176"/>
      <c r="W1144" s="176"/>
      <c r="X1144" s="176"/>
      <c r="Y1144" s="176"/>
      <c r="Z1144" s="176"/>
      <c r="AA1144" s="176"/>
      <c r="AB1144" s="176"/>
      <c r="AC1144" s="176"/>
      <c r="AD1144" s="176"/>
      <c r="AE1144" s="176"/>
      <c r="AF1144" s="176"/>
      <c r="AG1144" s="176"/>
      <c r="AH1144" s="176"/>
      <c r="AI1144" s="176"/>
      <c r="AJ1144" s="176"/>
      <c r="AK1144" s="176"/>
      <c r="AL1144" s="176"/>
      <c r="AM1144" s="176"/>
      <c r="AN1144" s="176"/>
      <c r="AO1144" s="176"/>
      <c r="AP1144" s="176"/>
      <c r="AQ1144" s="176"/>
      <c r="AR1144" s="176"/>
      <c r="AS1144" s="176"/>
      <c r="AT1144" s="176"/>
      <c r="AU1144" s="176"/>
      <c r="AV1144" s="176"/>
      <c r="AW1144" s="176"/>
      <c r="AX1144" s="176"/>
      <c r="AY1144" s="176"/>
      <c r="AZ1144" s="176"/>
      <c r="BA1144" s="176"/>
      <c r="BB1144" s="176"/>
      <c r="BC1144" s="176"/>
      <c r="BD1144" s="176"/>
      <c r="BE1144" s="176"/>
      <c r="BF1144" s="176"/>
      <c r="BG1144" s="176"/>
      <c r="BH1144" s="176"/>
      <c r="BI1144" s="176"/>
      <c r="BJ1144" s="176"/>
    </row>
    <row r="1145" spans="2:62" x14ac:dyDescent="0.3">
      <c r="B1145" s="3"/>
      <c r="C1145" s="2"/>
      <c r="D1145" s="2"/>
      <c r="E1145" s="3"/>
      <c r="O1145" s="176"/>
      <c r="P1145" s="176"/>
      <c r="Q1145" s="176"/>
      <c r="R1145" s="176"/>
      <c r="S1145" s="176"/>
      <c r="T1145" s="176"/>
      <c r="U1145" s="176"/>
      <c r="V1145" s="176"/>
      <c r="W1145" s="176"/>
      <c r="X1145" s="176"/>
      <c r="Y1145" s="176"/>
      <c r="Z1145" s="176"/>
      <c r="AA1145" s="176"/>
      <c r="AB1145" s="176"/>
      <c r="AC1145" s="176"/>
      <c r="AD1145" s="176"/>
      <c r="AE1145" s="176"/>
      <c r="AF1145" s="176"/>
      <c r="AG1145" s="176"/>
      <c r="AH1145" s="176"/>
      <c r="AI1145" s="176"/>
      <c r="AJ1145" s="176"/>
      <c r="AK1145" s="176"/>
      <c r="AL1145" s="176"/>
      <c r="AM1145" s="176"/>
      <c r="AN1145" s="176"/>
      <c r="AO1145" s="176"/>
      <c r="AP1145" s="176"/>
      <c r="AQ1145" s="176"/>
      <c r="AR1145" s="176"/>
      <c r="AS1145" s="176"/>
      <c r="AT1145" s="176"/>
      <c r="AU1145" s="176"/>
      <c r="AV1145" s="176"/>
      <c r="AW1145" s="176"/>
      <c r="AX1145" s="176"/>
      <c r="AY1145" s="176"/>
      <c r="AZ1145" s="176"/>
      <c r="BA1145" s="176"/>
      <c r="BB1145" s="176"/>
      <c r="BC1145" s="176"/>
      <c r="BD1145" s="176"/>
      <c r="BE1145" s="176"/>
      <c r="BF1145" s="176"/>
      <c r="BG1145" s="176"/>
      <c r="BH1145" s="176"/>
      <c r="BI1145" s="176"/>
      <c r="BJ1145" s="176"/>
    </row>
    <row r="1146" spans="2:62" x14ac:dyDescent="0.3">
      <c r="B1146" s="3"/>
      <c r="C1146" s="2"/>
      <c r="D1146" s="2"/>
      <c r="E1146" s="3"/>
      <c r="O1146" s="176"/>
      <c r="P1146" s="176"/>
      <c r="Q1146" s="176"/>
      <c r="R1146" s="176"/>
      <c r="S1146" s="176"/>
      <c r="T1146" s="176"/>
      <c r="U1146" s="176"/>
      <c r="V1146" s="176"/>
      <c r="W1146" s="176"/>
      <c r="X1146" s="176"/>
      <c r="Y1146" s="176"/>
      <c r="Z1146" s="176"/>
      <c r="AA1146" s="176"/>
      <c r="AB1146" s="176"/>
      <c r="AC1146" s="176"/>
      <c r="AD1146" s="176"/>
      <c r="AE1146" s="176"/>
      <c r="AF1146" s="176"/>
      <c r="AG1146" s="176"/>
      <c r="AH1146" s="176"/>
      <c r="AI1146" s="176"/>
      <c r="AJ1146" s="176"/>
      <c r="AK1146" s="176"/>
      <c r="AL1146" s="176"/>
      <c r="AM1146" s="176"/>
      <c r="AN1146" s="176"/>
      <c r="AO1146" s="176"/>
      <c r="AP1146" s="176"/>
      <c r="AQ1146" s="176"/>
      <c r="AR1146" s="176"/>
      <c r="AS1146" s="176"/>
      <c r="AT1146" s="176"/>
      <c r="AU1146" s="176"/>
      <c r="AV1146" s="176"/>
      <c r="AW1146" s="176"/>
      <c r="AX1146" s="176"/>
      <c r="AY1146" s="176"/>
      <c r="AZ1146" s="176"/>
      <c r="BA1146" s="176"/>
      <c r="BB1146" s="176"/>
      <c r="BC1146" s="176"/>
      <c r="BD1146" s="176"/>
      <c r="BE1146" s="176"/>
      <c r="BF1146" s="176"/>
      <c r="BG1146" s="176"/>
      <c r="BH1146" s="176"/>
      <c r="BI1146" s="176"/>
      <c r="BJ1146" s="176"/>
    </row>
    <row r="1147" spans="2:62" x14ac:dyDescent="0.3">
      <c r="B1147" s="3"/>
      <c r="C1147" s="2"/>
      <c r="D1147" s="2"/>
      <c r="E1147" s="3"/>
      <c r="O1147" s="176"/>
      <c r="P1147" s="176"/>
      <c r="Q1147" s="176"/>
      <c r="R1147" s="176"/>
      <c r="S1147" s="176"/>
      <c r="T1147" s="176"/>
      <c r="U1147" s="176"/>
      <c r="V1147" s="176"/>
      <c r="W1147" s="176"/>
      <c r="X1147" s="176"/>
      <c r="Y1147" s="176"/>
      <c r="Z1147" s="176"/>
      <c r="AA1147" s="176"/>
      <c r="AB1147" s="176"/>
      <c r="AC1147" s="176"/>
      <c r="AD1147" s="176"/>
      <c r="AE1147" s="176"/>
      <c r="AF1147" s="176"/>
      <c r="AG1147" s="176"/>
      <c r="AH1147" s="176"/>
      <c r="AI1147" s="176"/>
      <c r="AJ1147" s="176"/>
      <c r="AK1147" s="176"/>
      <c r="AL1147" s="176"/>
      <c r="AM1147" s="176"/>
      <c r="AN1147" s="176"/>
      <c r="AO1147" s="176"/>
      <c r="AP1147" s="176"/>
      <c r="AQ1147" s="176"/>
      <c r="AR1147" s="176"/>
      <c r="AS1147" s="176"/>
      <c r="AT1147" s="176"/>
      <c r="AU1147" s="176"/>
      <c r="AV1147" s="176"/>
      <c r="AW1147" s="176"/>
      <c r="AX1147" s="176"/>
      <c r="AY1147" s="176"/>
      <c r="AZ1147" s="176"/>
      <c r="BA1147" s="176"/>
      <c r="BB1147" s="176"/>
      <c r="BC1147" s="176"/>
      <c r="BD1147" s="176"/>
      <c r="BE1147" s="176"/>
      <c r="BF1147" s="176"/>
      <c r="BG1147" s="176"/>
      <c r="BH1147" s="176"/>
      <c r="BI1147" s="176"/>
      <c r="BJ1147" s="176"/>
    </row>
    <row r="1148" spans="2:62" x14ac:dyDescent="0.3">
      <c r="B1148" s="3"/>
      <c r="C1148" s="2"/>
      <c r="D1148" s="2"/>
      <c r="E1148" s="3"/>
      <c r="O1148" s="176"/>
      <c r="P1148" s="176"/>
      <c r="Q1148" s="176"/>
      <c r="R1148" s="176"/>
      <c r="S1148" s="176"/>
      <c r="T1148" s="176"/>
      <c r="U1148" s="176"/>
      <c r="V1148" s="176"/>
      <c r="W1148" s="176"/>
      <c r="X1148" s="176"/>
      <c r="Y1148" s="176"/>
      <c r="Z1148" s="176"/>
      <c r="AA1148" s="176"/>
      <c r="AB1148" s="176"/>
      <c r="AC1148" s="176"/>
      <c r="AD1148" s="176"/>
      <c r="AE1148" s="176"/>
      <c r="AF1148" s="176"/>
      <c r="AG1148" s="176"/>
      <c r="AH1148" s="176"/>
      <c r="AI1148" s="176"/>
      <c r="AJ1148" s="176"/>
      <c r="AK1148" s="176"/>
      <c r="AL1148" s="176"/>
      <c r="AM1148" s="176"/>
      <c r="AN1148" s="176"/>
      <c r="AO1148" s="176"/>
      <c r="AP1148" s="176"/>
      <c r="AQ1148" s="176"/>
      <c r="AR1148" s="176"/>
      <c r="AS1148" s="176"/>
      <c r="AT1148" s="176"/>
      <c r="AU1148" s="176"/>
      <c r="AV1148" s="176"/>
      <c r="AW1148" s="176"/>
      <c r="AX1148" s="176"/>
      <c r="AY1148" s="176"/>
      <c r="AZ1148" s="176"/>
      <c r="BA1148" s="176"/>
      <c r="BB1148" s="176"/>
      <c r="BC1148" s="176"/>
      <c r="BD1148" s="176"/>
      <c r="BE1148" s="176"/>
      <c r="BF1148" s="176"/>
      <c r="BG1148" s="176"/>
      <c r="BH1148" s="176"/>
      <c r="BI1148" s="176"/>
      <c r="BJ1148" s="176"/>
    </row>
    <row r="1149" spans="2:62" x14ac:dyDescent="0.3">
      <c r="B1149" s="3"/>
      <c r="C1149" s="2"/>
      <c r="D1149" s="2"/>
      <c r="E1149" s="3"/>
      <c r="O1149" s="176"/>
      <c r="P1149" s="176"/>
      <c r="Q1149" s="176"/>
      <c r="R1149" s="176"/>
      <c r="S1149" s="176"/>
      <c r="T1149" s="176"/>
      <c r="U1149" s="176"/>
      <c r="V1149" s="176"/>
      <c r="W1149" s="176"/>
      <c r="X1149" s="176"/>
      <c r="Y1149" s="176"/>
      <c r="Z1149" s="176"/>
      <c r="AA1149" s="176"/>
      <c r="AB1149" s="176"/>
      <c r="AC1149" s="176"/>
      <c r="AD1149" s="176"/>
      <c r="AE1149" s="176"/>
      <c r="AF1149" s="176"/>
      <c r="AG1149" s="176"/>
      <c r="AH1149" s="176"/>
      <c r="AI1149" s="176"/>
      <c r="AJ1149" s="176"/>
      <c r="AK1149" s="176"/>
      <c r="AL1149" s="176"/>
      <c r="AM1149" s="176"/>
      <c r="AN1149" s="176"/>
      <c r="AO1149" s="176"/>
      <c r="AP1149" s="176"/>
      <c r="AQ1149" s="176"/>
      <c r="AR1149" s="176"/>
      <c r="AS1149" s="176"/>
      <c r="AT1149" s="176"/>
      <c r="AU1149" s="176"/>
      <c r="AV1149" s="176"/>
      <c r="AW1149" s="176"/>
      <c r="AX1149" s="176"/>
      <c r="AY1149" s="176"/>
      <c r="AZ1149" s="176"/>
      <c r="BA1149" s="176"/>
      <c r="BB1149" s="176"/>
      <c r="BC1149" s="176"/>
      <c r="BD1149" s="176"/>
      <c r="BE1149" s="176"/>
      <c r="BF1149" s="176"/>
      <c r="BG1149" s="176"/>
      <c r="BH1149" s="176"/>
      <c r="BI1149" s="176"/>
      <c r="BJ1149" s="176"/>
    </row>
    <row r="1150" spans="2:62" x14ac:dyDescent="0.3">
      <c r="B1150" s="3"/>
      <c r="C1150" s="2"/>
      <c r="D1150" s="2"/>
      <c r="E1150" s="3"/>
      <c r="O1150" s="176"/>
      <c r="P1150" s="176"/>
      <c r="Q1150" s="176"/>
      <c r="R1150" s="176"/>
      <c r="S1150" s="176"/>
      <c r="T1150" s="176"/>
      <c r="U1150" s="176"/>
      <c r="V1150" s="176"/>
      <c r="W1150" s="176"/>
      <c r="X1150" s="176"/>
      <c r="Y1150" s="176"/>
      <c r="Z1150" s="176"/>
      <c r="AA1150" s="176"/>
      <c r="AB1150" s="176"/>
      <c r="AC1150" s="176"/>
      <c r="AD1150" s="176"/>
      <c r="AE1150" s="176"/>
      <c r="AF1150" s="176"/>
      <c r="AG1150" s="176"/>
      <c r="AH1150" s="176"/>
      <c r="AI1150" s="176"/>
      <c r="AJ1150" s="176"/>
      <c r="AK1150" s="176"/>
      <c r="AL1150" s="176"/>
      <c r="AM1150" s="176"/>
      <c r="AN1150" s="176"/>
      <c r="AO1150" s="176"/>
      <c r="AP1150" s="176"/>
      <c r="AQ1150" s="176"/>
      <c r="AR1150" s="176"/>
      <c r="AS1150" s="176"/>
      <c r="AT1150" s="176"/>
      <c r="AU1150" s="176"/>
      <c r="AV1150" s="176"/>
      <c r="AW1150" s="176"/>
      <c r="AX1150" s="176"/>
      <c r="AY1150" s="176"/>
      <c r="AZ1150" s="176"/>
      <c r="BA1150" s="176"/>
      <c r="BB1150" s="176"/>
      <c r="BC1150" s="176"/>
      <c r="BD1150" s="176"/>
      <c r="BE1150" s="176"/>
      <c r="BF1150" s="176"/>
      <c r="BG1150" s="176"/>
      <c r="BH1150" s="176"/>
      <c r="BI1150" s="176"/>
      <c r="BJ1150" s="176"/>
    </row>
    <row r="1151" spans="2:62" x14ac:dyDescent="0.3">
      <c r="B1151" s="3"/>
      <c r="C1151" s="2"/>
      <c r="D1151" s="2"/>
      <c r="E1151" s="3"/>
      <c r="O1151" s="176"/>
      <c r="P1151" s="176"/>
      <c r="Q1151" s="176"/>
      <c r="R1151" s="176"/>
      <c r="S1151" s="176"/>
      <c r="T1151" s="176"/>
      <c r="U1151" s="176"/>
      <c r="V1151" s="176"/>
      <c r="W1151" s="176"/>
      <c r="X1151" s="176"/>
      <c r="Y1151" s="176"/>
      <c r="Z1151" s="176"/>
      <c r="AA1151" s="176"/>
      <c r="AB1151" s="176"/>
      <c r="AC1151" s="176"/>
      <c r="AD1151" s="176"/>
      <c r="AE1151" s="176"/>
      <c r="AF1151" s="176"/>
      <c r="AG1151" s="176"/>
      <c r="AH1151" s="176"/>
      <c r="AI1151" s="176"/>
      <c r="AJ1151" s="176"/>
      <c r="AK1151" s="176"/>
      <c r="AL1151" s="176"/>
      <c r="AM1151" s="176"/>
      <c r="AN1151" s="176"/>
      <c r="AO1151" s="176"/>
      <c r="AP1151" s="176"/>
      <c r="AQ1151" s="176"/>
      <c r="AR1151" s="176"/>
      <c r="AS1151" s="176"/>
      <c r="AT1151" s="176"/>
      <c r="AU1151" s="176"/>
      <c r="AV1151" s="176"/>
      <c r="AW1151" s="176"/>
      <c r="AX1151" s="176"/>
      <c r="AY1151" s="176"/>
      <c r="AZ1151" s="176"/>
      <c r="BA1151" s="176"/>
      <c r="BB1151" s="176"/>
      <c r="BC1151" s="176"/>
      <c r="BD1151" s="176"/>
      <c r="BE1151" s="176"/>
      <c r="BF1151" s="176"/>
      <c r="BG1151" s="176"/>
      <c r="BH1151" s="176"/>
      <c r="BI1151" s="176"/>
      <c r="BJ1151" s="176"/>
    </row>
    <row r="1152" spans="2:62" x14ac:dyDescent="0.3">
      <c r="B1152" s="3"/>
      <c r="C1152" s="2"/>
      <c r="D1152" s="2"/>
      <c r="E1152" s="3"/>
      <c r="O1152" s="176"/>
      <c r="P1152" s="176"/>
      <c r="Q1152" s="176"/>
      <c r="R1152" s="176"/>
      <c r="S1152" s="176"/>
      <c r="T1152" s="176"/>
      <c r="U1152" s="176"/>
      <c r="V1152" s="176"/>
      <c r="W1152" s="176"/>
      <c r="X1152" s="176"/>
      <c r="Y1152" s="176"/>
      <c r="Z1152" s="176"/>
      <c r="AA1152" s="176"/>
      <c r="AB1152" s="176"/>
      <c r="AC1152" s="176"/>
      <c r="AD1152" s="176"/>
      <c r="AE1152" s="176"/>
      <c r="AF1152" s="176"/>
      <c r="AG1152" s="176"/>
      <c r="AH1152" s="176"/>
      <c r="AI1152" s="176"/>
      <c r="AJ1152" s="176"/>
      <c r="AK1152" s="176"/>
      <c r="AL1152" s="176"/>
      <c r="AM1152" s="176"/>
      <c r="AN1152" s="176"/>
      <c r="AO1152" s="176"/>
      <c r="AP1152" s="176"/>
      <c r="AQ1152" s="176"/>
      <c r="AR1152" s="176"/>
      <c r="AS1152" s="176"/>
      <c r="AT1152" s="176"/>
      <c r="AU1152" s="176"/>
      <c r="AV1152" s="176"/>
      <c r="AW1152" s="176"/>
      <c r="AX1152" s="176"/>
      <c r="AY1152" s="176"/>
      <c r="AZ1152" s="176"/>
      <c r="BA1152" s="176"/>
      <c r="BB1152" s="176"/>
      <c r="BC1152" s="176"/>
      <c r="BD1152" s="176"/>
      <c r="BE1152" s="176"/>
      <c r="BF1152" s="176"/>
      <c r="BG1152" s="176"/>
      <c r="BH1152" s="176"/>
      <c r="BI1152" s="176"/>
      <c r="BJ1152" s="176"/>
    </row>
    <row r="1153" spans="2:62" x14ac:dyDescent="0.3">
      <c r="B1153" s="3"/>
      <c r="C1153" s="2"/>
      <c r="D1153" s="2"/>
      <c r="E1153" s="3"/>
      <c r="O1153" s="176"/>
      <c r="P1153" s="176"/>
      <c r="Q1153" s="176"/>
      <c r="R1153" s="176"/>
      <c r="S1153" s="176"/>
      <c r="T1153" s="176"/>
      <c r="U1153" s="176"/>
      <c r="V1153" s="176"/>
      <c r="W1153" s="176"/>
      <c r="X1153" s="176"/>
      <c r="Y1153" s="176"/>
      <c r="Z1153" s="176"/>
      <c r="AA1153" s="176"/>
      <c r="AB1153" s="176"/>
      <c r="AC1153" s="176"/>
      <c r="AD1153" s="176"/>
      <c r="AE1153" s="176"/>
      <c r="AF1153" s="176"/>
      <c r="AG1153" s="176"/>
      <c r="AH1153" s="176"/>
      <c r="AI1153" s="176"/>
      <c r="AJ1153" s="176"/>
      <c r="AK1153" s="176"/>
      <c r="AL1153" s="176"/>
      <c r="AM1153" s="176"/>
      <c r="AN1153" s="176"/>
      <c r="AO1153" s="176"/>
      <c r="AP1153" s="176"/>
      <c r="AQ1153" s="176"/>
      <c r="AR1153" s="176"/>
      <c r="AS1153" s="176"/>
      <c r="AT1153" s="176"/>
      <c r="AU1153" s="176"/>
      <c r="AV1153" s="176"/>
      <c r="AW1153" s="176"/>
      <c r="AX1153" s="176"/>
      <c r="AY1153" s="176"/>
      <c r="AZ1153" s="176"/>
      <c r="BA1153" s="176"/>
      <c r="BB1153" s="176"/>
      <c r="BC1153" s="176"/>
      <c r="BD1153" s="176"/>
      <c r="BE1153" s="176"/>
      <c r="BF1153" s="176"/>
      <c r="BG1153" s="176"/>
      <c r="BH1153" s="176"/>
      <c r="BI1153" s="176"/>
      <c r="BJ1153" s="176"/>
    </row>
    <row r="1154" spans="2:62" x14ac:dyDescent="0.3">
      <c r="B1154" s="3"/>
      <c r="C1154" s="2"/>
      <c r="D1154" s="2"/>
      <c r="E1154" s="3"/>
      <c r="O1154" s="176"/>
      <c r="P1154" s="176"/>
      <c r="Q1154" s="176"/>
      <c r="R1154" s="176"/>
      <c r="S1154" s="176"/>
      <c r="T1154" s="176"/>
      <c r="U1154" s="176"/>
      <c r="V1154" s="176"/>
      <c r="W1154" s="176"/>
      <c r="X1154" s="176"/>
      <c r="Y1154" s="176"/>
      <c r="Z1154" s="176"/>
      <c r="AA1154" s="176"/>
      <c r="AB1154" s="176"/>
      <c r="AC1154" s="176"/>
      <c r="AD1154" s="176"/>
      <c r="AE1154" s="176"/>
      <c r="AF1154" s="176"/>
      <c r="AG1154" s="176"/>
      <c r="AH1154" s="176"/>
      <c r="AI1154" s="176"/>
      <c r="AJ1154" s="176"/>
      <c r="AK1154" s="176"/>
      <c r="AL1154" s="176"/>
      <c r="AM1154" s="176"/>
      <c r="AN1154" s="176"/>
      <c r="AO1154" s="176"/>
      <c r="AP1154" s="176"/>
      <c r="AQ1154" s="176"/>
      <c r="AR1154" s="176"/>
      <c r="AS1154" s="176"/>
      <c r="AT1154" s="176"/>
      <c r="AU1154" s="176"/>
      <c r="AV1154" s="176"/>
      <c r="AW1154" s="176"/>
      <c r="AX1154" s="176"/>
      <c r="AY1154" s="176"/>
      <c r="AZ1154" s="176"/>
      <c r="BA1154" s="176"/>
      <c r="BB1154" s="176"/>
      <c r="BC1154" s="176"/>
      <c r="BD1154" s="176"/>
      <c r="BE1154" s="176"/>
      <c r="BF1154" s="176"/>
      <c r="BG1154" s="176"/>
      <c r="BH1154" s="176"/>
      <c r="BI1154" s="176"/>
      <c r="BJ1154" s="176"/>
    </row>
    <row r="1155" spans="2:62" x14ac:dyDescent="0.3">
      <c r="B1155" s="3"/>
      <c r="C1155" s="2"/>
      <c r="D1155" s="2"/>
      <c r="E1155" s="3"/>
      <c r="O1155" s="176"/>
      <c r="P1155" s="176"/>
      <c r="Q1155" s="176"/>
      <c r="R1155" s="176"/>
      <c r="S1155" s="176"/>
      <c r="T1155" s="176"/>
      <c r="U1155" s="176"/>
      <c r="V1155" s="176"/>
      <c r="W1155" s="176"/>
      <c r="X1155" s="176"/>
      <c r="Y1155" s="176"/>
      <c r="Z1155" s="176"/>
      <c r="AA1155" s="176"/>
      <c r="AB1155" s="176"/>
      <c r="AC1155" s="176"/>
      <c r="AD1155" s="176"/>
      <c r="AE1155" s="176"/>
      <c r="AF1155" s="176"/>
      <c r="AG1155" s="176"/>
      <c r="AH1155" s="176"/>
      <c r="AI1155" s="176"/>
      <c r="AJ1155" s="176"/>
      <c r="AK1155" s="176"/>
      <c r="AL1155" s="176"/>
      <c r="AM1155" s="176"/>
      <c r="AN1155" s="176"/>
      <c r="AO1155" s="176"/>
      <c r="AP1155" s="176"/>
      <c r="AQ1155" s="176"/>
      <c r="AR1155" s="176"/>
      <c r="AS1155" s="176"/>
      <c r="AT1155" s="176"/>
      <c r="AU1155" s="176"/>
      <c r="AV1155" s="176"/>
      <c r="AW1155" s="176"/>
      <c r="AX1155" s="176"/>
      <c r="AY1155" s="176"/>
      <c r="AZ1155" s="176"/>
      <c r="BA1155" s="176"/>
      <c r="BB1155" s="176"/>
      <c r="BC1155" s="176"/>
      <c r="BD1155" s="176"/>
      <c r="BE1155" s="176"/>
      <c r="BF1155" s="176"/>
      <c r="BG1155" s="176"/>
      <c r="BH1155" s="176"/>
      <c r="BI1155" s="176"/>
      <c r="BJ1155" s="176"/>
    </row>
    <row r="1156" spans="2:62" x14ac:dyDescent="0.3">
      <c r="B1156" s="3"/>
      <c r="C1156" s="2"/>
      <c r="D1156" s="2"/>
      <c r="E1156" s="3"/>
      <c r="O1156" s="176"/>
      <c r="P1156" s="176"/>
      <c r="Q1156" s="176"/>
      <c r="R1156" s="176"/>
      <c r="S1156" s="176"/>
      <c r="T1156" s="176"/>
      <c r="U1156" s="176"/>
      <c r="V1156" s="176"/>
      <c r="W1156" s="176"/>
      <c r="X1156" s="176"/>
      <c r="Y1156" s="176"/>
      <c r="Z1156" s="176"/>
      <c r="AA1156" s="176"/>
      <c r="AB1156" s="176"/>
      <c r="AC1156" s="176"/>
      <c r="AD1156" s="176"/>
      <c r="AE1156" s="176"/>
      <c r="AF1156" s="176"/>
      <c r="AG1156" s="176"/>
      <c r="AH1156" s="176"/>
      <c r="AI1156" s="176"/>
      <c r="AJ1156" s="176"/>
      <c r="AK1156" s="176"/>
      <c r="AL1156" s="176"/>
      <c r="AM1156" s="176"/>
      <c r="AN1156" s="176"/>
      <c r="AO1156" s="176"/>
      <c r="AP1156" s="176"/>
      <c r="AQ1156" s="176"/>
      <c r="AR1156" s="176"/>
      <c r="AS1156" s="176"/>
      <c r="AT1156" s="176"/>
      <c r="AU1156" s="176"/>
      <c r="AV1156" s="176"/>
      <c r="AW1156" s="176"/>
      <c r="AX1156" s="176"/>
      <c r="AY1156" s="176"/>
      <c r="AZ1156" s="176"/>
      <c r="BA1156" s="176"/>
      <c r="BB1156" s="176"/>
      <c r="BC1156" s="176"/>
      <c r="BD1156" s="176"/>
      <c r="BE1156" s="176"/>
      <c r="BF1156" s="176"/>
      <c r="BG1156" s="176"/>
      <c r="BH1156" s="176"/>
      <c r="BI1156" s="176"/>
      <c r="BJ1156" s="176"/>
    </row>
    <row r="1157" spans="2:62" x14ac:dyDescent="0.3">
      <c r="B1157" s="3"/>
      <c r="C1157" s="2"/>
      <c r="D1157" s="2"/>
      <c r="E1157" s="3"/>
      <c r="O1157" s="176"/>
      <c r="P1157" s="176"/>
      <c r="Q1157" s="176"/>
      <c r="R1157" s="176"/>
      <c r="S1157" s="176"/>
      <c r="T1157" s="176"/>
      <c r="U1157" s="176"/>
      <c r="V1157" s="176"/>
      <c r="W1157" s="176"/>
      <c r="X1157" s="176"/>
      <c r="Y1157" s="176"/>
      <c r="Z1157" s="176"/>
      <c r="AA1157" s="176"/>
      <c r="AB1157" s="176"/>
      <c r="AC1157" s="176"/>
      <c r="AD1157" s="176"/>
      <c r="AE1157" s="176"/>
      <c r="AF1157" s="176"/>
      <c r="AG1157" s="176"/>
      <c r="AH1157" s="176"/>
      <c r="AI1157" s="176"/>
      <c r="AJ1157" s="176"/>
      <c r="AK1157" s="176"/>
      <c r="AL1157" s="176"/>
      <c r="AM1157" s="176"/>
      <c r="AN1157" s="176"/>
      <c r="AO1157" s="176"/>
      <c r="AP1157" s="176"/>
      <c r="AQ1157" s="176"/>
      <c r="AR1157" s="176"/>
      <c r="AS1157" s="176"/>
      <c r="AT1157" s="176"/>
      <c r="AU1157" s="176"/>
      <c r="AV1157" s="176"/>
      <c r="AW1157" s="176"/>
      <c r="AX1157" s="176"/>
      <c r="AY1157" s="176"/>
      <c r="AZ1157" s="176"/>
      <c r="BA1157" s="176"/>
      <c r="BB1157" s="176"/>
      <c r="BC1157" s="176"/>
      <c r="BD1157" s="176"/>
      <c r="BE1157" s="176"/>
      <c r="BF1157" s="176"/>
      <c r="BG1157" s="176"/>
      <c r="BH1157" s="176"/>
      <c r="BI1157" s="176"/>
      <c r="BJ1157" s="176"/>
    </row>
    <row r="1158" spans="2:62" x14ac:dyDescent="0.3">
      <c r="B1158" s="3"/>
      <c r="C1158" s="2"/>
      <c r="D1158" s="2"/>
      <c r="E1158" s="3"/>
      <c r="O1158" s="176"/>
      <c r="P1158" s="176"/>
      <c r="Q1158" s="176"/>
      <c r="R1158" s="176"/>
      <c r="S1158" s="176"/>
      <c r="T1158" s="176"/>
      <c r="U1158" s="176"/>
      <c r="V1158" s="176"/>
      <c r="W1158" s="176"/>
      <c r="X1158" s="176"/>
      <c r="Y1158" s="176"/>
      <c r="Z1158" s="176"/>
      <c r="AA1158" s="176"/>
      <c r="AB1158" s="176"/>
      <c r="AC1158" s="176"/>
      <c r="AD1158" s="176"/>
      <c r="AE1158" s="176"/>
      <c r="AF1158" s="176"/>
      <c r="AG1158" s="176"/>
      <c r="AH1158" s="176"/>
      <c r="AI1158" s="176"/>
      <c r="AJ1158" s="176"/>
      <c r="AK1158" s="176"/>
      <c r="AL1158" s="176"/>
      <c r="AM1158" s="176"/>
      <c r="AN1158" s="176"/>
      <c r="AO1158" s="176"/>
      <c r="AP1158" s="176"/>
      <c r="AQ1158" s="176"/>
      <c r="AR1158" s="176"/>
      <c r="AS1158" s="176"/>
      <c r="AT1158" s="176"/>
      <c r="AU1158" s="176"/>
      <c r="AV1158" s="176"/>
      <c r="AW1158" s="176"/>
      <c r="AX1158" s="176"/>
      <c r="AY1158" s="176"/>
      <c r="AZ1158" s="176"/>
      <c r="BA1158" s="176"/>
      <c r="BB1158" s="176"/>
      <c r="BC1158" s="176"/>
      <c r="BD1158" s="176"/>
      <c r="BE1158" s="176"/>
      <c r="BF1158" s="176"/>
      <c r="BG1158" s="176"/>
      <c r="BH1158" s="176"/>
      <c r="BI1158" s="176"/>
      <c r="BJ1158" s="176"/>
    </row>
    <row r="1159" spans="2:62" x14ac:dyDescent="0.3">
      <c r="B1159" s="3"/>
      <c r="C1159" s="2"/>
      <c r="D1159" s="2"/>
      <c r="E1159" s="3"/>
      <c r="O1159" s="176"/>
      <c r="P1159" s="176"/>
      <c r="Q1159" s="176"/>
      <c r="R1159" s="176"/>
      <c r="S1159" s="176"/>
      <c r="T1159" s="176"/>
      <c r="U1159" s="176"/>
      <c r="V1159" s="176"/>
      <c r="W1159" s="176"/>
      <c r="X1159" s="176"/>
      <c r="Y1159" s="176"/>
      <c r="Z1159" s="176"/>
      <c r="AA1159" s="176"/>
      <c r="AB1159" s="176"/>
      <c r="AC1159" s="176"/>
      <c r="AD1159" s="176"/>
      <c r="AE1159" s="176"/>
      <c r="AF1159" s="176"/>
      <c r="AG1159" s="176"/>
      <c r="AH1159" s="176"/>
      <c r="AI1159" s="176"/>
      <c r="AJ1159" s="176"/>
      <c r="AK1159" s="176"/>
      <c r="AL1159" s="176"/>
      <c r="AM1159" s="176"/>
      <c r="AN1159" s="176"/>
      <c r="AO1159" s="176"/>
      <c r="AP1159" s="176"/>
      <c r="AQ1159" s="176"/>
      <c r="AR1159" s="176"/>
      <c r="AS1159" s="176"/>
      <c r="AT1159" s="176"/>
      <c r="AU1159" s="176"/>
      <c r="AV1159" s="176"/>
      <c r="AW1159" s="176"/>
      <c r="AX1159" s="176"/>
      <c r="AY1159" s="176"/>
      <c r="AZ1159" s="176"/>
      <c r="BA1159" s="176"/>
      <c r="BB1159" s="176"/>
      <c r="BC1159" s="176"/>
      <c r="BD1159" s="176"/>
      <c r="BE1159" s="176"/>
      <c r="BF1159" s="176"/>
      <c r="BG1159" s="176"/>
      <c r="BH1159" s="176"/>
      <c r="BI1159" s="176"/>
      <c r="BJ1159" s="176"/>
    </row>
    <row r="1160" spans="2:62" x14ac:dyDescent="0.3">
      <c r="B1160" s="3"/>
      <c r="C1160" s="2"/>
      <c r="D1160" s="2"/>
      <c r="E1160" s="3"/>
      <c r="O1160" s="176"/>
      <c r="P1160" s="176"/>
      <c r="Q1160" s="176"/>
      <c r="R1160" s="176"/>
      <c r="S1160" s="176"/>
      <c r="T1160" s="176"/>
      <c r="U1160" s="176"/>
      <c r="V1160" s="176"/>
      <c r="W1160" s="176"/>
      <c r="X1160" s="176"/>
      <c r="Y1160" s="176"/>
      <c r="Z1160" s="176"/>
      <c r="AA1160" s="176"/>
      <c r="AB1160" s="176"/>
      <c r="AC1160" s="176"/>
      <c r="AD1160" s="176"/>
      <c r="AE1160" s="176"/>
      <c r="AF1160" s="176"/>
      <c r="AG1160" s="176"/>
      <c r="AH1160" s="176"/>
      <c r="AI1160" s="176"/>
      <c r="AJ1160" s="176"/>
      <c r="AK1160" s="176"/>
      <c r="AL1160" s="176"/>
      <c r="AM1160" s="176"/>
      <c r="AN1160" s="176"/>
      <c r="AO1160" s="176"/>
      <c r="AP1160" s="176"/>
      <c r="AQ1160" s="176"/>
      <c r="AR1160" s="176"/>
      <c r="AS1160" s="176"/>
      <c r="AT1160" s="176"/>
      <c r="AU1160" s="176"/>
      <c r="AV1160" s="176"/>
      <c r="AW1160" s="176"/>
      <c r="AX1160" s="176"/>
      <c r="AY1160" s="176"/>
      <c r="AZ1160" s="176"/>
      <c r="BA1160" s="176"/>
      <c r="BB1160" s="176"/>
      <c r="BC1160" s="176"/>
      <c r="BD1160" s="176"/>
      <c r="BE1160" s="176"/>
      <c r="BF1160" s="176"/>
      <c r="BG1160" s="176"/>
      <c r="BH1160" s="176"/>
      <c r="BI1160" s="176"/>
      <c r="BJ1160" s="176"/>
    </row>
    <row r="1161" spans="2:62" x14ac:dyDescent="0.3">
      <c r="B1161" s="3"/>
      <c r="C1161" s="2"/>
      <c r="D1161" s="2"/>
      <c r="E1161" s="3"/>
      <c r="O1161" s="176"/>
      <c r="P1161" s="176"/>
      <c r="Q1161" s="176"/>
      <c r="R1161" s="176"/>
      <c r="S1161" s="176"/>
      <c r="T1161" s="176"/>
      <c r="U1161" s="176"/>
      <c r="V1161" s="176"/>
      <c r="W1161" s="176"/>
      <c r="X1161" s="176"/>
      <c r="Y1161" s="176"/>
      <c r="Z1161" s="176"/>
      <c r="AA1161" s="176"/>
      <c r="AB1161" s="176"/>
      <c r="AC1161" s="176"/>
      <c r="AD1161" s="176"/>
      <c r="AE1161" s="176"/>
      <c r="AF1161" s="176"/>
      <c r="AG1161" s="176"/>
      <c r="AH1161" s="176"/>
      <c r="AI1161" s="176"/>
      <c r="AJ1161" s="176"/>
      <c r="AK1161" s="176"/>
      <c r="AL1161" s="176"/>
      <c r="AM1161" s="176"/>
      <c r="AN1161" s="176"/>
      <c r="AO1161" s="176"/>
      <c r="AP1161" s="176"/>
      <c r="AQ1161" s="176"/>
      <c r="AR1161" s="176"/>
      <c r="AS1161" s="176"/>
      <c r="AT1161" s="176"/>
      <c r="AU1161" s="176"/>
      <c r="AV1161" s="176"/>
      <c r="AW1161" s="176"/>
      <c r="AX1161" s="176"/>
      <c r="AY1161" s="176"/>
      <c r="AZ1161" s="176"/>
      <c r="BA1161" s="176"/>
      <c r="BB1161" s="176"/>
      <c r="BC1161" s="176"/>
      <c r="BD1161" s="176"/>
      <c r="BE1161" s="176"/>
      <c r="BF1161" s="176"/>
      <c r="BG1161" s="176"/>
      <c r="BH1161" s="176"/>
      <c r="BI1161" s="176"/>
      <c r="BJ1161" s="176"/>
    </row>
    <row r="1162" spans="2:62" x14ac:dyDescent="0.3">
      <c r="B1162" s="3"/>
      <c r="C1162" s="2"/>
      <c r="D1162" s="2"/>
      <c r="E1162" s="3"/>
      <c r="O1162" s="176"/>
      <c r="P1162" s="176"/>
      <c r="Q1162" s="176"/>
      <c r="R1162" s="176"/>
      <c r="S1162" s="176"/>
      <c r="T1162" s="176"/>
      <c r="U1162" s="176"/>
      <c r="V1162" s="176"/>
      <c r="W1162" s="176"/>
      <c r="X1162" s="176"/>
      <c r="Y1162" s="176"/>
      <c r="Z1162" s="176"/>
      <c r="AA1162" s="176"/>
      <c r="AB1162" s="176"/>
      <c r="AC1162" s="176"/>
      <c r="AD1162" s="176"/>
      <c r="AE1162" s="176"/>
      <c r="AF1162" s="176"/>
      <c r="AG1162" s="176"/>
      <c r="AH1162" s="176"/>
      <c r="AI1162" s="176"/>
      <c r="AJ1162" s="176"/>
      <c r="AK1162" s="176"/>
      <c r="AL1162" s="176"/>
      <c r="AM1162" s="176"/>
      <c r="AN1162" s="176"/>
      <c r="AO1162" s="176"/>
      <c r="AP1162" s="176"/>
      <c r="AQ1162" s="176"/>
      <c r="AR1162" s="176"/>
      <c r="AS1162" s="176"/>
      <c r="AT1162" s="176"/>
      <c r="AU1162" s="176"/>
      <c r="AV1162" s="176"/>
      <c r="AW1162" s="176"/>
      <c r="AX1162" s="176"/>
      <c r="AY1162" s="176"/>
      <c r="AZ1162" s="176"/>
      <c r="BA1162" s="176"/>
      <c r="BB1162" s="176"/>
      <c r="BC1162" s="176"/>
      <c r="BD1162" s="176"/>
      <c r="BE1162" s="176"/>
      <c r="BF1162" s="176"/>
      <c r="BG1162" s="176"/>
      <c r="BH1162" s="176"/>
      <c r="BI1162" s="176"/>
      <c r="BJ1162" s="176"/>
    </row>
    <row r="1163" spans="2:62" x14ac:dyDescent="0.3">
      <c r="B1163" s="3"/>
      <c r="C1163" s="2"/>
      <c r="D1163" s="2"/>
      <c r="E1163" s="3"/>
      <c r="O1163" s="176"/>
      <c r="P1163" s="176"/>
      <c r="Q1163" s="176"/>
      <c r="R1163" s="176"/>
      <c r="S1163" s="176"/>
      <c r="T1163" s="176"/>
      <c r="U1163" s="176"/>
      <c r="V1163" s="176"/>
      <c r="W1163" s="176"/>
      <c r="X1163" s="176"/>
      <c r="Y1163" s="176"/>
      <c r="Z1163" s="176"/>
      <c r="AA1163" s="176"/>
      <c r="AB1163" s="176"/>
      <c r="AC1163" s="176"/>
      <c r="AD1163" s="176"/>
      <c r="AE1163" s="176"/>
      <c r="AF1163" s="176"/>
      <c r="AG1163" s="176"/>
      <c r="AH1163" s="176"/>
      <c r="AI1163" s="176"/>
      <c r="AJ1163" s="176"/>
      <c r="AK1163" s="176"/>
      <c r="AL1163" s="176"/>
      <c r="AM1163" s="176"/>
      <c r="AN1163" s="176"/>
      <c r="AO1163" s="176"/>
      <c r="AP1163" s="176"/>
      <c r="AQ1163" s="176"/>
      <c r="AR1163" s="176"/>
      <c r="AS1163" s="176"/>
      <c r="AT1163" s="176"/>
      <c r="AU1163" s="176"/>
      <c r="AV1163" s="176"/>
      <c r="AW1163" s="176"/>
      <c r="AX1163" s="176"/>
      <c r="AY1163" s="176"/>
      <c r="AZ1163" s="176"/>
      <c r="BA1163" s="176"/>
      <c r="BB1163" s="176"/>
      <c r="BC1163" s="176"/>
      <c r="BD1163" s="176"/>
      <c r="BE1163" s="176"/>
      <c r="BF1163" s="176"/>
      <c r="BG1163" s="176"/>
      <c r="BH1163" s="176"/>
      <c r="BI1163" s="176"/>
      <c r="BJ1163" s="176"/>
    </row>
    <row r="1164" spans="2:62" x14ac:dyDescent="0.3">
      <c r="B1164" s="3"/>
      <c r="C1164" s="2"/>
      <c r="D1164" s="2"/>
      <c r="E1164" s="3"/>
      <c r="O1164" s="176"/>
      <c r="P1164" s="176"/>
      <c r="Q1164" s="176"/>
      <c r="R1164" s="176"/>
      <c r="S1164" s="176"/>
      <c r="T1164" s="176"/>
      <c r="U1164" s="176"/>
      <c r="V1164" s="176"/>
      <c r="W1164" s="176"/>
      <c r="X1164" s="176"/>
      <c r="Y1164" s="176"/>
      <c r="Z1164" s="176"/>
      <c r="AA1164" s="176"/>
      <c r="AB1164" s="176"/>
      <c r="AC1164" s="176"/>
      <c r="AD1164" s="176"/>
      <c r="AE1164" s="176"/>
      <c r="AF1164" s="176"/>
      <c r="AG1164" s="176"/>
      <c r="AH1164" s="176"/>
      <c r="AI1164" s="176"/>
      <c r="AJ1164" s="176"/>
      <c r="AK1164" s="176"/>
      <c r="AL1164" s="176"/>
      <c r="AM1164" s="176"/>
      <c r="AN1164" s="176"/>
      <c r="AO1164" s="176"/>
      <c r="AP1164" s="176"/>
      <c r="AQ1164" s="176"/>
      <c r="AR1164" s="176"/>
      <c r="AS1164" s="176"/>
      <c r="AT1164" s="176"/>
      <c r="AU1164" s="176"/>
      <c r="AV1164" s="176"/>
      <c r="AW1164" s="176"/>
      <c r="AX1164" s="176"/>
      <c r="AY1164" s="176"/>
      <c r="AZ1164" s="176"/>
      <c r="BA1164" s="176"/>
      <c r="BB1164" s="176"/>
      <c r="BC1164" s="176"/>
      <c r="BD1164" s="176"/>
      <c r="BE1164" s="176"/>
      <c r="BF1164" s="176"/>
      <c r="BG1164" s="176"/>
      <c r="BH1164" s="176"/>
      <c r="BI1164" s="176"/>
      <c r="BJ1164" s="176"/>
    </row>
    <row r="1165" spans="2:62" x14ac:dyDescent="0.3">
      <c r="B1165" s="3"/>
      <c r="C1165" s="2"/>
      <c r="D1165" s="2"/>
      <c r="E1165" s="3"/>
      <c r="O1165" s="176"/>
      <c r="P1165" s="176"/>
      <c r="Q1165" s="176"/>
      <c r="R1165" s="176"/>
      <c r="S1165" s="176"/>
      <c r="T1165" s="176"/>
      <c r="U1165" s="176"/>
      <c r="V1165" s="176"/>
      <c r="W1165" s="176"/>
      <c r="X1165" s="176"/>
      <c r="Y1165" s="176"/>
      <c r="Z1165" s="176"/>
      <c r="AA1165" s="176"/>
      <c r="AB1165" s="176"/>
      <c r="AC1165" s="176"/>
      <c r="AD1165" s="176"/>
      <c r="AE1165" s="176"/>
      <c r="AF1165" s="176"/>
      <c r="AG1165" s="176"/>
      <c r="AH1165" s="176"/>
      <c r="AI1165" s="176"/>
      <c r="AJ1165" s="176"/>
      <c r="AK1165" s="176"/>
      <c r="AL1165" s="176"/>
      <c r="AM1165" s="176"/>
      <c r="AN1165" s="176"/>
      <c r="AO1165" s="176"/>
      <c r="AP1165" s="176"/>
      <c r="AQ1165" s="176"/>
      <c r="AR1165" s="176"/>
      <c r="AS1165" s="176"/>
      <c r="AT1165" s="176"/>
      <c r="AU1165" s="176"/>
      <c r="AV1165" s="176"/>
      <c r="AW1165" s="176"/>
      <c r="AX1165" s="176"/>
      <c r="AY1165" s="176"/>
      <c r="AZ1165" s="176"/>
      <c r="BA1165" s="176"/>
      <c r="BB1165" s="176"/>
      <c r="BC1165" s="176"/>
      <c r="BD1165" s="176"/>
      <c r="BE1165" s="176"/>
      <c r="BF1165" s="176"/>
      <c r="BG1165" s="176"/>
      <c r="BH1165" s="176"/>
      <c r="BI1165" s="176"/>
      <c r="BJ1165" s="176"/>
    </row>
    <row r="1166" spans="2:62" x14ac:dyDescent="0.3">
      <c r="B1166" s="3"/>
      <c r="C1166" s="2"/>
      <c r="D1166" s="2"/>
      <c r="E1166" s="3"/>
      <c r="O1166" s="176"/>
      <c r="P1166" s="176"/>
      <c r="Q1166" s="176"/>
      <c r="R1166" s="176"/>
      <c r="S1166" s="176"/>
      <c r="T1166" s="176"/>
      <c r="U1166" s="176"/>
      <c r="V1166" s="176"/>
      <c r="W1166" s="176"/>
      <c r="X1166" s="176"/>
      <c r="Y1166" s="176"/>
      <c r="Z1166" s="176"/>
      <c r="AA1166" s="176"/>
      <c r="AB1166" s="176"/>
      <c r="AC1166" s="176"/>
      <c r="AD1166" s="176"/>
      <c r="AE1166" s="176"/>
      <c r="AF1166" s="176"/>
      <c r="AG1166" s="176"/>
      <c r="AH1166" s="176"/>
      <c r="AI1166" s="176"/>
      <c r="AJ1166" s="176"/>
      <c r="AK1166" s="176"/>
      <c r="AL1166" s="176"/>
      <c r="AM1166" s="176"/>
      <c r="AN1166" s="176"/>
      <c r="AO1166" s="176"/>
      <c r="AP1166" s="176"/>
      <c r="AQ1166" s="176"/>
      <c r="AR1166" s="176"/>
      <c r="AS1166" s="176"/>
      <c r="AT1166" s="176"/>
      <c r="AU1166" s="176"/>
      <c r="AV1166" s="176"/>
      <c r="AW1166" s="176"/>
      <c r="AX1166" s="176"/>
      <c r="AY1166" s="176"/>
      <c r="AZ1166" s="176"/>
      <c r="BA1166" s="176"/>
      <c r="BB1166" s="176"/>
      <c r="BC1166" s="176"/>
      <c r="BD1166" s="176"/>
      <c r="BE1166" s="176"/>
      <c r="BF1166" s="176"/>
      <c r="BG1166" s="176"/>
      <c r="BH1166" s="176"/>
      <c r="BI1166" s="176"/>
      <c r="BJ1166" s="176"/>
    </row>
    <row r="1167" spans="2:62" x14ac:dyDescent="0.3">
      <c r="B1167" s="3"/>
      <c r="C1167" s="2"/>
      <c r="D1167" s="2"/>
      <c r="E1167" s="3"/>
      <c r="O1167" s="176"/>
      <c r="P1167" s="176"/>
      <c r="Q1167" s="176"/>
      <c r="R1167" s="176"/>
      <c r="S1167" s="176"/>
      <c r="T1167" s="176"/>
      <c r="U1167" s="176"/>
      <c r="V1167" s="176"/>
      <c r="W1167" s="176"/>
      <c r="X1167" s="176"/>
      <c r="Y1167" s="176"/>
      <c r="Z1167" s="176"/>
      <c r="AA1167" s="176"/>
      <c r="AB1167" s="176"/>
      <c r="AC1167" s="176"/>
      <c r="AD1167" s="176"/>
      <c r="AE1167" s="176"/>
      <c r="AF1167" s="176"/>
      <c r="AG1167" s="176"/>
      <c r="AH1167" s="176"/>
      <c r="AI1167" s="176"/>
      <c r="AJ1167" s="176"/>
      <c r="AK1167" s="176"/>
      <c r="AL1167" s="176"/>
      <c r="AM1167" s="176"/>
      <c r="AN1167" s="176"/>
      <c r="AO1167" s="176"/>
      <c r="AP1167" s="176"/>
      <c r="AQ1167" s="176"/>
      <c r="AR1167" s="176"/>
      <c r="AS1167" s="176"/>
      <c r="AT1167" s="176"/>
      <c r="AU1167" s="176"/>
      <c r="AV1167" s="176"/>
      <c r="AW1167" s="176"/>
      <c r="AX1167" s="176"/>
      <c r="AY1167" s="176"/>
      <c r="AZ1167" s="176"/>
      <c r="BA1167" s="176"/>
      <c r="BB1167" s="176"/>
      <c r="BC1167" s="176"/>
      <c r="BD1167" s="176"/>
      <c r="BE1167" s="176"/>
      <c r="BF1167" s="176"/>
      <c r="BG1167" s="176"/>
      <c r="BH1167" s="176"/>
      <c r="BI1167" s="176"/>
      <c r="BJ1167" s="176"/>
    </row>
    <row r="1168" spans="2:62" x14ac:dyDescent="0.3">
      <c r="B1168" s="3"/>
      <c r="C1168" s="2"/>
      <c r="D1168" s="2"/>
      <c r="E1168" s="3"/>
      <c r="O1168" s="176"/>
      <c r="P1168" s="176"/>
      <c r="Q1168" s="176"/>
      <c r="R1168" s="176"/>
      <c r="S1168" s="176"/>
      <c r="T1168" s="176"/>
      <c r="U1168" s="176"/>
      <c r="V1168" s="176"/>
      <c r="W1168" s="176"/>
      <c r="X1168" s="176"/>
      <c r="Y1168" s="176"/>
      <c r="Z1168" s="176"/>
      <c r="AA1168" s="176"/>
      <c r="AB1168" s="176"/>
      <c r="AC1168" s="176"/>
      <c r="AD1168" s="176"/>
      <c r="AE1168" s="176"/>
      <c r="AF1168" s="176"/>
      <c r="AG1168" s="176"/>
      <c r="AH1168" s="176"/>
      <c r="AI1168" s="176"/>
      <c r="AJ1168" s="176"/>
      <c r="AK1168" s="176"/>
      <c r="AL1168" s="176"/>
      <c r="AM1168" s="176"/>
      <c r="AN1168" s="176"/>
      <c r="AO1168" s="176"/>
      <c r="AP1168" s="176"/>
      <c r="AQ1168" s="176"/>
      <c r="AR1168" s="176"/>
      <c r="AS1168" s="176"/>
      <c r="AT1168" s="176"/>
      <c r="AU1168" s="176"/>
      <c r="AV1168" s="176"/>
      <c r="AW1168" s="176"/>
      <c r="AX1168" s="176"/>
      <c r="AY1168" s="176"/>
      <c r="AZ1168" s="176"/>
      <c r="BA1168" s="176"/>
      <c r="BB1168" s="176"/>
      <c r="BC1168" s="176"/>
      <c r="BD1168" s="176"/>
      <c r="BE1168" s="176"/>
      <c r="BF1168" s="176"/>
      <c r="BG1168" s="176"/>
      <c r="BH1168" s="176"/>
      <c r="BI1168" s="176"/>
      <c r="BJ1168" s="176"/>
    </row>
    <row r="1169" spans="2:62" x14ac:dyDescent="0.3">
      <c r="B1169" s="3"/>
      <c r="C1169" s="2"/>
      <c r="D1169" s="2"/>
      <c r="E1169" s="3"/>
      <c r="O1169" s="176"/>
      <c r="P1169" s="176"/>
      <c r="Q1169" s="176"/>
      <c r="R1169" s="176"/>
      <c r="S1169" s="176"/>
      <c r="T1169" s="176"/>
      <c r="U1169" s="176"/>
      <c r="V1169" s="176"/>
      <c r="W1169" s="176"/>
      <c r="X1169" s="176"/>
      <c r="Y1169" s="176"/>
      <c r="Z1169" s="176"/>
      <c r="AA1169" s="176"/>
      <c r="AB1169" s="176"/>
      <c r="AC1169" s="176"/>
      <c r="AD1169" s="176"/>
      <c r="AE1169" s="176"/>
      <c r="AF1169" s="176"/>
      <c r="AG1169" s="176"/>
      <c r="AH1169" s="176"/>
      <c r="AI1169" s="176"/>
      <c r="AJ1169" s="176"/>
      <c r="AK1169" s="176"/>
      <c r="AL1169" s="176"/>
      <c r="AM1169" s="176"/>
      <c r="AN1169" s="176"/>
      <c r="AO1169" s="176"/>
      <c r="AP1169" s="176"/>
      <c r="AQ1169" s="176"/>
      <c r="AR1169" s="176"/>
      <c r="AS1169" s="176"/>
      <c r="AT1169" s="176"/>
      <c r="AU1169" s="176"/>
      <c r="AV1169" s="176"/>
      <c r="AW1169" s="176"/>
      <c r="AX1169" s="176"/>
      <c r="AY1169" s="176"/>
      <c r="AZ1169" s="176"/>
      <c r="BA1169" s="176"/>
      <c r="BB1169" s="176"/>
      <c r="BC1169" s="176"/>
      <c r="BD1169" s="176"/>
      <c r="BE1169" s="176"/>
      <c r="BF1169" s="176"/>
      <c r="BG1169" s="176"/>
      <c r="BH1169" s="176"/>
      <c r="BI1169" s="176"/>
      <c r="BJ1169" s="176"/>
    </row>
    <row r="1170" spans="2:62" x14ac:dyDescent="0.3">
      <c r="B1170" s="3"/>
      <c r="C1170" s="2"/>
      <c r="D1170" s="2"/>
      <c r="E1170" s="3"/>
      <c r="O1170" s="176"/>
      <c r="P1170" s="176"/>
      <c r="Q1170" s="176"/>
      <c r="R1170" s="176"/>
      <c r="S1170" s="176"/>
      <c r="T1170" s="176"/>
      <c r="U1170" s="176"/>
      <c r="V1170" s="176"/>
      <c r="W1170" s="176"/>
      <c r="X1170" s="176"/>
      <c r="Y1170" s="176"/>
      <c r="Z1170" s="176"/>
      <c r="AA1170" s="176"/>
      <c r="AB1170" s="176"/>
      <c r="AC1170" s="176"/>
      <c r="AD1170" s="176"/>
      <c r="AE1170" s="176"/>
      <c r="AF1170" s="176"/>
      <c r="AG1170" s="176"/>
      <c r="AH1170" s="176"/>
      <c r="AI1170" s="176"/>
      <c r="AJ1170" s="176"/>
      <c r="AK1170" s="176"/>
      <c r="AL1170" s="176"/>
      <c r="AM1170" s="176"/>
      <c r="AN1170" s="176"/>
      <c r="AO1170" s="176"/>
      <c r="AP1170" s="176"/>
      <c r="AQ1170" s="176"/>
      <c r="AR1170" s="176"/>
      <c r="AS1170" s="176"/>
      <c r="AT1170" s="176"/>
      <c r="AU1170" s="176"/>
      <c r="AV1170" s="176"/>
      <c r="AW1170" s="176"/>
      <c r="AX1170" s="176"/>
      <c r="AY1170" s="176"/>
      <c r="AZ1170" s="176"/>
      <c r="BA1170" s="176"/>
      <c r="BB1170" s="176"/>
      <c r="BC1170" s="176"/>
      <c r="BD1170" s="176"/>
      <c r="BE1170" s="176"/>
      <c r="BF1170" s="176"/>
      <c r="BG1170" s="176"/>
      <c r="BH1170" s="176"/>
      <c r="BI1170" s="176"/>
      <c r="BJ1170" s="176"/>
    </row>
    <row r="1171" spans="2:62" x14ac:dyDescent="0.3">
      <c r="B1171" s="3"/>
      <c r="C1171" s="2"/>
      <c r="D1171" s="2"/>
      <c r="E1171" s="3"/>
      <c r="O1171" s="176"/>
      <c r="P1171" s="176"/>
      <c r="Q1171" s="176"/>
      <c r="R1171" s="176"/>
      <c r="S1171" s="176"/>
      <c r="T1171" s="176"/>
      <c r="U1171" s="176"/>
      <c r="V1171" s="176"/>
      <c r="W1171" s="176"/>
      <c r="X1171" s="176"/>
      <c r="Y1171" s="176"/>
      <c r="Z1171" s="176"/>
      <c r="AA1171" s="176"/>
      <c r="AB1171" s="176"/>
      <c r="AC1171" s="176"/>
      <c r="AD1171" s="176"/>
      <c r="AE1171" s="176"/>
      <c r="AF1171" s="176"/>
      <c r="AG1171" s="176"/>
      <c r="AH1171" s="176"/>
      <c r="AI1171" s="176"/>
      <c r="AJ1171" s="176"/>
      <c r="AK1171" s="176"/>
      <c r="AL1171" s="176"/>
      <c r="AM1171" s="176"/>
      <c r="AN1171" s="176"/>
      <c r="AO1171" s="176"/>
      <c r="AP1171" s="176"/>
      <c r="AQ1171" s="176"/>
      <c r="AR1171" s="176"/>
      <c r="AS1171" s="176"/>
      <c r="AT1171" s="176"/>
      <c r="AU1171" s="176"/>
      <c r="AV1171" s="176"/>
      <c r="AW1171" s="176"/>
      <c r="AX1171" s="176"/>
      <c r="AY1171" s="176"/>
      <c r="AZ1171" s="176"/>
      <c r="BA1171" s="176"/>
      <c r="BB1171" s="176"/>
      <c r="BC1171" s="176"/>
      <c r="BD1171" s="176"/>
      <c r="BE1171" s="176"/>
      <c r="BF1171" s="176"/>
      <c r="BG1171" s="176"/>
      <c r="BH1171" s="176"/>
      <c r="BI1171" s="176"/>
      <c r="BJ1171" s="176"/>
    </row>
    <row r="1172" spans="2:62" x14ac:dyDescent="0.3">
      <c r="B1172" s="3"/>
      <c r="C1172" s="2"/>
      <c r="D1172" s="2"/>
      <c r="E1172" s="3"/>
      <c r="O1172" s="176"/>
      <c r="P1172" s="176"/>
      <c r="Q1172" s="176"/>
      <c r="R1172" s="176"/>
      <c r="S1172" s="176"/>
      <c r="T1172" s="176"/>
      <c r="U1172" s="176"/>
      <c r="V1172" s="176"/>
      <c r="W1172" s="176"/>
      <c r="X1172" s="176"/>
      <c r="Y1172" s="176"/>
      <c r="Z1172" s="176"/>
      <c r="AA1172" s="176"/>
      <c r="AB1172" s="176"/>
      <c r="AC1172" s="176"/>
      <c r="AD1172" s="176"/>
      <c r="AE1172" s="176"/>
      <c r="AF1172" s="176"/>
      <c r="AG1172" s="176"/>
      <c r="AH1172" s="176"/>
      <c r="AI1172" s="176"/>
      <c r="AJ1172" s="176"/>
      <c r="AK1172" s="176"/>
      <c r="AL1172" s="176"/>
      <c r="AM1172" s="176"/>
      <c r="AN1172" s="176"/>
      <c r="AO1172" s="176"/>
      <c r="AP1172" s="176"/>
      <c r="AQ1172" s="176"/>
      <c r="AR1172" s="176"/>
      <c r="AS1172" s="176"/>
      <c r="AT1172" s="176"/>
      <c r="AU1172" s="176"/>
      <c r="AV1172" s="176"/>
      <c r="AW1172" s="176"/>
      <c r="AX1172" s="176"/>
      <c r="AY1172" s="176"/>
      <c r="AZ1172" s="176"/>
      <c r="BA1172" s="176"/>
      <c r="BB1172" s="176"/>
      <c r="BC1172" s="176"/>
      <c r="BD1172" s="176"/>
      <c r="BE1172" s="176"/>
      <c r="BF1172" s="176"/>
      <c r="BG1172" s="176"/>
      <c r="BH1172" s="176"/>
      <c r="BI1172" s="176"/>
      <c r="BJ1172" s="176"/>
    </row>
    <row r="1173" spans="2:62" x14ac:dyDescent="0.3">
      <c r="B1173" s="3"/>
      <c r="C1173" s="2"/>
      <c r="D1173" s="2"/>
      <c r="E1173" s="3"/>
      <c r="O1173" s="176"/>
      <c r="P1173" s="176"/>
      <c r="Q1173" s="176"/>
      <c r="R1173" s="176"/>
      <c r="S1173" s="176"/>
      <c r="T1173" s="176"/>
      <c r="U1173" s="176"/>
      <c r="V1173" s="176"/>
      <c r="W1173" s="176"/>
      <c r="X1173" s="176"/>
      <c r="Y1173" s="176"/>
      <c r="Z1173" s="176"/>
      <c r="AA1173" s="176"/>
      <c r="AB1173" s="176"/>
      <c r="AC1173" s="176"/>
      <c r="AD1173" s="176"/>
      <c r="AE1173" s="176"/>
      <c r="AF1173" s="176"/>
      <c r="AG1173" s="176"/>
      <c r="AH1173" s="176"/>
      <c r="AI1173" s="176"/>
      <c r="AJ1173" s="176"/>
      <c r="AK1173" s="176"/>
      <c r="AL1173" s="176"/>
      <c r="AM1173" s="176"/>
      <c r="AN1173" s="176"/>
      <c r="AO1173" s="176"/>
      <c r="AP1173" s="176"/>
      <c r="AQ1173" s="176"/>
      <c r="AR1173" s="176"/>
      <c r="AS1173" s="176"/>
      <c r="AT1173" s="176"/>
      <c r="AU1173" s="176"/>
      <c r="AV1173" s="176"/>
      <c r="AW1173" s="176"/>
      <c r="AX1173" s="176"/>
      <c r="AY1173" s="176"/>
      <c r="AZ1173" s="176"/>
      <c r="BA1173" s="176"/>
      <c r="BB1173" s="176"/>
      <c r="BC1173" s="176"/>
      <c r="BD1173" s="176"/>
      <c r="BE1173" s="176"/>
      <c r="BF1173" s="176"/>
      <c r="BG1173" s="176"/>
      <c r="BH1173" s="176"/>
      <c r="BI1173" s="176"/>
      <c r="BJ1173" s="176"/>
    </row>
    <row r="1174" spans="2:62" x14ac:dyDescent="0.3">
      <c r="B1174" s="3"/>
      <c r="C1174" s="2"/>
      <c r="D1174" s="2"/>
      <c r="E1174" s="3"/>
      <c r="O1174" s="176"/>
      <c r="P1174" s="176"/>
      <c r="Q1174" s="176"/>
      <c r="R1174" s="176"/>
      <c r="S1174" s="176"/>
      <c r="T1174" s="176"/>
      <c r="U1174" s="176"/>
      <c r="V1174" s="176"/>
      <c r="W1174" s="176"/>
      <c r="X1174" s="176"/>
      <c r="Y1174" s="176"/>
      <c r="Z1174" s="176"/>
      <c r="AA1174" s="176"/>
      <c r="AB1174" s="176"/>
      <c r="AC1174" s="176"/>
      <c r="AD1174" s="176"/>
      <c r="AE1174" s="176"/>
      <c r="AF1174" s="176"/>
      <c r="AG1174" s="176"/>
      <c r="AH1174" s="176"/>
      <c r="AI1174" s="176"/>
      <c r="AJ1174" s="176"/>
      <c r="AK1174" s="176"/>
      <c r="AL1174" s="176"/>
      <c r="AM1174" s="176"/>
      <c r="AN1174" s="176"/>
      <c r="AO1174" s="176"/>
      <c r="AP1174" s="176"/>
      <c r="AQ1174" s="176"/>
      <c r="AR1174" s="176"/>
      <c r="AS1174" s="176"/>
      <c r="AT1174" s="176"/>
      <c r="AU1174" s="176"/>
      <c r="AV1174" s="176"/>
      <c r="AW1174" s="176"/>
      <c r="AX1174" s="176"/>
      <c r="AY1174" s="176"/>
      <c r="AZ1174" s="176"/>
      <c r="BA1174" s="176"/>
      <c r="BB1174" s="176"/>
      <c r="BC1174" s="176"/>
      <c r="BD1174" s="176"/>
      <c r="BE1174" s="176"/>
      <c r="BF1174" s="176"/>
      <c r="BG1174" s="176"/>
      <c r="BH1174" s="176"/>
      <c r="BI1174" s="176"/>
      <c r="BJ1174" s="176"/>
    </row>
    <row r="1175" spans="2:62" x14ac:dyDescent="0.3">
      <c r="B1175" s="3"/>
      <c r="C1175" s="2"/>
      <c r="D1175" s="2"/>
      <c r="E1175" s="3"/>
      <c r="O1175" s="176"/>
      <c r="P1175" s="176"/>
      <c r="Q1175" s="176"/>
      <c r="R1175" s="176"/>
      <c r="S1175" s="176"/>
      <c r="T1175" s="176"/>
      <c r="U1175" s="176"/>
      <c r="V1175" s="176"/>
      <c r="W1175" s="176"/>
      <c r="X1175" s="176"/>
      <c r="Y1175" s="176"/>
      <c r="Z1175" s="176"/>
      <c r="AA1175" s="176"/>
      <c r="AB1175" s="176"/>
      <c r="AC1175" s="176"/>
      <c r="AD1175" s="176"/>
      <c r="AE1175" s="176"/>
      <c r="AF1175" s="176"/>
      <c r="AG1175" s="176"/>
      <c r="AH1175" s="176"/>
      <c r="AI1175" s="176"/>
      <c r="AJ1175" s="176"/>
      <c r="AK1175" s="176"/>
      <c r="AL1175" s="176"/>
      <c r="AM1175" s="176"/>
      <c r="AN1175" s="176"/>
      <c r="AO1175" s="176"/>
      <c r="AP1175" s="176"/>
      <c r="AQ1175" s="176"/>
      <c r="AR1175" s="176"/>
      <c r="AS1175" s="176"/>
      <c r="AT1175" s="176"/>
      <c r="AU1175" s="176"/>
      <c r="AV1175" s="176"/>
      <c r="AW1175" s="176"/>
      <c r="AX1175" s="176"/>
      <c r="AY1175" s="176"/>
      <c r="AZ1175" s="176"/>
      <c r="BA1175" s="176"/>
      <c r="BB1175" s="176"/>
      <c r="BC1175" s="176"/>
      <c r="BD1175" s="176"/>
      <c r="BE1175" s="176"/>
      <c r="BF1175" s="176"/>
      <c r="BG1175" s="176"/>
      <c r="BH1175" s="176"/>
      <c r="BI1175" s="176"/>
      <c r="BJ1175" s="176"/>
    </row>
    <row r="1176" spans="2:62" x14ac:dyDescent="0.3">
      <c r="B1176" s="3"/>
      <c r="C1176" s="2"/>
      <c r="D1176" s="2"/>
      <c r="E1176" s="3"/>
      <c r="O1176" s="176"/>
      <c r="P1176" s="176"/>
      <c r="Q1176" s="176"/>
      <c r="R1176" s="176"/>
      <c r="S1176" s="176"/>
      <c r="T1176" s="176"/>
      <c r="U1176" s="176"/>
      <c r="V1176" s="176"/>
      <c r="W1176" s="176"/>
      <c r="X1176" s="176"/>
      <c r="Y1176" s="176"/>
      <c r="Z1176" s="176"/>
      <c r="AA1176" s="176"/>
      <c r="AB1176" s="176"/>
      <c r="AC1176" s="176"/>
      <c r="AD1176" s="176"/>
      <c r="AE1176" s="176"/>
      <c r="AF1176" s="176"/>
      <c r="AG1176" s="176"/>
      <c r="AH1176" s="176"/>
      <c r="AI1176" s="176"/>
      <c r="AJ1176" s="176"/>
      <c r="AK1176" s="176"/>
      <c r="AL1176" s="176"/>
      <c r="AM1176" s="176"/>
      <c r="AN1176" s="176"/>
      <c r="AO1176" s="176"/>
      <c r="AP1176" s="176"/>
      <c r="AQ1176" s="176"/>
      <c r="AR1176" s="176"/>
      <c r="AS1176" s="176"/>
      <c r="AT1176" s="176"/>
      <c r="AU1176" s="176"/>
      <c r="AV1176" s="176"/>
      <c r="AW1176" s="176"/>
      <c r="AX1176" s="176"/>
      <c r="AY1176" s="176"/>
      <c r="AZ1176" s="176"/>
      <c r="BA1176" s="176"/>
      <c r="BB1176" s="176"/>
      <c r="BC1176" s="176"/>
      <c r="BD1176" s="176"/>
      <c r="BE1176" s="176"/>
      <c r="BF1176" s="176"/>
      <c r="BG1176" s="176"/>
      <c r="BH1176" s="176"/>
      <c r="BI1176" s="176"/>
      <c r="BJ1176" s="176"/>
    </row>
    <row r="1177" spans="2:62" x14ac:dyDescent="0.3">
      <c r="B1177" s="3"/>
      <c r="C1177" s="2"/>
      <c r="D1177" s="2"/>
      <c r="E1177" s="3"/>
      <c r="O1177" s="176"/>
      <c r="P1177" s="176"/>
      <c r="Q1177" s="176"/>
      <c r="R1177" s="176"/>
      <c r="S1177" s="176"/>
      <c r="T1177" s="176"/>
      <c r="U1177" s="176"/>
      <c r="V1177" s="176"/>
      <c r="W1177" s="176"/>
      <c r="X1177" s="176"/>
      <c r="Y1177" s="176"/>
      <c r="Z1177" s="176"/>
      <c r="AA1177" s="176"/>
      <c r="AB1177" s="176"/>
      <c r="AC1177" s="176"/>
      <c r="AD1177" s="176"/>
      <c r="AE1177" s="176"/>
      <c r="AF1177" s="176"/>
      <c r="AG1177" s="176"/>
      <c r="AH1177" s="176"/>
      <c r="AI1177" s="176"/>
      <c r="AJ1177" s="176"/>
      <c r="AK1177" s="176"/>
      <c r="AL1177" s="176"/>
      <c r="AM1177" s="176"/>
      <c r="AN1177" s="176"/>
      <c r="AO1177" s="176"/>
      <c r="AP1177" s="176"/>
      <c r="AQ1177" s="176"/>
      <c r="AR1177" s="176"/>
      <c r="AS1177" s="176"/>
      <c r="AT1177" s="176"/>
      <c r="AU1177" s="176"/>
      <c r="AV1177" s="176"/>
      <c r="AW1177" s="176"/>
      <c r="AX1177" s="176"/>
      <c r="AY1177" s="176"/>
      <c r="AZ1177" s="176"/>
      <c r="BA1177" s="176"/>
      <c r="BB1177" s="176"/>
      <c r="BC1177" s="176"/>
      <c r="BD1177" s="176"/>
      <c r="BE1177" s="176"/>
      <c r="BF1177" s="176"/>
      <c r="BG1177" s="176"/>
      <c r="BH1177" s="176"/>
      <c r="BI1177" s="176"/>
      <c r="BJ1177" s="176"/>
    </row>
    <row r="1178" spans="2:62" x14ac:dyDescent="0.3">
      <c r="B1178" s="3"/>
      <c r="C1178" s="2"/>
      <c r="D1178" s="2"/>
      <c r="E1178" s="3"/>
      <c r="O1178" s="176"/>
      <c r="P1178" s="176"/>
      <c r="Q1178" s="176"/>
      <c r="R1178" s="176"/>
      <c r="S1178" s="176"/>
      <c r="T1178" s="176"/>
      <c r="U1178" s="176"/>
      <c r="V1178" s="176"/>
      <c r="W1178" s="176"/>
      <c r="X1178" s="176"/>
      <c r="Y1178" s="176"/>
      <c r="Z1178" s="176"/>
      <c r="AA1178" s="176"/>
      <c r="AB1178" s="176"/>
      <c r="AC1178" s="176"/>
      <c r="AD1178" s="176"/>
      <c r="AE1178" s="176"/>
      <c r="AF1178" s="176"/>
      <c r="AG1178" s="176"/>
      <c r="AH1178" s="176"/>
      <c r="AI1178" s="176"/>
      <c r="AJ1178" s="176"/>
      <c r="AK1178" s="176"/>
      <c r="AL1178" s="176"/>
      <c r="AM1178" s="176"/>
      <c r="AN1178" s="176"/>
      <c r="AO1178" s="176"/>
      <c r="AP1178" s="176"/>
      <c r="AQ1178" s="176"/>
      <c r="AR1178" s="176"/>
      <c r="AS1178" s="176"/>
      <c r="AT1178" s="176"/>
      <c r="AU1178" s="176"/>
      <c r="AV1178" s="176"/>
      <c r="AW1178" s="176"/>
      <c r="AX1178" s="176"/>
      <c r="AY1178" s="176"/>
      <c r="AZ1178" s="176"/>
      <c r="BA1178" s="176"/>
      <c r="BB1178" s="176"/>
      <c r="BC1178" s="176"/>
      <c r="BD1178" s="176"/>
      <c r="BE1178" s="176"/>
      <c r="BF1178" s="176"/>
      <c r="BG1178" s="176"/>
      <c r="BH1178" s="176"/>
      <c r="BI1178" s="176"/>
      <c r="BJ1178" s="176"/>
    </row>
    <row r="1179" spans="2:62" x14ac:dyDescent="0.3">
      <c r="B1179" s="3"/>
      <c r="C1179" s="2"/>
      <c r="D1179" s="2"/>
      <c r="E1179" s="3"/>
      <c r="O1179" s="176"/>
      <c r="P1179" s="176"/>
      <c r="Q1179" s="176"/>
      <c r="R1179" s="176"/>
      <c r="S1179" s="176"/>
      <c r="T1179" s="176"/>
      <c r="U1179" s="176"/>
      <c r="V1179" s="176"/>
      <c r="W1179" s="176"/>
      <c r="X1179" s="176"/>
      <c r="Y1179" s="176"/>
      <c r="Z1179" s="176"/>
      <c r="AA1179" s="176"/>
      <c r="AB1179" s="176"/>
      <c r="AC1179" s="176"/>
      <c r="AD1179" s="176"/>
      <c r="AE1179" s="176"/>
      <c r="AF1179" s="176"/>
      <c r="AG1179" s="176"/>
      <c r="AH1179" s="176"/>
      <c r="AI1179" s="176"/>
      <c r="AJ1179" s="176"/>
      <c r="AK1179" s="176"/>
      <c r="AL1179" s="176"/>
      <c r="AM1179" s="176"/>
      <c r="AN1179" s="176"/>
      <c r="AO1179" s="176"/>
      <c r="AP1179" s="176"/>
      <c r="AQ1179" s="176"/>
      <c r="AR1179" s="176"/>
      <c r="AS1179" s="176"/>
      <c r="AT1179" s="176"/>
      <c r="AU1179" s="176"/>
      <c r="AV1179" s="176"/>
      <c r="AW1179" s="176"/>
      <c r="AX1179" s="176"/>
      <c r="AY1179" s="176"/>
      <c r="AZ1179" s="176"/>
      <c r="BA1179" s="176"/>
      <c r="BB1179" s="176"/>
      <c r="BC1179" s="176"/>
      <c r="BD1179" s="176"/>
      <c r="BE1179" s="176"/>
      <c r="BF1179" s="176"/>
      <c r="BG1179" s="176"/>
      <c r="BH1179" s="176"/>
      <c r="BI1179" s="176"/>
      <c r="BJ1179" s="176"/>
    </row>
    <row r="1180" spans="2:62" x14ac:dyDescent="0.3">
      <c r="B1180" s="3"/>
      <c r="C1180" s="2"/>
      <c r="D1180" s="2"/>
      <c r="E1180" s="3"/>
      <c r="O1180" s="176"/>
      <c r="P1180" s="176"/>
      <c r="Q1180" s="176"/>
      <c r="R1180" s="176"/>
      <c r="S1180" s="176"/>
      <c r="T1180" s="176"/>
      <c r="U1180" s="176"/>
      <c r="V1180" s="176"/>
      <c r="W1180" s="176"/>
      <c r="X1180" s="176"/>
      <c r="Y1180" s="176"/>
      <c r="Z1180" s="176"/>
      <c r="AA1180" s="176"/>
      <c r="AB1180" s="176"/>
      <c r="AC1180" s="176"/>
      <c r="AD1180" s="176"/>
      <c r="AE1180" s="176"/>
      <c r="AF1180" s="176"/>
      <c r="AG1180" s="176"/>
      <c r="AH1180" s="176"/>
      <c r="AI1180" s="176"/>
      <c r="AJ1180" s="176"/>
      <c r="AK1180" s="176"/>
      <c r="AL1180" s="176"/>
      <c r="AM1180" s="176"/>
      <c r="AN1180" s="176"/>
      <c r="AO1180" s="176"/>
      <c r="AP1180" s="176"/>
      <c r="AQ1180" s="176"/>
      <c r="AR1180" s="176"/>
      <c r="AS1180" s="176"/>
      <c r="AT1180" s="176"/>
      <c r="AU1180" s="176"/>
      <c r="AV1180" s="176"/>
      <c r="AW1180" s="176"/>
      <c r="AX1180" s="176"/>
      <c r="AY1180" s="176"/>
      <c r="AZ1180" s="176"/>
      <c r="BA1180" s="176"/>
      <c r="BB1180" s="176"/>
      <c r="BC1180" s="176"/>
      <c r="BD1180" s="176"/>
      <c r="BE1180" s="176"/>
      <c r="BF1180" s="176"/>
      <c r="BG1180" s="176"/>
      <c r="BH1180" s="176"/>
      <c r="BI1180" s="176"/>
      <c r="BJ1180" s="176"/>
    </row>
    <row r="1181" spans="2:62" x14ac:dyDescent="0.3">
      <c r="B1181" s="3"/>
      <c r="C1181" s="2"/>
      <c r="D1181" s="2"/>
      <c r="E1181" s="3"/>
      <c r="O1181" s="176"/>
      <c r="P1181" s="176"/>
      <c r="Q1181" s="176"/>
      <c r="R1181" s="176"/>
      <c r="S1181" s="176"/>
      <c r="T1181" s="176"/>
      <c r="U1181" s="176"/>
      <c r="V1181" s="176"/>
      <c r="W1181" s="176"/>
      <c r="X1181" s="176"/>
      <c r="Y1181" s="176"/>
      <c r="Z1181" s="176"/>
      <c r="AA1181" s="176"/>
      <c r="AB1181" s="176"/>
      <c r="AC1181" s="176"/>
      <c r="AD1181" s="176"/>
      <c r="AE1181" s="176"/>
      <c r="AF1181" s="176"/>
      <c r="AG1181" s="176"/>
      <c r="AH1181" s="176"/>
      <c r="AI1181" s="176"/>
      <c r="AJ1181" s="176"/>
      <c r="AK1181" s="176"/>
      <c r="AL1181" s="176"/>
      <c r="AM1181" s="176"/>
      <c r="AN1181" s="176"/>
      <c r="AO1181" s="176"/>
      <c r="AP1181" s="176"/>
      <c r="AQ1181" s="176"/>
      <c r="AR1181" s="176"/>
      <c r="AS1181" s="176"/>
      <c r="AT1181" s="176"/>
      <c r="AU1181" s="176"/>
      <c r="AV1181" s="176"/>
      <c r="AW1181" s="176"/>
      <c r="AX1181" s="176"/>
      <c r="AY1181" s="176"/>
      <c r="AZ1181" s="176"/>
      <c r="BA1181" s="176"/>
      <c r="BB1181" s="176"/>
      <c r="BC1181" s="176"/>
      <c r="BD1181" s="176"/>
      <c r="BE1181" s="176"/>
      <c r="BF1181" s="176"/>
      <c r="BG1181" s="176"/>
      <c r="BH1181" s="176"/>
      <c r="BI1181" s="176"/>
      <c r="BJ1181" s="176"/>
    </row>
    <row r="1182" spans="2:62" x14ac:dyDescent="0.3">
      <c r="B1182" s="3"/>
      <c r="C1182" s="2"/>
      <c r="D1182" s="2"/>
      <c r="E1182" s="3"/>
      <c r="O1182" s="176"/>
      <c r="P1182" s="176"/>
      <c r="Q1182" s="176"/>
      <c r="R1182" s="176"/>
      <c r="S1182" s="176"/>
      <c r="T1182" s="176"/>
      <c r="U1182" s="176"/>
      <c r="V1182" s="176"/>
      <c r="W1182" s="176"/>
      <c r="X1182" s="176"/>
      <c r="Y1182" s="176"/>
      <c r="Z1182" s="176"/>
      <c r="AA1182" s="176"/>
      <c r="AB1182" s="176"/>
      <c r="AC1182" s="176"/>
      <c r="AD1182" s="176"/>
      <c r="AE1182" s="176"/>
      <c r="AF1182" s="176"/>
      <c r="AG1182" s="176"/>
      <c r="AH1182" s="176"/>
      <c r="AI1182" s="176"/>
      <c r="AJ1182" s="176"/>
      <c r="AK1182" s="176"/>
      <c r="AL1182" s="176"/>
      <c r="AM1182" s="176"/>
      <c r="AN1182" s="176"/>
      <c r="AO1182" s="176"/>
      <c r="AP1182" s="176"/>
      <c r="AQ1182" s="176"/>
      <c r="AR1182" s="176"/>
      <c r="AS1182" s="176"/>
      <c r="AT1182" s="176"/>
      <c r="AU1182" s="176"/>
      <c r="AV1182" s="176"/>
      <c r="AW1182" s="176"/>
      <c r="AX1182" s="176"/>
      <c r="AY1182" s="176"/>
      <c r="AZ1182" s="176"/>
      <c r="BA1182" s="176"/>
      <c r="BB1182" s="176"/>
      <c r="BC1182" s="176"/>
      <c r="BD1182" s="176"/>
      <c r="BE1182" s="176"/>
      <c r="BF1182" s="176"/>
      <c r="BG1182" s="176"/>
      <c r="BH1182" s="176"/>
      <c r="BI1182" s="176"/>
      <c r="BJ1182" s="176"/>
    </row>
    <row r="1183" spans="2:62" x14ac:dyDescent="0.3">
      <c r="B1183" s="3"/>
      <c r="C1183" s="2"/>
      <c r="D1183" s="2"/>
      <c r="E1183" s="3"/>
      <c r="O1183" s="176"/>
      <c r="P1183" s="176"/>
      <c r="Q1183" s="176"/>
      <c r="R1183" s="176"/>
      <c r="S1183" s="176"/>
      <c r="T1183" s="176"/>
      <c r="U1183" s="176"/>
      <c r="V1183" s="176"/>
      <c r="W1183" s="176"/>
      <c r="X1183" s="176"/>
      <c r="Y1183" s="176"/>
      <c r="Z1183" s="176"/>
      <c r="AA1183" s="176"/>
      <c r="AB1183" s="176"/>
      <c r="AC1183" s="176"/>
      <c r="AD1183" s="176"/>
      <c r="AE1183" s="176"/>
      <c r="AF1183" s="176"/>
      <c r="AG1183" s="176"/>
      <c r="AH1183" s="176"/>
      <c r="AI1183" s="176"/>
      <c r="AJ1183" s="176"/>
      <c r="AK1183" s="176"/>
      <c r="AL1183" s="176"/>
      <c r="AM1183" s="176"/>
      <c r="AN1183" s="176"/>
      <c r="AO1183" s="176"/>
      <c r="AP1183" s="176"/>
      <c r="AQ1183" s="176"/>
      <c r="AR1183" s="176"/>
      <c r="AS1183" s="176"/>
      <c r="AT1183" s="176"/>
      <c r="AU1183" s="176"/>
      <c r="AV1183" s="176"/>
      <c r="AW1183" s="176"/>
      <c r="AX1183" s="176"/>
      <c r="AY1183" s="176"/>
      <c r="AZ1183" s="176"/>
      <c r="BA1183" s="176"/>
      <c r="BB1183" s="176"/>
      <c r="BC1183" s="176"/>
      <c r="BD1183" s="176"/>
      <c r="BE1183" s="176"/>
      <c r="BF1183" s="176"/>
      <c r="BG1183" s="176"/>
      <c r="BH1183" s="176"/>
      <c r="BI1183" s="176"/>
      <c r="BJ1183" s="176"/>
    </row>
    <row r="1184" spans="2:62" x14ac:dyDescent="0.3">
      <c r="B1184" s="3"/>
      <c r="C1184" s="2"/>
      <c r="D1184" s="2"/>
      <c r="E1184" s="3"/>
      <c r="O1184" s="176"/>
      <c r="P1184" s="176"/>
      <c r="Q1184" s="176"/>
      <c r="R1184" s="176"/>
      <c r="S1184" s="176"/>
      <c r="T1184" s="176"/>
      <c r="U1184" s="176"/>
      <c r="V1184" s="176"/>
      <c r="W1184" s="176"/>
      <c r="X1184" s="176"/>
      <c r="Y1184" s="176"/>
      <c r="Z1184" s="176"/>
      <c r="AA1184" s="176"/>
      <c r="AB1184" s="176"/>
      <c r="AC1184" s="176"/>
      <c r="AD1184" s="176"/>
      <c r="AE1184" s="176"/>
      <c r="AF1184" s="176"/>
      <c r="AG1184" s="176"/>
      <c r="AH1184" s="176"/>
      <c r="AI1184" s="176"/>
      <c r="AJ1184" s="176"/>
      <c r="AK1184" s="176"/>
      <c r="AL1184" s="176"/>
      <c r="AM1184" s="176"/>
      <c r="AN1184" s="176"/>
      <c r="AO1184" s="176"/>
      <c r="AP1184" s="176"/>
      <c r="AQ1184" s="176"/>
      <c r="AR1184" s="176"/>
      <c r="AS1184" s="176"/>
      <c r="AT1184" s="176"/>
      <c r="AU1184" s="176"/>
      <c r="AV1184" s="176"/>
      <c r="AW1184" s="176"/>
      <c r="AX1184" s="176"/>
      <c r="AY1184" s="176"/>
      <c r="AZ1184" s="176"/>
      <c r="BA1184" s="176"/>
      <c r="BB1184" s="176"/>
      <c r="BC1184" s="176"/>
      <c r="BD1184" s="176"/>
      <c r="BE1184" s="176"/>
      <c r="BF1184" s="176"/>
      <c r="BG1184" s="176"/>
      <c r="BH1184" s="176"/>
      <c r="BI1184" s="176"/>
      <c r="BJ1184" s="176"/>
    </row>
    <row r="1185" spans="2:62" x14ac:dyDescent="0.3">
      <c r="B1185" s="3"/>
      <c r="C1185" s="2"/>
      <c r="D1185" s="2"/>
      <c r="E1185" s="3"/>
      <c r="O1185" s="176"/>
      <c r="P1185" s="176"/>
      <c r="Q1185" s="176"/>
      <c r="R1185" s="176"/>
      <c r="S1185" s="176"/>
      <c r="T1185" s="176"/>
      <c r="U1185" s="176"/>
      <c r="V1185" s="176"/>
      <c r="W1185" s="176"/>
      <c r="X1185" s="176"/>
      <c r="Y1185" s="176"/>
      <c r="Z1185" s="176"/>
      <c r="AA1185" s="176"/>
      <c r="AB1185" s="176"/>
      <c r="AC1185" s="176"/>
      <c r="AD1185" s="176"/>
      <c r="AE1185" s="176"/>
      <c r="AF1185" s="176"/>
      <c r="AG1185" s="176"/>
      <c r="AH1185" s="176"/>
      <c r="AI1185" s="176"/>
      <c r="AJ1185" s="176"/>
      <c r="AK1185" s="176"/>
      <c r="AL1185" s="176"/>
      <c r="AM1185" s="176"/>
      <c r="AN1185" s="176"/>
      <c r="AO1185" s="176"/>
      <c r="AP1185" s="176"/>
      <c r="AQ1185" s="176"/>
      <c r="AR1185" s="176"/>
      <c r="AS1185" s="176"/>
      <c r="AT1185" s="176"/>
      <c r="AU1185" s="176"/>
      <c r="AV1185" s="176"/>
      <c r="AW1185" s="176"/>
      <c r="AX1185" s="176"/>
      <c r="AY1185" s="176"/>
      <c r="AZ1185" s="176"/>
      <c r="BA1185" s="176"/>
      <c r="BB1185" s="176"/>
      <c r="BC1185" s="176"/>
      <c r="BD1185" s="176"/>
      <c r="BE1185" s="176"/>
      <c r="BF1185" s="176"/>
      <c r="BG1185" s="176"/>
      <c r="BH1185" s="176"/>
      <c r="BI1185" s="176"/>
      <c r="BJ1185" s="176"/>
    </row>
    <row r="1186" spans="2:62" x14ac:dyDescent="0.3">
      <c r="B1186" s="3"/>
      <c r="C1186" s="2"/>
      <c r="D1186" s="2"/>
      <c r="E1186" s="3"/>
      <c r="O1186" s="176"/>
      <c r="P1186" s="176"/>
      <c r="Q1186" s="176"/>
      <c r="R1186" s="176"/>
      <c r="S1186" s="176"/>
      <c r="T1186" s="176"/>
      <c r="U1186" s="176"/>
      <c r="V1186" s="176"/>
      <c r="W1186" s="176"/>
      <c r="X1186" s="176"/>
      <c r="Y1186" s="176"/>
      <c r="Z1186" s="176"/>
      <c r="AA1186" s="176"/>
      <c r="AB1186" s="176"/>
      <c r="AC1186" s="176"/>
      <c r="AD1186" s="176"/>
      <c r="AE1186" s="176"/>
      <c r="AF1186" s="176"/>
      <c r="AG1186" s="176"/>
      <c r="AH1186" s="176"/>
      <c r="AI1186" s="176"/>
      <c r="AJ1186" s="176"/>
      <c r="AK1186" s="176"/>
      <c r="AL1186" s="176"/>
      <c r="AM1186" s="176"/>
      <c r="AN1186" s="176"/>
      <c r="AO1186" s="176"/>
      <c r="AP1186" s="176"/>
      <c r="AQ1186" s="176"/>
      <c r="AR1186" s="176"/>
      <c r="AS1186" s="176"/>
      <c r="AT1186" s="176"/>
      <c r="AU1186" s="176"/>
      <c r="AV1186" s="176"/>
      <c r="AW1186" s="176"/>
      <c r="AX1186" s="176"/>
      <c r="AY1186" s="176"/>
      <c r="AZ1186" s="176"/>
      <c r="BA1186" s="176"/>
      <c r="BB1186" s="176"/>
      <c r="BC1186" s="176"/>
      <c r="BD1186" s="176"/>
      <c r="BE1186" s="176"/>
      <c r="BF1186" s="176"/>
      <c r="BG1186" s="176"/>
      <c r="BH1186" s="176"/>
      <c r="BI1186" s="176"/>
      <c r="BJ1186" s="176"/>
    </row>
    <row r="1187" spans="2:62" x14ac:dyDescent="0.3">
      <c r="B1187" s="3"/>
      <c r="C1187" s="2"/>
      <c r="D1187" s="2"/>
      <c r="E1187" s="3"/>
      <c r="O1187" s="176"/>
      <c r="P1187" s="176"/>
      <c r="Q1187" s="176"/>
      <c r="R1187" s="176"/>
      <c r="S1187" s="176"/>
      <c r="T1187" s="176"/>
      <c r="U1187" s="176"/>
      <c r="V1187" s="176"/>
      <c r="W1187" s="176"/>
      <c r="X1187" s="176"/>
      <c r="Y1187" s="176"/>
      <c r="Z1187" s="176"/>
      <c r="AA1187" s="176"/>
      <c r="AB1187" s="176"/>
      <c r="AC1187" s="176"/>
      <c r="AD1187" s="176"/>
      <c r="AE1187" s="176"/>
      <c r="AF1187" s="176"/>
      <c r="AG1187" s="176"/>
      <c r="AH1187" s="176"/>
      <c r="AI1187" s="176"/>
      <c r="AJ1187" s="176"/>
      <c r="AK1187" s="176"/>
      <c r="AL1187" s="176"/>
      <c r="AM1187" s="176"/>
      <c r="AN1187" s="176"/>
      <c r="AO1187" s="176"/>
      <c r="AP1187" s="176"/>
      <c r="AQ1187" s="176"/>
      <c r="AR1187" s="176"/>
      <c r="AS1187" s="176"/>
      <c r="AT1187" s="176"/>
      <c r="AU1187" s="176"/>
      <c r="AV1187" s="176"/>
      <c r="AW1187" s="176"/>
      <c r="AX1187" s="176"/>
      <c r="AY1187" s="176"/>
      <c r="AZ1187" s="176"/>
      <c r="BA1187" s="176"/>
      <c r="BB1187" s="176"/>
      <c r="BC1187" s="176"/>
      <c r="BD1187" s="176"/>
      <c r="BE1187" s="176"/>
      <c r="BF1187" s="176"/>
      <c r="BG1187" s="176"/>
      <c r="BH1187" s="176"/>
      <c r="BI1187" s="176"/>
      <c r="BJ1187" s="176"/>
    </row>
    <row r="1188" spans="2:62" x14ac:dyDescent="0.3">
      <c r="B1188" s="3"/>
      <c r="C1188" s="2"/>
      <c r="D1188" s="2"/>
      <c r="E1188" s="3"/>
      <c r="O1188" s="176"/>
      <c r="P1188" s="176"/>
      <c r="Q1188" s="176"/>
      <c r="R1188" s="176"/>
      <c r="S1188" s="176"/>
      <c r="T1188" s="176"/>
      <c r="U1188" s="176"/>
      <c r="V1188" s="176"/>
      <c r="W1188" s="176"/>
      <c r="X1188" s="176"/>
      <c r="Y1188" s="176"/>
      <c r="Z1188" s="176"/>
      <c r="AA1188" s="176"/>
      <c r="AB1188" s="176"/>
      <c r="AC1188" s="176"/>
      <c r="AD1188" s="176"/>
      <c r="AE1188" s="176"/>
      <c r="AF1188" s="176"/>
      <c r="AG1188" s="176"/>
      <c r="AH1188" s="176"/>
      <c r="AI1188" s="176"/>
      <c r="AJ1188" s="176"/>
      <c r="AK1188" s="176"/>
      <c r="AL1188" s="176"/>
      <c r="AM1188" s="176"/>
      <c r="AN1188" s="176"/>
      <c r="AO1188" s="176"/>
      <c r="AP1188" s="176"/>
      <c r="AQ1188" s="176"/>
      <c r="AR1188" s="176"/>
      <c r="AS1188" s="176"/>
      <c r="AT1188" s="176"/>
      <c r="AU1188" s="176"/>
      <c r="AV1188" s="176"/>
      <c r="AW1188" s="176"/>
      <c r="AX1188" s="176"/>
      <c r="AY1188" s="176"/>
      <c r="AZ1188" s="176"/>
      <c r="BA1188" s="176"/>
      <c r="BB1188" s="176"/>
      <c r="BC1188" s="176"/>
      <c r="BD1188" s="176"/>
      <c r="BE1188" s="176"/>
      <c r="BF1188" s="176"/>
      <c r="BG1188" s="176"/>
      <c r="BH1188" s="176"/>
      <c r="BI1188" s="176"/>
      <c r="BJ1188" s="176"/>
    </row>
    <row r="1189" spans="2:62" x14ac:dyDescent="0.3">
      <c r="B1189" s="3"/>
      <c r="C1189" s="2"/>
      <c r="D1189" s="2"/>
      <c r="E1189" s="3"/>
      <c r="O1189" s="176"/>
      <c r="P1189" s="176"/>
      <c r="Q1189" s="176"/>
      <c r="R1189" s="176"/>
      <c r="S1189" s="176"/>
      <c r="T1189" s="176"/>
      <c r="U1189" s="176"/>
      <c r="V1189" s="176"/>
      <c r="W1189" s="176"/>
      <c r="X1189" s="176"/>
      <c r="Y1189" s="176"/>
      <c r="Z1189" s="176"/>
      <c r="AA1189" s="176"/>
      <c r="AB1189" s="176"/>
      <c r="AC1189" s="176"/>
      <c r="AD1189" s="176"/>
      <c r="AE1189" s="176"/>
      <c r="AF1189" s="176"/>
      <c r="AG1189" s="176"/>
      <c r="AH1189" s="176"/>
      <c r="AI1189" s="176"/>
      <c r="AJ1189" s="176"/>
      <c r="AK1189" s="176"/>
      <c r="AL1189" s="176"/>
      <c r="AM1189" s="176"/>
      <c r="AN1189" s="176"/>
      <c r="AO1189" s="176"/>
      <c r="AP1189" s="176"/>
      <c r="AQ1189" s="176"/>
      <c r="AR1189" s="176"/>
      <c r="AS1189" s="176"/>
      <c r="AT1189" s="176"/>
      <c r="AU1189" s="176"/>
      <c r="AV1189" s="176"/>
      <c r="AW1189" s="176"/>
      <c r="AX1189" s="176"/>
      <c r="AY1189" s="176"/>
      <c r="AZ1189" s="176"/>
      <c r="BA1189" s="176"/>
      <c r="BB1189" s="176"/>
      <c r="BC1189" s="176"/>
      <c r="BD1189" s="176"/>
      <c r="BE1189" s="176"/>
      <c r="BF1189" s="176"/>
      <c r="BG1189" s="176"/>
      <c r="BH1189" s="176"/>
      <c r="BI1189" s="176"/>
      <c r="BJ1189" s="176"/>
    </row>
    <row r="1190" spans="2:62" x14ac:dyDescent="0.3">
      <c r="B1190" s="3"/>
      <c r="C1190" s="2"/>
      <c r="D1190" s="2"/>
      <c r="E1190" s="3"/>
      <c r="O1190" s="176"/>
      <c r="P1190" s="176"/>
      <c r="Q1190" s="176"/>
      <c r="R1190" s="176"/>
      <c r="S1190" s="176"/>
      <c r="T1190" s="176"/>
      <c r="U1190" s="176"/>
      <c r="V1190" s="176"/>
      <c r="W1190" s="176"/>
      <c r="X1190" s="176"/>
      <c r="Y1190" s="176"/>
      <c r="Z1190" s="176"/>
      <c r="AA1190" s="176"/>
      <c r="AB1190" s="176"/>
      <c r="AC1190" s="176"/>
      <c r="AD1190" s="176"/>
      <c r="AE1190" s="176"/>
      <c r="AF1190" s="176"/>
      <c r="AG1190" s="176"/>
      <c r="AH1190" s="176"/>
      <c r="AI1190" s="176"/>
      <c r="AJ1190" s="176"/>
      <c r="AK1190" s="176"/>
      <c r="AL1190" s="176"/>
      <c r="AM1190" s="176"/>
      <c r="AN1190" s="176"/>
      <c r="AO1190" s="176"/>
      <c r="AP1190" s="176"/>
      <c r="AQ1190" s="176"/>
      <c r="AR1190" s="176"/>
      <c r="AS1190" s="176"/>
      <c r="AT1190" s="176"/>
      <c r="AU1190" s="176"/>
      <c r="AV1190" s="176"/>
      <c r="AW1190" s="176"/>
      <c r="AX1190" s="176"/>
      <c r="AY1190" s="176"/>
      <c r="AZ1190" s="176"/>
      <c r="BA1190" s="176"/>
      <c r="BB1190" s="176"/>
      <c r="BC1190" s="176"/>
      <c r="BD1190" s="176"/>
      <c r="BE1190" s="176"/>
      <c r="BF1190" s="176"/>
      <c r="BG1190" s="176"/>
      <c r="BH1190" s="176"/>
      <c r="BI1190" s="176"/>
      <c r="BJ1190" s="176"/>
    </row>
    <row r="1191" spans="2:62" x14ac:dyDescent="0.3">
      <c r="B1191" s="3"/>
      <c r="C1191" s="2"/>
      <c r="D1191" s="2"/>
      <c r="E1191" s="3"/>
      <c r="O1191" s="176"/>
      <c r="P1191" s="176"/>
      <c r="Q1191" s="176"/>
      <c r="R1191" s="176"/>
      <c r="S1191" s="176"/>
      <c r="T1191" s="176"/>
      <c r="U1191" s="176"/>
      <c r="V1191" s="176"/>
      <c r="W1191" s="176"/>
      <c r="X1191" s="176"/>
      <c r="Y1191" s="176"/>
      <c r="Z1191" s="176"/>
      <c r="AA1191" s="176"/>
      <c r="AB1191" s="176"/>
      <c r="AC1191" s="176"/>
      <c r="AD1191" s="176"/>
      <c r="AE1191" s="176"/>
      <c r="AF1191" s="176"/>
      <c r="AG1191" s="176"/>
      <c r="AH1191" s="176"/>
      <c r="AI1191" s="176"/>
      <c r="AJ1191" s="176"/>
      <c r="AK1191" s="176"/>
      <c r="AL1191" s="176"/>
      <c r="AM1191" s="176"/>
      <c r="AN1191" s="176"/>
      <c r="AO1191" s="176"/>
      <c r="AP1191" s="176"/>
      <c r="AQ1191" s="176"/>
      <c r="AR1191" s="176"/>
      <c r="AS1191" s="176"/>
      <c r="AT1191" s="176"/>
      <c r="AU1191" s="176"/>
      <c r="AV1191" s="176"/>
      <c r="AW1191" s="176"/>
      <c r="AX1191" s="176"/>
      <c r="AY1191" s="176"/>
      <c r="AZ1191" s="176"/>
      <c r="BA1191" s="176"/>
      <c r="BB1191" s="176"/>
      <c r="BC1191" s="176"/>
      <c r="BD1191" s="176"/>
      <c r="BE1191" s="176"/>
      <c r="BF1191" s="176"/>
      <c r="BG1191" s="176"/>
      <c r="BH1191" s="176"/>
      <c r="BI1191" s="176"/>
      <c r="BJ1191" s="176"/>
    </row>
    <row r="1192" spans="2:62" x14ac:dyDescent="0.3">
      <c r="B1192" s="3"/>
      <c r="C1192" s="2"/>
      <c r="D1192" s="2"/>
      <c r="E1192" s="3"/>
      <c r="O1192" s="176"/>
      <c r="P1192" s="176"/>
      <c r="Q1192" s="176"/>
      <c r="R1192" s="176"/>
      <c r="S1192" s="176"/>
      <c r="T1192" s="176"/>
      <c r="U1192" s="176"/>
      <c r="V1192" s="176"/>
      <c r="W1192" s="176"/>
      <c r="X1192" s="176"/>
      <c r="Y1192" s="176"/>
      <c r="Z1192" s="176"/>
      <c r="AA1192" s="176"/>
      <c r="AB1192" s="176"/>
      <c r="AC1192" s="176"/>
      <c r="AD1192" s="176"/>
      <c r="AE1192" s="176"/>
      <c r="AF1192" s="176"/>
      <c r="AG1192" s="176"/>
      <c r="AH1192" s="176"/>
      <c r="AI1192" s="176"/>
      <c r="AJ1192" s="176"/>
      <c r="AK1192" s="176"/>
      <c r="AL1192" s="176"/>
      <c r="AM1192" s="176"/>
      <c r="AN1192" s="176"/>
      <c r="AO1192" s="176"/>
      <c r="AP1192" s="176"/>
      <c r="AQ1192" s="176"/>
      <c r="AR1192" s="176"/>
      <c r="AS1192" s="176"/>
      <c r="AT1192" s="176"/>
      <c r="AU1192" s="176"/>
      <c r="AV1192" s="176"/>
      <c r="AW1192" s="176"/>
      <c r="AX1192" s="176"/>
      <c r="AY1192" s="176"/>
      <c r="AZ1192" s="176"/>
      <c r="BA1192" s="176"/>
      <c r="BB1192" s="176"/>
      <c r="BC1192" s="176"/>
      <c r="BD1192" s="176"/>
      <c r="BE1192" s="176"/>
      <c r="BF1192" s="176"/>
      <c r="BG1192" s="176"/>
      <c r="BH1192" s="176"/>
      <c r="BI1192" s="176"/>
      <c r="BJ1192" s="176"/>
    </row>
    <row r="1193" spans="2:62" x14ac:dyDescent="0.3">
      <c r="B1193" s="3"/>
      <c r="C1193" s="2"/>
      <c r="D1193" s="2"/>
      <c r="E1193" s="3"/>
      <c r="O1193" s="176"/>
      <c r="P1193" s="176"/>
      <c r="Q1193" s="176"/>
      <c r="R1193" s="176"/>
      <c r="S1193" s="176"/>
      <c r="T1193" s="176"/>
      <c r="U1193" s="176"/>
      <c r="V1193" s="176"/>
      <c r="W1193" s="176"/>
      <c r="X1193" s="176"/>
      <c r="Y1193" s="176"/>
      <c r="Z1193" s="176"/>
      <c r="AA1193" s="176"/>
      <c r="AB1193" s="176"/>
      <c r="AC1193" s="176"/>
      <c r="AD1193" s="176"/>
      <c r="AE1193" s="176"/>
      <c r="AF1193" s="176"/>
      <c r="AG1193" s="176"/>
      <c r="AH1193" s="176"/>
      <c r="AI1193" s="176"/>
      <c r="AJ1193" s="176"/>
      <c r="AK1193" s="176"/>
      <c r="AL1193" s="176"/>
      <c r="AM1193" s="176"/>
      <c r="AN1193" s="176"/>
      <c r="AO1193" s="176"/>
      <c r="AP1193" s="176"/>
      <c r="AQ1193" s="176"/>
      <c r="AR1193" s="176"/>
      <c r="AS1193" s="176"/>
      <c r="AT1193" s="176"/>
      <c r="AU1193" s="176"/>
      <c r="AV1193" s="176"/>
      <c r="AW1193" s="176"/>
      <c r="AX1193" s="176"/>
      <c r="AY1193" s="176"/>
      <c r="AZ1193" s="176"/>
      <c r="BA1193" s="176"/>
      <c r="BB1193" s="176"/>
      <c r="BC1193" s="176"/>
      <c r="BD1193" s="176"/>
      <c r="BE1193" s="176"/>
      <c r="BF1193" s="176"/>
      <c r="BG1193" s="176"/>
      <c r="BH1193" s="176"/>
      <c r="BI1193" s="176"/>
      <c r="BJ1193" s="176"/>
    </row>
    <row r="1194" spans="2:62" x14ac:dyDescent="0.3">
      <c r="B1194" s="3"/>
      <c r="C1194" s="2"/>
      <c r="D1194" s="2"/>
      <c r="E1194" s="3"/>
      <c r="O1194" s="176"/>
      <c r="P1194" s="176"/>
      <c r="Q1194" s="176"/>
      <c r="R1194" s="176"/>
      <c r="S1194" s="176"/>
      <c r="T1194" s="176"/>
      <c r="U1194" s="176"/>
      <c r="V1194" s="176"/>
      <c r="W1194" s="176"/>
      <c r="X1194" s="176"/>
      <c r="Y1194" s="176"/>
      <c r="Z1194" s="176"/>
      <c r="AA1194" s="176"/>
      <c r="AB1194" s="176"/>
      <c r="AC1194" s="176"/>
      <c r="AD1194" s="176"/>
      <c r="AE1194" s="176"/>
      <c r="AF1194" s="176"/>
      <c r="AG1194" s="176"/>
      <c r="AH1194" s="176"/>
      <c r="AI1194" s="176"/>
      <c r="AJ1194" s="176"/>
      <c r="AK1194" s="176"/>
      <c r="AL1194" s="176"/>
      <c r="AM1194" s="176"/>
      <c r="AN1194" s="176"/>
      <c r="AO1194" s="176"/>
      <c r="AP1194" s="176"/>
      <c r="AQ1194" s="176"/>
      <c r="AR1194" s="176"/>
      <c r="AS1194" s="176"/>
      <c r="AT1194" s="176"/>
      <c r="AU1194" s="176"/>
      <c r="AV1194" s="176"/>
      <c r="AW1194" s="176"/>
      <c r="AX1194" s="176"/>
      <c r="AY1194" s="176"/>
      <c r="AZ1194" s="176"/>
      <c r="BA1194" s="176"/>
      <c r="BB1194" s="176"/>
      <c r="BC1194" s="176"/>
      <c r="BD1194" s="176"/>
      <c r="BE1194" s="176"/>
      <c r="BF1194" s="176"/>
      <c r="BG1194" s="176"/>
      <c r="BH1194" s="176"/>
      <c r="BI1194" s="176"/>
      <c r="BJ1194" s="176"/>
    </row>
    <row r="1195" spans="2:62" x14ac:dyDescent="0.3">
      <c r="B1195" s="3"/>
      <c r="C1195" s="2"/>
      <c r="D1195" s="2"/>
      <c r="E1195" s="3"/>
      <c r="O1195" s="176"/>
      <c r="P1195" s="176"/>
      <c r="Q1195" s="176"/>
      <c r="R1195" s="176"/>
      <c r="S1195" s="176"/>
      <c r="T1195" s="176"/>
      <c r="U1195" s="176"/>
      <c r="V1195" s="176"/>
      <c r="W1195" s="176"/>
      <c r="X1195" s="176"/>
      <c r="Y1195" s="176"/>
      <c r="Z1195" s="176"/>
      <c r="AA1195" s="176"/>
      <c r="AB1195" s="176"/>
      <c r="AC1195" s="176"/>
      <c r="AD1195" s="176"/>
      <c r="AE1195" s="176"/>
      <c r="AF1195" s="176"/>
      <c r="AG1195" s="176"/>
      <c r="AH1195" s="176"/>
      <c r="AI1195" s="176"/>
      <c r="AJ1195" s="176"/>
      <c r="AK1195" s="176"/>
      <c r="AL1195" s="176"/>
      <c r="AM1195" s="176"/>
      <c r="AN1195" s="176"/>
      <c r="AO1195" s="176"/>
      <c r="AP1195" s="176"/>
      <c r="AQ1195" s="176"/>
      <c r="AR1195" s="176"/>
      <c r="AS1195" s="176"/>
      <c r="AT1195" s="176"/>
      <c r="AU1195" s="176"/>
      <c r="AV1195" s="176"/>
      <c r="AW1195" s="176"/>
      <c r="AX1195" s="176"/>
      <c r="AY1195" s="176"/>
      <c r="AZ1195" s="176"/>
      <c r="BA1195" s="176"/>
      <c r="BB1195" s="176"/>
      <c r="BC1195" s="176"/>
      <c r="BD1195" s="176"/>
      <c r="BE1195" s="176"/>
      <c r="BF1195" s="176"/>
      <c r="BG1195" s="176"/>
      <c r="BH1195" s="176"/>
      <c r="BI1195" s="176"/>
      <c r="BJ1195" s="176"/>
    </row>
    <row r="1196" spans="2:62" x14ac:dyDescent="0.3">
      <c r="B1196" s="3"/>
      <c r="C1196" s="2"/>
      <c r="D1196" s="2"/>
      <c r="E1196" s="3"/>
      <c r="O1196" s="176"/>
      <c r="P1196" s="176"/>
      <c r="Q1196" s="176"/>
      <c r="R1196" s="176"/>
      <c r="S1196" s="176"/>
      <c r="T1196" s="176"/>
      <c r="U1196" s="176"/>
      <c r="V1196" s="176"/>
      <c r="W1196" s="176"/>
      <c r="X1196" s="176"/>
      <c r="Y1196" s="176"/>
      <c r="Z1196" s="176"/>
      <c r="AA1196" s="176"/>
      <c r="AB1196" s="176"/>
      <c r="AC1196" s="176"/>
      <c r="AD1196" s="176"/>
      <c r="AE1196" s="176"/>
      <c r="AF1196" s="176"/>
      <c r="AG1196" s="176"/>
      <c r="AH1196" s="176"/>
      <c r="AI1196" s="176"/>
      <c r="AJ1196" s="176"/>
      <c r="AK1196" s="176"/>
      <c r="AL1196" s="176"/>
      <c r="AM1196" s="176"/>
      <c r="AN1196" s="176"/>
      <c r="AO1196" s="176"/>
      <c r="AP1196" s="176"/>
      <c r="AQ1196" s="176"/>
      <c r="AR1196" s="176"/>
      <c r="AS1196" s="176"/>
      <c r="AT1196" s="176"/>
      <c r="AU1196" s="176"/>
      <c r="AV1196" s="176"/>
      <c r="AW1196" s="176"/>
      <c r="AX1196" s="176"/>
      <c r="AY1196" s="176"/>
      <c r="AZ1196" s="176"/>
      <c r="BA1196" s="176"/>
      <c r="BB1196" s="176"/>
      <c r="BC1196" s="176"/>
      <c r="BD1196" s="176"/>
      <c r="BE1196" s="176"/>
      <c r="BF1196" s="176"/>
      <c r="BG1196" s="176"/>
      <c r="BH1196" s="176"/>
      <c r="BI1196" s="176"/>
      <c r="BJ1196" s="176"/>
    </row>
    <row r="1197" spans="2:62" x14ac:dyDescent="0.3">
      <c r="B1197" s="3"/>
      <c r="C1197" s="2"/>
      <c r="D1197" s="2"/>
      <c r="E1197" s="3"/>
      <c r="O1197" s="176"/>
      <c r="P1197" s="176"/>
      <c r="Q1197" s="176"/>
      <c r="R1197" s="176"/>
      <c r="S1197" s="176"/>
      <c r="T1197" s="176"/>
      <c r="U1197" s="176"/>
      <c r="V1197" s="176"/>
      <c r="W1197" s="176"/>
      <c r="X1197" s="176"/>
      <c r="Y1197" s="176"/>
      <c r="Z1197" s="176"/>
      <c r="AA1197" s="176"/>
      <c r="AB1197" s="176"/>
      <c r="AC1197" s="176"/>
      <c r="AD1197" s="176"/>
      <c r="AE1197" s="176"/>
      <c r="AF1197" s="176"/>
      <c r="AG1197" s="176"/>
      <c r="AH1197" s="176"/>
      <c r="AI1197" s="176"/>
      <c r="AJ1197" s="176"/>
      <c r="AK1197" s="176"/>
      <c r="AL1197" s="176"/>
      <c r="AM1197" s="176"/>
      <c r="AN1197" s="176"/>
      <c r="AO1197" s="176"/>
      <c r="AP1197" s="176"/>
      <c r="AQ1197" s="176"/>
      <c r="AR1197" s="176"/>
      <c r="AS1197" s="176"/>
      <c r="AT1197" s="176"/>
      <c r="AU1197" s="176"/>
      <c r="AV1197" s="176"/>
      <c r="AW1197" s="176"/>
      <c r="AX1197" s="176"/>
      <c r="AY1197" s="176"/>
      <c r="AZ1197" s="176"/>
      <c r="BA1197" s="176"/>
      <c r="BB1197" s="176"/>
      <c r="BC1197" s="176"/>
      <c r="BD1197" s="176"/>
      <c r="BE1197" s="176"/>
      <c r="BF1197" s="176"/>
      <c r="BG1197" s="176"/>
      <c r="BH1197" s="176"/>
      <c r="BI1197" s="176"/>
      <c r="BJ1197" s="176"/>
    </row>
    <row r="1198" spans="2:62" x14ac:dyDescent="0.3">
      <c r="B1198" s="3"/>
      <c r="C1198" s="2"/>
      <c r="D1198" s="2"/>
      <c r="E1198" s="3"/>
      <c r="O1198" s="176"/>
      <c r="P1198" s="176"/>
      <c r="Q1198" s="176"/>
      <c r="R1198" s="176"/>
      <c r="S1198" s="176"/>
      <c r="T1198" s="176"/>
      <c r="U1198" s="176"/>
      <c r="V1198" s="176"/>
      <c r="W1198" s="176"/>
      <c r="X1198" s="176"/>
      <c r="Y1198" s="176"/>
      <c r="Z1198" s="176"/>
      <c r="AA1198" s="176"/>
      <c r="AB1198" s="176"/>
      <c r="AC1198" s="176"/>
      <c r="AD1198" s="176"/>
      <c r="AE1198" s="176"/>
      <c r="AF1198" s="176"/>
      <c r="AG1198" s="176"/>
      <c r="AH1198" s="176"/>
      <c r="AI1198" s="176"/>
      <c r="AJ1198" s="176"/>
      <c r="AK1198" s="176"/>
      <c r="AL1198" s="176"/>
      <c r="AM1198" s="176"/>
      <c r="AN1198" s="176"/>
      <c r="AO1198" s="176"/>
      <c r="AP1198" s="176"/>
      <c r="AQ1198" s="176"/>
      <c r="AR1198" s="176"/>
      <c r="AS1198" s="176"/>
      <c r="AT1198" s="176"/>
      <c r="AU1198" s="176"/>
      <c r="AV1198" s="176"/>
      <c r="AW1198" s="176"/>
      <c r="AX1198" s="176"/>
      <c r="AY1198" s="176"/>
      <c r="AZ1198" s="176"/>
      <c r="BA1198" s="176"/>
      <c r="BB1198" s="176"/>
      <c r="BC1198" s="176"/>
      <c r="BD1198" s="176"/>
      <c r="BE1198" s="176"/>
      <c r="BF1198" s="176"/>
      <c r="BG1198" s="176"/>
      <c r="BH1198" s="176"/>
      <c r="BI1198" s="176"/>
      <c r="BJ1198" s="176"/>
    </row>
    <row r="1199" spans="2:62" x14ac:dyDescent="0.3">
      <c r="B1199" s="3"/>
      <c r="C1199" s="2"/>
      <c r="D1199" s="2"/>
      <c r="E1199" s="3"/>
      <c r="O1199" s="176"/>
      <c r="P1199" s="176"/>
      <c r="Q1199" s="176"/>
      <c r="R1199" s="176"/>
      <c r="S1199" s="176"/>
      <c r="T1199" s="176"/>
      <c r="U1199" s="176"/>
      <c r="V1199" s="176"/>
      <c r="W1199" s="176"/>
      <c r="X1199" s="176"/>
      <c r="Y1199" s="176"/>
      <c r="Z1199" s="176"/>
      <c r="AA1199" s="176"/>
      <c r="AB1199" s="176"/>
      <c r="AC1199" s="176"/>
      <c r="AD1199" s="176"/>
      <c r="AE1199" s="176"/>
      <c r="AF1199" s="176"/>
      <c r="AG1199" s="176"/>
      <c r="AH1199" s="176"/>
      <c r="AI1199" s="176"/>
      <c r="AJ1199" s="176"/>
      <c r="AK1199" s="176"/>
      <c r="AL1199" s="176"/>
      <c r="AM1199" s="176"/>
      <c r="AN1199" s="176"/>
      <c r="AO1199" s="176"/>
      <c r="AP1199" s="176"/>
      <c r="AQ1199" s="176"/>
      <c r="AR1199" s="176"/>
      <c r="AS1199" s="176"/>
      <c r="AT1199" s="176"/>
      <c r="AU1199" s="176"/>
      <c r="AV1199" s="176"/>
      <c r="AW1199" s="176"/>
      <c r="AX1199" s="176"/>
      <c r="AY1199" s="176"/>
      <c r="AZ1199" s="176"/>
      <c r="BA1199" s="176"/>
      <c r="BB1199" s="176"/>
      <c r="BC1199" s="176"/>
      <c r="BD1199" s="176"/>
      <c r="BE1199" s="176"/>
      <c r="BF1199" s="176"/>
      <c r="BG1199" s="176"/>
      <c r="BH1199" s="176"/>
      <c r="BI1199" s="176"/>
      <c r="BJ1199" s="176"/>
    </row>
    <row r="1200" spans="2:62" x14ac:dyDescent="0.3">
      <c r="B1200" s="3"/>
      <c r="C1200" s="2"/>
      <c r="D1200" s="2"/>
      <c r="E1200" s="3"/>
      <c r="O1200" s="176"/>
      <c r="P1200" s="176"/>
      <c r="Q1200" s="176"/>
      <c r="R1200" s="176"/>
      <c r="S1200" s="176"/>
      <c r="T1200" s="176"/>
      <c r="U1200" s="176"/>
      <c r="V1200" s="176"/>
      <c r="W1200" s="176"/>
      <c r="X1200" s="176"/>
      <c r="Y1200" s="176"/>
      <c r="Z1200" s="176"/>
      <c r="AA1200" s="176"/>
      <c r="AB1200" s="176"/>
      <c r="AC1200" s="176"/>
      <c r="AD1200" s="176"/>
      <c r="AE1200" s="176"/>
      <c r="AF1200" s="176"/>
      <c r="AG1200" s="176"/>
      <c r="AH1200" s="176"/>
      <c r="AI1200" s="176"/>
      <c r="AJ1200" s="176"/>
      <c r="AK1200" s="176"/>
      <c r="AL1200" s="176"/>
      <c r="AM1200" s="176"/>
      <c r="AN1200" s="176"/>
      <c r="AO1200" s="176"/>
      <c r="AP1200" s="176"/>
      <c r="AQ1200" s="176"/>
      <c r="AR1200" s="176"/>
      <c r="AS1200" s="176"/>
      <c r="AT1200" s="176"/>
      <c r="AU1200" s="176"/>
      <c r="AV1200" s="176"/>
      <c r="AW1200" s="176"/>
      <c r="AX1200" s="176"/>
      <c r="AY1200" s="176"/>
      <c r="AZ1200" s="176"/>
      <c r="BA1200" s="176"/>
      <c r="BB1200" s="176"/>
      <c r="BC1200" s="176"/>
      <c r="BD1200" s="176"/>
      <c r="BE1200" s="176"/>
      <c r="BF1200" s="176"/>
      <c r="BG1200" s="176"/>
      <c r="BH1200" s="176"/>
      <c r="BI1200" s="176"/>
      <c r="BJ1200" s="176"/>
    </row>
    <row r="1201" spans="2:62" x14ac:dyDescent="0.3">
      <c r="B1201" s="3"/>
      <c r="C1201" s="2"/>
      <c r="D1201" s="2"/>
      <c r="E1201" s="3"/>
      <c r="O1201" s="176"/>
      <c r="P1201" s="176"/>
      <c r="Q1201" s="176"/>
      <c r="R1201" s="176"/>
      <c r="S1201" s="176"/>
      <c r="T1201" s="176"/>
      <c r="U1201" s="176"/>
      <c r="V1201" s="176"/>
      <c r="W1201" s="176"/>
      <c r="X1201" s="176"/>
      <c r="Y1201" s="176"/>
      <c r="Z1201" s="176"/>
      <c r="AA1201" s="176"/>
      <c r="AB1201" s="176"/>
      <c r="AC1201" s="176"/>
      <c r="AD1201" s="176"/>
      <c r="AE1201" s="176"/>
      <c r="AF1201" s="176"/>
      <c r="AG1201" s="176"/>
      <c r="AH1201" s="176"/>
      <c r="AI1201" s="176"/>
      <c r="AJ1201" s="176"/>
      <c r="AK1201" s="176"/>
      <c r="AL1201" s="176"/>
      <c r="AM1201" s="176"/>
      <c r="AN1201" s="176"/>
      <c r="AO1201" s="176"/>
      <c r="AP1201" s="176"/>
      <c r="AQ1201" s="176"/>
      <c r="AR1201" s="176"/>
      <c r="AS1201" s="176"/>
      <c r="AT1201" s="176"/>
      <c r="AU1201" s="176"/>
      <c r="AV1201" s="176"/>
      <c r="AW1201" s="176"/>
      <c r="AX1201" s="176"/>
      <c r="AY1201" s="176"/>
      <c r="AZ1201" s="176"/>
      <c r="BA1201" s="176"/>
      <c r="BB1201" s="176"/>
      <c r="BC1201" s="176"/>
      <c r="BD1201" s="176"/>
      <c r="BE1201" s="176"/>
      <c r="BF1201" s="176"/>
      <c r="BG1201" s="176"/>
      <c r="BH1201" s="176"/>
      <c r="BI1201" s="176"/>
      <c r="BJ1201" s="176"/>
    </row>
    <row r="1202" spans="2:62" x14ac:dyDescent="0.3">
      <c r="B1202" s="3"/>
      <c r="C1202" s="2"/>
      <c r="D1202" s="2"/>
      <c r="E1202" s="3"/>
      <c r="O1202" s="176"/>
      <c r="P1202" s="176"/>
      <c r="Q1202" s="176"/>
      <c r="R1202" s="176"/>
      <c r="S1202" s="176"/>
      <c r="T1202" s="176"/>
      <c r="U1202" s="176"/>
      <c r="V1202" s="176"/>
      <c r="W1202" s="176"/>
      <c r="X1202" s="176"/>
      <c r="Y1202" s="176"/>
      <c r="Z1202" s="176"/>
      <c r="AA1202" s="176"/>
      <c r="AB1202" s="176"/>
      <c r="AC1202" s="176"/>
      <c r="AD1202" s="176"/>
      <c r="AE1202" s="176"/>
      <c r="AF1202" s="176"/>
      <c r="AG1202" s="176"/>
      <c r="AH1202" s="176"/>
      <c r="AI1202" s="176"/>
      <c r="AJ1202" s="176"/>
      <c r="AK1202" s="176"/>
      <c r="AL1202" s="176"/>
      <c r="AM1202" s="176"/>
      <c r="AN1202" s="176"/>
      <c r="AO1202" s="176"/>
      <c r="AP1202" s="176"/>
      <c r="AQ1202" s="176"/>
      <c r="AR1202" s="176"/>
      <c r="AS1202" s="176"/>
      <c r="AT1202" s="176"/>
      <c r="AU1202" s="176"/>
      <c r="AV1202" s="176"/>
      <c r="AW1202" s="176"/>
      <c r="AX1202" s="176"/>
      <c r="AY1202" s="176"/>
      <c r="AZ1202" s="176"/>
      <c r="BA1202" s="176"/>
      <c r="BB1202" s="176"/>
      <c r="BC1202" s="176"/>
      <c r="BD1202" s="176"/>
      <c r="BE1202" s="176"/>
      <c r="BF1202" s="176"/>
      <c r="BG1202" s="176"/>
      <c r="BH1202" s="176"/>
      <c r="BI1202" s="176"/>
      <c r="BJ1202" s="176"/>
    </row>
    <row r="1203" spans="2:62" x14ac:dyDescent="0.3">
      <c r="B1203" s="3"/>
      <c r="C1203" s="2"/>
      <c r="D1203" s="2"/>
      <c r="E1203" s="3"/>
      <c r="O1203" s="176"/>
      <c r="P1203" s="176"/>
      <c r="Q1203" s="176"/>
      <c r="R1203" s="176"/>
      <c r="S1203" s="176"/>
      <c r="T1203" s="176"/>
      <c r="U1203" s="176"/>
      <c r="V1203" s="176"/>
      <c r="W1203" s="176"/>
      <c r="X1203" s="176"/>
      <c r="Y1203" s="176"/>
      <c r="Z1203" s="176"/>
      <c r="AA1203" s="176"/>
      <c r="AB1203" s="176"/>
      <c r="AC1203" s="176"/>
      <c r="AD1203" s="176"/>
      <c r="AE1203" s="176"/>
      <c r="AF1203" s="176"/>
      <c r="AG1203" s="176"/>
      <c r="AH1203" s="176"/>
      <c r="AI1203" s="176"/>
      <c r="AJ1203" s="176"/>
      <c r="AK1203" s="176"/>
      <c r="AL1203" s="176"/>
      <c r="AM1203" s="176"/>
      <c r="AN1203" s="176"/>
      <c r="AO1203" s="176"/>
      <c r="AP1203" s="176"/>
      <c r="AQ1203" s="176"/>
      <c r="AR1203" s="176"/>
      <c r="AS1203" s="176"/>
      <c r="AT1203" s="176"/>
      <c r="AU1203" s="176"/>
      <c r="AV1203" s="176"/>
      <c r="AW1203" s="176"/>
      <c r="AX1203" s="176"/>
      <c r="AY1203" s="176"/>
      <c r="AZ1203" s="176"/>
      <c r="BA1203" s="176"/>
      <c r="BB1203" s="176"/>
      <c r="BC1203" s="176"/>
      <c r="BD1203" s="176"/>
      <c r="BE1203" s="176"/>
      <c r="BF1203" s="176"/>
      <c r="BG1203" s="176"/>
      <c r="BH1203" s="176"/>
      <c r="BI1203" s="176"/>
      <c r="BJ1203" s="176"/>
    </row>
    <row r="1204" spans="2:62" x14ac:dyDescent="0.3">
      <c r="B1204" s="3"/>
      <c r="C1204" s="2"/>
      <c r="D1204" s="2"/>
      <c r="E1204" s="3"/>
      <c r="O1204" s="176"/>
      <c r="P1204" s="176"/>
      <c r="Q1204" s="176"/>
      <c r="R1204" s="176"/>
      <c r="S1204" s="176"/>
      <c r="T1204" s="176"/>
      <c r="U1204" s="176"/>
      <c r="V1204" s="176"/>
      <c r="W1204" s="176"/>
      <c r="X1204" s="176"/>
      <c r="Y1204" s="176"/>
      <c r="Z1204" s="176"/>
      <c r="AA1204" s="176"/>
      <c r="AB1204" s="176"/>
      <c r="AC1204" s="176"/>
      <c r="AD1204" s="176"/>
      <c r="AE1204" s="176"/>
      <c r="AF1204" s="176"/>
      <c r="AG1204" s="176"/>
      <c r="AH1204" s="176"/>
      <c r="AI1204" s="176"/>
      <c r="AJ1204" s="176"/>
      <c r="AK1204" s="176"/>
      <c r="AL1204" s="176"/>
      <c r="AM1204" s="176"/>
      <c r="AN1204" s="176"/>
      <c r="AO1204" s="176"/>
      <c r="AP1204" s="176"/>
      <c r="AQ1204" s="176"/>
      <c r="AR1204" s="176"/>
      <c r="AS1204" s="176"/>
      <c r="AT1204" s="176"/>
      <c r="AU1204" s="176"/>
      <c r="AV1204" s="176"/>
      <c r="AW1204" s="176"/>
      <c r="AX1204" s="176"/>
      <c r="AY1204" s="176"/>
      <c r="AZ1204" s="176"/>
      <c r="BA1204" s="176"/>
      <c r="BB1204" s="176"/>
      <c r="BC1204" s="176"/>
      <c r="BD1204" s="176"/>
      <c r="BE1204" s="176"/>
      <c r="BF1204" s="176"/>
      <c r="BG1204" s="176"/>
      <c r="BH1204" s="176"/>
      <c r="BI1204" s="176"/>
      <c r="BJ1204" s="176"/>
    </row>
    <row r="1205" spans="2:62" x14ac:dyDescent="0.3">
      <c r="B1205" s="3"/>
      <c r="C1205" s="2"/>
      <c r="D1205" s="2"/>
      <c r="E1205" s="3"/>
      <c r="O1205" s="176"/>
      <c r="P1205" s="176"/>
      <c r="Q1205" s="176"/>
      <c r="R1205" s="176"/>
      <c r="S1205" s="176"/>
      <c r="T1205" s="176"/>
      <c r="U1205" s="176"/>
      <c r="V1205" s="176"/>
      <c r="W1205" s="176"/>
      <c r="X1205" s="176"/>
      <c r="Y1205" s="176"/>
      <c r="Z1205" s="176"/>
      <c r="AA1205" s="176"/>
      <c r="AB1205" s="176"/>
      <c r="AC1205" s="176"/>
      <c r="AD1205" s="176"/>
      <c r="AE1205" s="176"/>
      <c r="AF1205" s="176"/>
      <c r="AG1205" s="176"/>
      <c r="AH1205" s="176"/>
      <c r="AI1205" s="176"/>
      <c r="AJ1205" s="176"/>
      <c r="AK1205" s="176"/>
      <c r="AL1205" s="176"/>
      <c r="AM1205" s="176"/>
      <c r="AN1205" s="176"/>
      <c r="AO1205" s="176"/>
      <c r="AP1205" s="176"/>
      <c r="AQ1205" s="176"/>
      <c r="AR1205" s="176"/>
      <c r="AS1205" s="176"/>
      <c r="AT1205" s="176"/>
      <c r="AU1205" s="176"/>
      <c r="AV1205" s="176"/>
      <c r="AW1205" s="176"/>
      <c r="AX1205" s="176"/>
      <c r="AY1205" s="176"/>
      <c r="AZ1205" s="176"/>
      <c r="BA1205" s="176"/>
      <c r="BB1205" s="176"/>
      <c r="BC1205" s="176"/>
      <c r="BD1205" s="176"/>
      <c r="BE1205" s="176"/>
      <c r="BF1205" s="176"/>
      <c r="BG1205" s="176"/>
      <c r="BH1205" s="176"/>
      <c r="BI1205" s="176"/>
      <c r="BJ1205" s="176"/>
    </row>
    <row r="1206" spans="2:62" x14ac:dyDescent="0.3">
      <c r="B1206" s="3"/>
      <c r="C1206" s="2"/>
      <c r="D1206" s="2"/>
      <c r="E1206" s="3"/>
      <c r="O1206" s="176"/>
      <c r="P1206" s="176"/>
      <c r="Q1206" s="176"/>
      <c r="R1206" s="176"/>
      <c r="S1206" s="176"/>
      <c r="T1206" s="176"/>
      <c r="U1206" s="176"/>
      <c r="V1206" s="176"/>
      <c r="W1206" s="176"/>
      <c r="X1206" s="176"/>
      <c r="Y1206" s="176"/>
      <c r="Z1206" s="176"/>
      <c r="AA1206" s="176"/>
      <c r="AB1206" s="176"/>
      <c r="AC1206" s="176"/>
      <c r="AD1206" s="176"/>
      <c r="AE1206" s="176"/>
      <c r="AF1206" s="176"/>
      <c r="AG1206" s="176"/>
      <c r="AH1206" s="176"/>
      <c r="AI1206" s="176"/>
      <c r="AJ1206" s="176"/>
      <c r="AK1206" s="176"/>
      <c r="AL1206" s="176"/>
      <c r="AM1206" s="176"/>
      <c r="AN1206" s="176"/>
      <c r="AO1206" s="176"/>
      <c r="AP1206" s="176"/>
      <c r="AQ1206" s="176"/>
      <c r="AR1206" s="176"/>
      <c r="AS1206" s="176"/>
      <c r="AT1206" s="176"/>
      <c r="AU1206" s="176"/>
      <c r="AV1206" s="176"/>
      <c r="AW1206" s="176"/>
      <c r="AX1206" s="176"/>
      <c r="AY1206" s="176"/>
      <c r="AZ1206" s="176"/>
      <c r="BA1206" s="176"/>
      <c r="BB1206" s="176"/>
      <c r="BC1206" s="176"/>
      <c r="BD1206" s="176"/>
      <c r="BE1206" s="176"/>
      <c r="BF1206" s="176"/>
      <c r="BG1206" s="176"/>
      <c r="BH1206" s="176"/>
      <c r="BI1206" s="176"/>
      <c r="BJ1206" s="176"/>
    </row>
    <row r="1207" spans="2:62" x14ac:dyDescent="0.3">
      <c r="B1207" s="3"/>
      <c r="C1207" s="2"/>
      <c r="D1207" s="2"/>
      <c r="E1207" s="3"/>
      <c r="O1207" s="176"/>
      <c r="P1207" s="176"/>
      <c r="Q1207" s="176"/>
      <c r="R1207" s="176"/>
      <c r="S1207" s="176"/>
      <c r="T1207" s="176"/>
      <c r="U1207" s="176"/>
      <c r="V1207" s="176"/>
      <c r="W1207" s="176"/>
      <c r="X1207" s="176"/>
      <c r="Y1207" s="176"/>
      <c r="Z1207" s="176"/>
      <c r="AA1207" s="176"/>
      <c r="AB1207" s="176"/>
      <c r="AC1207" s="176"/>
      <c r="AD1207" s="176"/>
      <c r="AE1207" s="176"/>
      <c r="AF1207" s="176"/>
      <c r="AG1207" s="176"/>
      <c r="AH1207" s="176"/>
      <c r="AI1207" s="176"/>
      <c r="AJ1207" s="176"/>
      <c r="AK1207" s="176"/>
      <c r="AL1207" s="176"/>
      <c r="AM1207" s="176"/>
      <c r="AN1207" s="176"/>
      <c r="AO1207" s="176"/>
      <c r="AP1207" s="176"/>
      <c r="AQ1207" s="176"/>
      <c r="AR1207" s="176"/>
      <c r="AS1207" s="176"/>
      <c r="AT1207" s="176"/>
      <c r="AU1207" s="176"/>
      <c r="AV1207" s="176"/>
      <c r="AW1207" s="176"/>
      <c r="AX1207" s="176"/>
      <c r="AY1207" s="176"/>
      <c r="AZ1207" s="176"/>
      <c r="BA1207" s="176"/>
      <c r="BB1207" s="176"/>
      <c r="BC1207" s="176"/>
      <c r="BD1207" s="176"/>
      <c r="BE1207" s="176"/>
      <c r="BF1207" s="176"/>
      <c r="BG1207" s="176"/>
      <c r="BH1207" s="176"/>
      <c r="BI1207" s="176"/>
      <c r="BJ1207" s="176"/>
    </row>
    <row r="1208" spans="2:62" x14ac:dyDescent="0.3">
      <c r="B1208" s="3"/>
      <c r="C1208" s="2"/>
      <c r="D1208" s="2"/>
      <c r="E1208" s="3"/>
      <c r="O1208" s="176"/>
      <c r="P1208" s="176"/>
      <c r="Q1208" s="176"/>
      <c r="R1208" s="176"/>
      <c r="S1208" s="176"/>
      <c r="T1208" s="176"/>
      <c r="U1208" s="176"/>
      <c r="V1208" s="176"/>
      <c r="W1208" s="176"/>
      <c r="X1208" s="176"/>
      <c r="Y1208" s="176"/>
      <c r="Z1208" s="176"/>
      <c r="AA1208" s="176"/>
      <c r="AB1208" s="176"/>
      <c r="AC1208" s="176"/>
      <c r="AD1208" s="176"/>
      <c r="AE1208" s="176"/>
      <c r="AF1208" s="176"/>
      <c r="AG1208" s="176"/>
      <c r="AH1208" s="176"/>
      <c r="AI1208" s="176"/>
      <c r="AJ1208" s="176"/>
      <c r="AK1208" s="176"/>
      <c r="AL1208" s="176"/>
      <c r="AM1208" s="176"/>
      <c r="AN1208" s="176"/>
      <c r="AO1208" s="176"/>
      <c r="AP1208" s="176"/>
      <c r="AQ1208" s="176"/>
      <c r="AR1208" s="176"/>
      <c r="AS1208" s="176"/>
      <c r="AT1208" s="176"/>
      <c r="AU1208" s="176"/>
      <c r="AV1208" s="176"/>
      <c r="AW1208" s="176"/>
      <c r="AX1208" s="176"/>
      <c r="AY1208" s="176"/>
      <c r="AZ1208" s="176"/>
      <c r="BA1208" s="176"/>
      <c r="BB1208" s="176"/>
      <c r="BC1208" s="176"/>
      <c r="BD1208" s="176"/>
      <c r="BE1208" s="176"/>
      <c r="BF1208" s="176"/>
      <c r="BG1208" s="176"/>
      <c r="BH1208" s="176"/>
      <c r="BI1208" s="176"/>
      <c r="BJ1208" s="176"/>
    </row>
    <row r="1209" spans="2:62" x14ac:dyDescent="0.3">
      <c r="B1209" s="3"/>
      <c r="C1209" s="2"/>
      <c r="D1209" s="2"/>
      <c r="E1209" s="3"/>
      <c r="O1209" s="176"/>
      <c r="P1209" s="176"/>
      <c r="Q1209" s="176"/>
      <c r="R1209" s="176"/>
      <c r="S1209" s="176"/>
      <c r="T1209" s="176"/>
      <c r="U1209" s="176"/>
      <c r="V1209" s="176"/>
      <c r="W1209" s="176"/>
      <c r="X1209" s="176"/>
      <c r="Y1209" s="176"/>
      <c r="Z1209" s="176"/>
      <c r="AA1209" s="176"/>
      <c r="AB1209" s="176"/>
      <c r="AC1209" s="176"/>
      <c r="AD1209" s="176"/>
      <c r="AE1209" s="176"/>
      <c r="AF1209" s="176"/>
      <c r="AG1209" s="176"/>
      <c r="AH1209" s="176"/>
      <c r="AI1209" s="176"/>
      <c r="AJ1209" s="176"/>
      <c r="AK1209" s="176"/>
      <c r="AL1209" s="176"/>
      <c r="AM1209" s="176"/>
      <c r="AN1209" s="176"/>
      <c r="AO1209" s="176"/>
      <c r="AP1209" s="176"/>
      <c r="AQ1209" s="176"/>
      <c r="AR1209" s="176"/>
      <c r="AS1209" s="176"/>
      <c r="AT1209" s="176"/>
      <c r="AU1209" s="176"/>
      <c r="AV1209" s="176"/>
      <c r="AW1209" s="176"/>
      <c r="AX1209" s="176"/>
      <c r="AY1209" s="176"/>
      <c r="AZ1209" s="176"/>
      <c r="BA1209" s="176"/>
      <c r="BB1209" s="176"/>
      <c r="BC1209" s="176"/>
      <c r="BD1209" s="176"/>
      <c r="BE1209" s="176"/>
      <c r="BF1209" s="176"/>
      <c r="BG1209" s="176"/>
      <c r="BH1209" s="176"/>
      <c r="BI1209" s="176"/>
      <c r="BJ1209" s="176"/>
    </row>
    <row r="1210" spans="2:62" x14ac:dyDescent="0.3">
      <c r="B1210" s="3"/>
      <c r="C1210" s="2"/>
      <c r="D1210" s="2"/>
      <c r="E1210" s="3"/>
      <c r="O1210" s="176"/>
      <c r="P1210" s="176"/>
      <c r="Q1210" s="176"/>
      <c r="R1210" s="176"/>
      <c r="S1210" s="176"/>
      <c r="T1210" s="176"/>
      <c r="U1210" s="176"/>
      <c r="V1210" s="176"/>
      <c r="W1210" s="176"/>
      <c r="X1210" s="176"/>
      <c r="Y1210" s="176"/>
      <c r="Z1210" s="176"/>
      <c r="AA1210" s="176"/>
      <c r="AB1210" s="176"/>
      <c r="AC1210" s="176"/>
      <c r="AD1210" s="176"/>
      <c r="AE1210" s="176"/>
      <c r="AF1210" s="176"/>
      <c r="AG1210" s="176"/>
      <c r="AH1210" s="176"/>
      <c r="AI1210" s="176"/>
      <c r="AJ1210" s="176"/>
      <c r="AK1210" s="176"/>
      <c r="AL1210" s="176"/>
      <c r="AM1210" s="176"/>
      <c r="AN1210" s="176"/>
      <c r="AO1210" s="176"/>
      <c r="AP1210" s="176"/>
      <c r="AQ1210" s="176"/>
      <c r="AR1210" s="176"/>
      <c r="AS1210" s="176"/>
      <c r="AT1210" s="176"/>
      <c r="AU1210" s="176"/>
      <c r="AV1210" s="176"/>
      <c r="AW1210" s="176"/>
      <c r="AX1210" s="176"/>
      <c r="AY1210" s="176"/>
      <c r="AZ1210" s="176"/>
      <c r="BA1210" s="176"/>
      <c r="BB1210" s="176"/>
      <c r="BC1210" s="176"/>
      <c r="BD1210" s="176"/>
      <c r="BE1210" s="176"/>
      <c r="BF1210" s="176"/>
      <c r="BG1210" s="176"/>
      <c r="BH1210" s="176"/>
      <c r="BI1210" s="176"/>
      <c r="BJ1210" s="176"/>
    </row>
    <row r="1211" spans="2:62" x14ac:dyDescent="0.3">
      <c r="B1211" s="3"/>
      <c r="C1211" s="2"/>
      <c r="D1211" s="2"/>
      <c r="E1211" s="3"/>
      <c r="O1211" s="176"/>
      <c r="P1211" s="176"/>
      <c r="Q1211" s="176"/>
      <c r="R1211" s="176"/>
      <c r="S1211" s="176"/>
      <c r="T1211" s="176"/>
      <c r="U1211" s="176"/>
      <c r="V1211" s="176"/>
      <c r="W1211" s="176"/>
      <c r="X1211" s="176"/>
      <c r="Y1211" s="176"/>
      <c r="Z1211" s="176"/>
      <c r="AA1211" s="176"/>
      <c r="AB1211" s="176"/>
      <c r="AC1211" s="176"/>
      <c r="AD1211" s="176"/>
      <c r="AE1211" s="176"/>
      <c r="AF1211" s="176"/>
      <c r="AG1211" s="176"/>
      <c r="AH1211" s="176"/>
      <c r="AI1211" s="176"/>
      <c r="AJ1211" s="176"/>
      <c r="AK1211" s="176"/>
      <c r="AL1211" s="176"/>
      <c r="AM1211" s="176"/>
      <c r="AN1211" s="176"/>
      <c r="AO1211" s="176"/>
      <c r="AP1211" s="176"/>
      <c r="AQ1211" s="176"/>
      <c r="AR1211" s="176"/>
      <c r="AS1211" s="176"/>
      <c r="AT1211" s="176"/>
      <c r="AU1211" s="176"/>
      <c r="AV1211" s="176"/>
      <c r="AW1211" s="176"/>
      <c r="AX1211" s="176"/>
      <c r="AY1211" s="176"/>
      <c r="AZ1211" s="176"/>
      <c r="BA1211" s="176"/>
      <c r="BB1211" s="176"/>
      <c r="BC1211" s="176"/>
      <c r="BD1211" s="176"/>
      <c r="BE1211" s="176"/>
      <c r="BF1211" s="176"/>
      <c r="BG1211" s="176"/>
      <c r="BH1211" s="176"/>
      <c r="BI1211" s="176"/>
      <c r="BJ1211" s="176"/>
    </row>
    <row r="1212" spans="2:62" x14ac:dyDescent="0.3">
      <c r="B1212" s="3"/>
      <c r="C1212" s="2"/>
      <c r="D1212" s="2"/>
      <c r="E1212" s="3"/>
      <c r="O1212" s="176"/>
      <c r="P1212" s="176"/>
      <c r="Q1212" s="176"/>
      <c r="R1212" s="176"/>
      <c r="S1212" s="176"/>
      <c r="T1212" s="176"/>
      <c r="U1212" s="176"/>
      <c r="V1212" s="176"/>
      <c r="W1212" s="176"/>
      <c r="X1212" s="176"/>
      <c r="Y1212" s="176"/>
      <c r="Z1212" s="176"/>
      <c r="AA1212" s="176"/>
      <c r="AB1212" s="176"/>
      <c r="AC1212" s="176"/>
      <c r="AD1212" s="176"/>
      <c r="AE1212" s="176"/>
      <c r="AF1212" s="176"/>
      <c r="AG1212" s="176"/>
      <c r="AH1212" s="176"/>
      <c r="AI1212" s="176"/>
      <c r="AJ1212" s="176"/>
      <c r="AK1212" s="176"/>
      <c r="AL1212" s="176"/>
      <c r="AM1212" s="176"/>
      <c r="AN1212" s="176"/>
      <c r="AO1212" s="176"/>
      <c r="AP1212" s="176"/>
      <c r="AQ1212" s="176"/>
      <c r="AR1212" s="176"/>
      <c r="AS1212" s="176"/>
      <c r="AT1212" s="176"/>
      <c r="AU1212" s="176"/>
      <c r="AV1212" s="176"/>
      <c r="AW1212" s="176"/>
      <c r="AX1212" s="176"/>
      <c r="AY1212" s="176"/>
      <c r="AZ1212" s="176"/>
      <c r="BA1212" s="176"/>
      <c r="BB1212" s="176"/>
      <c r="BC1212" s="176"/>
      <c r="BD1212" s="176"/>
      <c r="BE1212" s="176"/>
      <c r="BF1212" s="176"/>
      <c r="BG1212" s="176"/>
      <c r="BH1212" s="176"/>
      <c r="BI1212" s="176"/>
      <c r="BJ1212" s="176"/>
    </row>
    <row r="1213" spans="2:62" x14ac:dyDescent="0.3">
      <c r="B1213" s="3"/>
      <c r="C1213" s="2"/>
      <c r="D1213" s="2"/>
      <c r="E1213" s="3"/>
      <c r="O1213" s="176"/>
      <c r="P1213" s="176"/>
      <c r="Q1213" s="176"/>
      <c r="R1213" s="176"/>
      <c r="S1213" s="176"/>
      <c r="T1213" s="176"/>
      <c r="U1213" s="176"/>
      <c r="V1213" s="176"/>
      <c r="W1213" s="176"/>
      <c r="X1213" s="176"/>
      <c r="Y1213" s="176"/>
      <c r="Z1213" s="176"/>
      <c r="AA1213" s="176"/>
      <c r="AB1213" s="176"/>
      <c r="AC1213" s="176"/>
      <c r="AD1213" s="176"/>
      <c r="AE1213" s="176"/>
      <c r="AF1213" s="176"/>
      <c r="AG1213" s="176"/>
      <c r="AH1213" s="176"/>
      <c r="AI1213" s="176"/>
      <c r="AJ1213" s="176"/>
      <c r="AK1213" s="176"/>
      <c r="AL1213" s="176"/>
      <c r="AM1213" s="176"/>
      <c r="AN1213" s="176"/>
      <c r="AO1213" s="176"/>
      <c r="AP1213" s="176"/>
      <c r="AQ1213" s="176"/>
      <c r="AR1213" s="176"/>
      <c r="AS1213" s="176"/>
      <c r="AT1213" s="176"/>
      <c r="AU1213" s="176"/>
      <c r="AV1213" s="176"/>
      <c r="AW1213" s="176"/>
      <c r="AX1213" s="176"/>
      <c r="AY1213" s="176"/>
      <c r="AZ1213" s="176"/>
      <c r="BA1213" s="176"/>
      <c r="BB1213" s="176"/>
      <c r="BC1213" s="176"/>
      <c r="BD1213" s="176"/>
      <c r="BE1213" s="176"/>
      <c r="BF1213" s="176"/>
      <c r="BG1213" s="176"/>
      <c r="BH1213" s="176"/>
      <c r="BI1213" s="176"/>
      <c r="BJ1213" s="176"/>
    </row>
    <row r="1214" spans="2:62" x14ac:dyDescent="0.3">
      <c r="B1214" s="3"/>
      <c r="C1214" s="2"/>
      <c r="D1214" s="2"/>
      <c r="E1214" s="3"/>
      <c r="O1214" s="176"/>
      <c r="P1214" s="176"/>
      <c r="Q1214" s="176"/>
      <c r="R1214" s="176"/>
      <c r="S1214" s="176"/>
      <c r="T1214" s="176"/>
      <c r="U1214" s="176"/>
      <c r="V1214" s="176"/>
      <c r="W1214" s="176"/>
      <c r="X1214" s="176"/>
      <c r="Y1214" s="176"/>
      <c r="Z1214" s="176"/>
      <c r="AA1214" s="176"/>
      <c r="AB1214" s="176"/>
      <c r="AC1214" s="176"/>
      <c r="AD1214" s="176"/>
      <c r="AE1214" s="176"/>
      <c r="AF1214" s="176"/>
      <c r="AG1214" s="176"/>
      <c r="AH1214" s="176"/>
      <c r="AI1214" s="176"/>
      <c r="AJ1214" s="176"/>
      <c r="AK1214" s="176"/>
      <c r="AL1214" s="176"/>
      <c r="AM1214" s="176"/>
      <c r="AN1214" s="176"/>
      <c r="AO1214" s="176"/>
      <c r="AP1214" s="176"/>
      <c r="AQ1214" s="176"/>
      <c r="AR1214" s="176"/>
      <c r="AS1214" s="176"/>
      <c r="AT1214" s="176"/>
      <c r="AU1214" s="176"/>
      <c r="AV1214" s="176"/>
      <c r="AW1214" s="176"/>
      <c r="AX1214" s="176"/>
      <c r="AY1214" s="176"/>
      <c r="AZ1214" s="176"/>
      <c r="BA1214" s="176"/>
      <c r="BB1214" s="176"/>
      <c r="BC1214" s="176"/>
      <c r="BD1214" s="176"/>
      <c r="BE1214" s="176"/>
      <c r="BF1214" s="176"/>
      <c r="BG1214" s="176"/>
      <c r="BH1214" s="176"/>
      <c r="BI1214" s="176"/>
      <c r="BJ1214" s="176"/>
    </row>
    <row r="1215" spans="2:62" x14ac:dyDescent="0.3">
      <c r="B1215" s="3"/>
      <c r="C1215" s="2"/>
      <c r="D1215" s="2"/>
      <c r="E1215" s="3"/>
      <c r="O1215" s="176"/>
      <c r="P1215" s="176"/>
      <c r="Q1215" s="176"/>
      <c r="R1215" s="176"/>
      <c r="S1215" s="176"/>
      <c r="T1215" s="176"/>
      <c r="U1215" s="176"/>
      <c r="V1215" s="176"/>
      <c r="W1215" s="176"/>
      <c r="X1215" s="176"/>
      <c r="Y1215" s="176"/>
      <c r="Z1215" s="176"/>
      <c r="AA1215" s="176"/>
      <c r="AB1215" s="176"/>
      <c r="AC1215" s="176"/>
      <c r="AD1215" s="176"/>
      <c r="AE1215" s="176"/>
      <c r="AF1215" s="176"/>
      <c r="AG1215" s="176"/>
      <c r="AH1215" s="176"/>
      <c r="AI1215" s="176"/>
      <c r="AJ1215" s="176"/>
      <c r="AK1215" s="176"/>
      <c r="AL1215" s="176"/>
      <c r="AM1215" s="176"/>
      <c r="AN1215" s="176"/>
      <c r="AO1215" s="176"/>
      <c r="AP1215" s="176"/>
      <c r="AQ1215" s="176"/>
      <c r="AR1215" s="176"/>
      <c r="AS1215" s="176"/>
      <c r="AT1215" s="176"/>
      <c r="AU1215" s="176"/>
      <c r="AV1215" s="176"/>
      <c r="AW1215" s="176"/>
      <c r="AX1215" s="176"/>
      <c r="AY1215" s="176"/>
      <c r="AZ1215" s="176"/>
      <c r="BA1215" s="176"/>
      <c r="BB1215" s="176"/>
      <c r="BC1215" s="176"/>
      <c r="BD1215" s="176"/>
      <c r="BE1215" s="176"/>
      <c r="BF1215" s="176"/>
      <c r="BG1215" s="176"/>
      <c r="BH1215" s="176"/>
      <c r="BI1215" s="176"/>
      <c r="BJ1215" s="176"/>
    </row>
    <row r="1216" spans="2:62" x14ac:dyDescent="0.3">
      <c r="B1216" s="3"/>
      <c r="C1216" s="2"/>
      <c r="D1216" s="2"/>
      <c r="E1216" s="3"/>
      <c r="O1216" s="176"/>
      <c r="P1216" s="176"/>
      <c r="Q1216" s="176"/>
      <c r="R1216" s="176"/>
      <c r="S1216" s="176"/>
      <c r="T1216" s="176"/>
      <c r="U1216" s="176"/>
      <c r="V1216" s="176"/>
      <c r="W1216" s="176"/>
      <c r="X1216" s="176"/>
      <c r="Y1216" s="176"/>
      <c r="Z1216" s="176"/>
      <c r="AA1216" s="176"/>
      <c r="AB1216" s="176"/>
      <c r="AC1216" s="176"/>
      <c r="AD1216" s="176"/>
      <c r="AE1216" s="176"/>
      <c r="AF1216" s="176"/>
      <c r="AG1216" s="176"/>
      <c r="AH1216" s="176"/>
      <c r="AI1216" s="176"/>
      <c r="AJ1216" s="176"/>
      <c r="AK1216" s="176"/>
      <c r="AL1216" s="176"/>
      <c r="AM1216" s="176"/>
      <c r="AN1216" s="176"/>
      <c r="AO1216" s="176"/>
      <c r="AP1216" s="176"/>
      <c r="AQ1216" s="176"/>
      <c r="AR1216" s="176"/>
      <c r="AS1216" s="176"/>
      <c r="AT1216" s="176"/>
      <c r="AU1216" s="176"/>
      <c r="AV1216" s="176"/>
      <c r="AW1216" s="176"/>
      <c r="AX1216" s="176"/>
      <c r="AY1216" s="176"/>
      <c r="AZ1216" s="176"/>
      <c r="BA1216" s="176"/>
      <c r="BB1216" s="176"/>
      <c r="BC1216" s="176"/>
      <c r="BD1216" s="176"/>
      <c r="BE1216" s="176"/>
      <c r="BF1216" s="176"/>
      <c r="BG1216" s="176"/>
      <c r="BH1216" s="176"/>
      <c r="BI1216" s="176"/>
      <c r="BJ1216" s="176"/>
    </row>
    <row r="1217" spans="2:62" x14ac:dyDescent="0.3">
      <c r="B1217" s="3"/>
      <c r="C1217" s="2"/>
      <c r="D1217" s="2"/>
      <c r="E1217" s="3"/>
      <c r="O1217" s="176"/>
      <c r="P1217" s="176"/>
      <c r="Q1217" s="176"/>
      <c r="R1217" s="176"/>
      <c r="S1217" s="176"/>
      <c r="T1217" s="176"/>
      <c r="U1217" s="176"/>
      <c r="V1217" s="176"/>
      <c r="W1217" s="176"/>
      <c r="X1217" s="176"/>
      <c r="Y1217" s="176"/>
      <c r="Z1217" s="176"/>
      <c r="AA1217" s="176"/>
      <c r="AB1217" s="176"/>
      <c r="AC1217" s="176"/>
      <c r="AD1217" s="176"/>
      <c r="AE1217" s="176"/>
      <c r="AF1217" s="176"/>
      <c r="AG1217" s="176"/>
      <c r="AH1217" s="176"/>
      <c r="AI1217" s="176"/>
      <c r="AJ1217" s="176"/>
      <c r="AK1217" s="176"/>
      <c r="AL1217" s="176"/>
      <c r="AM1217" s="176"/>
      <c r="AN1217" s="176"/>
      <c r="AO1217" s="176"/>
      <c r="AP1217" s="176"/>
      <c r="AQ1217" s="176"/>
      <c r="AR1217" s="176"/>
      <c r="AS1217" s="176"/>
      <c r="AT1217" s="176"/>
      <c r="AU1217" s="176"/>
      <c r="AV1217" s="176"/>
      <c r="AW1217" s="176"/>
      <c r="AX1217" s="176"/>
      <c r="AY1217" s="176"/>
      <c r="AZ1217" s="176"/>
      <c r="BA1217" s="176"/>
      <c r="BB1217" s="176"/>
      <c r="BC1217" s="176"/>
      <c r="BD1217" s="176"/>
      <c r="BE1217" s="176"/>
      <c r="BF1217" s="176"/>
      <c r="BG1217" s="176"/>
      <c r="BH1217" s="176"/>
      <c r="BI1217" s="176"/>
      <c r="BJ1217" s="176"/>
    </row>
    <row r="1218" spans="2:62" x14ac:dyDescent="0.3">
      <c r="B1218" s="3"/>
      <c r="C1218" s="2"/>
      <c r="D1218" s="2"/>
      <c r="E1218" s="3"/>
      <c r="O1218" s="176"/>
      <c r="P1218" s="176"/>
      <c r="Q1218" s="176"/>
      <c r="R1218" s="176"/>
      <c r="S1218" s="176"/>
      <c r="T1218" s="176"/>
      <c r="U1218" s="176"/>
      <c r="V1218" s="176"/>
      <c r="W1218" s="176"/>
      <c r="X1218" s="176"/>
      <c r="Y1218" s="176"/>
      <c r="Z1218" s="176"/>
      <c r="AA1218" s="176"/>
      <c r="AB1218" s="176"/>
      <c r="AC1218" s="176"/>
      <c r="AD1218" s="176"/>
      <c r="AE1218" s="176"/>
      <c r="AF1218" s="176"/>
      <c r="AG1218" s="176"/>
      <c r="AH1218" s="176"/>
      <c r="AI1218" s="176"/>
      <c r="AJ1218" s="176"/>
      <c r="AK1218" s="176"/>
      <c r="AL1218" s="176"/>
      <c r="AM1218" s="176"/>
      <c r="AN1218" s="176"/>
      <c r="AO1218" s="176"/>
      <c r="AP1218" s="176"/>
      <c r="AQ1218" s="176"/>
      <c r="AR1218" s="176"/>
      <c r="AS1218" s="176"/>
      <c r="AT1218" s="176"/>
      <c r="AU1218" s="176"/>
      <c r="AV1218" s="176"/>
      <c r="AW1218" s="176"/>
      <c r="AX1218" s="176"/>
      <c r="AY1218" s="176"/>
      <c r="AZ1218" s="176"/>
      <c r="BA1218" s="176"/>
      <c r="BB1218" s="176"/>
      <c r="BC1218" s="176"/>
      <c r="BD1218" s="176"/>
      <c r="BE1218" s="176"/>
      <c r="BF1218" s="176"/>
      <c r="BG1218" s="176"/>
      <c r="BH1218" s="176"/>
      <c r="BI1218" s="176"/>
      <c r="BJ1218" s="176"/>
    </row>
    <row r="1219" spans="2:62" x14ac:dyDescent="0.3">
      <c r="B1219" s="3"/>
      <c r="C1219" s="2"/>
      <c r="D1219" s="2"/>
      <c r="E1219" s="3"/>
      <c r="O1219" s="176"/>
      <c r="P1219" s="176"/>
      <c r="Q1219" s="176"/>
      <c r="R1219" s="176"/>
      <c r="S1219" s="176"/>
      <c r="T1219" s="176"/>
      <c r="U1219" s="176"/>
      <c r="V1219" s="176"/>
      <c r="W1219" s="176"/>
      <c r="X1219" s="176"/>
      <c r="Y1219" s="176"/>
      <c r="Z1219" s="176"/>
      <c r="AA1219" s="176"/>
      <c r="AB1219" s="176"/>
      <c r="AC1219" s="176"/>
      <c r="AD1219" s="176"/>
      <c r="AE1219" s="176"/>
      <c r="AF1219" s="176"/>
      <c r="AG1219" s="176"/>
      <c r="AH1219" s="176"/>
      <c r="AI1219" s="176"/>
      <c r="AJ1219" s="176"/>
      <c r="AK1219" s="176"/>
      <c r="AL1219" s="176"/>
      <c r="AM1219" s="176"/>
      <c r="AN1219" s="176"/>
      <c r="AO1219" s="176"/>
      <c r="AP1219" s="176"/>
      <c r="AQ1219" s="176"/>
      <c r="AR1219" s="176"/>
      <c r="AS1219" s="176"/>
      <c r="AT1219" s="176"/>
      <c r="AU1219" s="176"/>
      <c r="AV1219" s="176"/>
      <c r="AW1219" s="176"/>
      <c r="AX1219" s="176"/>
      <c r="AY1219" s="176"/>
      <c r="AZ1219" s="176"/>
      <c r="BA1219" s="176"/>
      <c r="BB1219" s="176"/>
      <c r="BC1219" s="176"/>
      <c r="BD1219" s="176"/>
      <c r="BE1219" s="176"/>
      <c r="BF1219" s="176"/>
      <c r="BG1219" s="176"/>
      <c r="BH1219" s="176"/>
      <c r="BI1219" s="176"/>
      <c r="BJ1219" s="176"/>
    </row>
    <row r="1220" spans="2:62" x14ac:dyDescent="0.3">
      <c r="B1220" s="3"/>
      <c r="C1220" s="2"/>
      <c r="D1220" s="2"/>
      <c r="E1220" s="3"/>
      <c r="O1220" s="176"/>
      <c r="P1220" s="176"/>
      <c r="Q1220" s="176"/>
      <c r="R1220" s="176"/>
      <c r="S1220" s="176"/>
      <c r="T1220" s="176"/>
      <c r="U1220" s="176"/>
      <c r="V1220" s="176"/>
      <c r="W1220" s="176"/>
      <c r="X1220" s="176"/>
      <c r="Y1220" s="176"/>
      <c r="Z1220" s="176"/>
      <c r="AA1220" s="176"/>
      <c r="AB1220" s="176"/>
      <c r="AC1220" s="176"/>
      <c r="AD1220" s="176"/>
      <c r="AE1220" s="176"/>
      <c r="AF1220" s="176"/>
      <c r="AG1220" s="176"/>
      <c r="AH1220" s="176"/>
      <c r="AI1220" s="176"/>
      <c r="AJ1220" s="176"/>
      <c r="AK1220" s="176"/>
      <c r="AL1220" s="176"/>
      <c r="AM1220" s="176"/>
      <c r="AN1220" s="176"/>
      <c r="AO1220" s="176"/>
      <c r="AP1220" s="176"/>
      <c r="AQ1220" s="176"/>
      <c r="AR1220" s="176"/>
      <c r="AS1220" s="176"/>
      <c r="AT1220" s="176"/>
      <c r="AU1220" s="176"/>
      <c r="AV1220" s="176"/>
      <c r="AW1220" s="176"/>
      <c r="AX1220" s="176"/>
      <c r="AY1220" s="176"/>
      <c r="AZ1220" s="176"/>
      <c r="BA1220" s="176"/>
      <c r="BB1220" s="176"/>
      <c r="BC1220" s="176"/>
      <c r="BD1220" s="176"/>
      <c r="BE1220" s="176"/>
      <c r="BF1220" s="176"/>
      <c r="BG1220" s="176"/>
      <c r="BH1220" s="176"/>
      <c r="BI1220" s="176"/>
      <c r="BJ1220" s="176"/>
    </row>
    <row r="1221" spans="2:62" x14ac:dyDescent="0.3">
      <c r="B1221" s="3"/>
      <c r="C1221" s="2"/>
      <c r="D1221" s="2"/>
      <c r="E1221" s="3"/>
      <c r="O1221" s="176"/>
      <c r="P1221" s="176"/>
      <c r="Q1221" s="176"/>
      <c r="R1221" s="176"/>
      <c r="S1221" s="176"/>
      <c r="T1221" s="176"/>
      <c r="U1221" s="176"/>
      <c r="V1221" s="176"/>
      <c r="W1221" s="176"/>
      <c r="X1221" s="176"/>
      <c r="Y1221" s="176"/>
      <c r="Z1221" s="176"/>
      <c r="AA1221" s="176"/>
      <c r="AB1221" s="176"/>
      <c r="AC1221" s="176"/>
      <c r="AD1221" s="176"/>
      <c r="AE1221" s="176"/>
      <c r="AF1221" s="176"/>
      <c r="AG1221" s="176"/>
      <c r="AH1221" s="176"/>
      <c r="AI1221" s="176"/>
      <c r="AJ1221" s="176"/>
      <c r="AK1221" s="176"/>
      <c r="AL1221" s="176"/>
      <c r="AM1221" s="176"/>
      <c r="AN1221" s="176"/>
      <c r="AO1221" s="176"/>
      <c r="AP1221" s="176"/>
      <c r="AQ1221" s="176"/>
      <c r="AR1221" s="176"/>
      <c r="AS1221" s="176"/>
      <c r="AT1221" s="176"/>
      <c r="AU1221" s="176"/>
      <c r="AV1221" s="176"/>
      <c r="AW1221" s="176"/>
      <c r="AX1221" s="176"/>
      <c r="AY1221" s="176"/>
      <c r="AZ1221" s="176"/>
      <c r="BA1221" s="176"/>
      <c r="BB1221" s="176"/>
      <c r="BC1221" s="176"/>
      <c r="BD1221" s="176"/>
      <c r="BE1221" s="176"/>
      <c r="BF1221" s="176"/>
      <c r="BG1221" s="176"/>
      <c r="BH1221" s="176"/>
      <c r="BI1221" s="176"/>
      <c r="BJ1221" s="176"/>
    </row>
    <row r="1222" spans="2:62" x14ac:dyDescent="0.3">
      <c r="B1222" s="3"/>
      <c r="C1222" s="2"/>
      <c r="D1222" s="2"/>
      <c r="E1222" s="3"/>
      <c r="O1222" s="176"/>
      <c r="P1222" s="176"/>
      <c r="Q1222" s="176"/>
      <c r="R1222" s="176"/>
      <c r="S1222" s="176"/>
      <c r="T1222" s="176"/>
      <c r="U1222" s="176"/>
      <c r="V1222" s="176"/>
      <c r="W1222" s="176"/>
      <c r="X1222" s="176"/>
      <c r="Y1222" s="176"/>
      <c r="Z1222" s="176"/>
      <c r="AA1222" s="176"/>
      <c r="AB1222" s="176"/>
      <c r="AC1222" s="176"/>
      <c r="AD1222" s="176"/>
      <c r="AE1222" s="176"/>
      <c r="AF1222" s="176"/>
      <c r="AG1222" s="176"/>
      <c r="AH1222" s="176"/>
      <c r="AI1222" s="176"/>
      <c r="AJ1222" s="176"/>
      <c r="AK1222" s="176"/>
      <c r="AL1222" s="176"/>
      <c r="AM1222" s="176"/>
      <c r="AN1222" s="176"/>
      <c r="AO1222" s="176"/>
      <c r="AP1222" s="176"/>
      <c r="AQ1222" s="176"/>
      <c r="AR1222" s="176"/>
      <c r="AS1222" s="176"/>
      <c r="AT1222" s="176"/>
      <c r="AU1222" s="176"/>
      <c r="AV1222" s="176"/>
      <c r="AW1222" s="176"/>
      <c r="AX1222" s="176"/>
      <c r="AY1222" s="176"/>
      <c r="AZ1222" s="176"/>
      <c r="BA1222" s="176"/>
      <c r="BB1222" s="176"/>
      <c r="BC1222" s="176"/>
      <c r="BD1222" s="176"/>
      <c r="BE1222" s="176"/>
      <c r="BF1222" s="176"/>
      <c r="BG1222" s="176"/>
      <c r="BH1222" s="176"/>
      <c r="BI1222" s="176"/>
      <c r="BJ1222" s="176"/>
    </row>
    <row r="1223" spans="2:62" x14ac:dyDescent="0.3">
      <c r="B1223" s="3"/>
      <c r="C1223" s="2"/>
      <c r="D1223" s="2"/>
      <c r="E1223" s="3"/>
      <c r="O1223" s="176"/>
      <c r="P1223" s="176"/>
      <c r="Q1223" s="176"/>
      <c r="R1223" s="176"/>
      <c r="S1223" s="176"/>
      <c r="T1223" s="176"/>
      <c r="U1223" s="176"/>
      <c r="V1223" s="176"/>
      <c r="W1223" s="176"/>
      <c r="X1223" s="176"/>
      <c r="Y1223" s="176"/>
      <c r="Z1223" s="176"/>
      <c r="AA1223" s="176"/>
      <c r="AB1223" s="176"/>
      <c r="AC1223" s="176"/>
      <c r="AD1223" s="176"/>
      <c r="AE1223" s="176"/>
      <c r="AF1223" s="176"/>
      <c r="AG1223" s="176"/>
      <c r="AH1223" s="176"/>
      <c r="AI1223" s="176"/>
      <c r="AJ1223" s="176"/>
      <c r="AK1223" s="176"/>
      <c r="AL1223" s="176"/>
      <c r="AM1223" s="176"/>
      <c r="AN1223" s="176"/>
      <c r="AO1223" s="176"/>
      <c r="AP1223" s="176"/>
      <c r="AQ1223" s="176"/>
      <c r="AR1223" s="176"/>
      <c r="AS1223" s="176"/>
      <c r="AT1223" s="176"/>
      <c r="AU1223" s="176"/>
      <c r="AV1223" s="176"/>
      <c r="AW1223" s="176"/>
      <c r="AX1223" s="176"/>
      <c r="AY1223" s="176"/>
      <c r="AZ1223" s="176"/>
      <c r="BA1223" s="176"/>
      <c r="BB1223" s="176"/>
      <c r="BC1223" s="176"/>
      <c r="BD1223" s="176"/>
      <c r="BE1223" s="176"/>
      <c r="BF1223" s="176"/>
      <c r="BG1223" s="176"/>
      <c r="BH1223" s="176"/>
      <c r="BI1223" s="176"/>
      <c r="BJ1223" s="176"/>
    </row>
    <row r="1224" spans="2:62" x14ac:dyDescent="0.3">
      <c r="B1224" s="3"/>
      <c r="C1224" s="2"/>
      <c r="D1224" s="2"/>
      <c r="E1224" s="3"/>
      <c r="O1224" s="176"/>
      <c r="P1224" s="176"/>
      <c r="Q1224" s="176"/>
      <c r="R1224" s="176"/>
      <c r="S1224" s="176"/>
      <c r="T1224" s="176"/>
      <c r="U1224" s="176"/>
      <c r="V1224" s="176"/>
      <c r="W1224" s="176"/>
      <c r="X1224" s="176"/>
      <c r="Y1224" s="176"/>
      <c r="Z1224" s="176"/>
      <c r="AA1224" s="176"/>
      <c r="AB1224" s="176"/>
      <c r="AC1224" s="176"/>
      <c r="AD1224" s="176"/>
      <c r="AE1224" s="176"/>
      <c r="AF1224" s="176"/>
      <c r="AG1224" s="176"/>
      <c r="AH1224" s="176"/>
      <c r="AI1224" s="176"/>
      <c r="AJ1224" s="176"/>
      <c r="AK1224" s="176"/>
      <c r="AL1224" s="176"/>
      <c r="AM1224" s="176"/>
      <c r="AN1224" s="176"/>
      <c r="AO1224" s="176"/>
      <c r="AP1224" s="176"/>
      <c r="AQ1224" s="176"/>
      <c r="AR1224" s="176"/>
      <c r="AS1224" s="176"/>
      <c r="AT1224" s="176"/>
      <c r="AU1224" s="176"/>
      <c r="AV1224" s="176"/>
      <c r="AW1224" s="176"/>
      <c r="AX1224" s="176"/>
      <c r="AY1224" s="176"/>
      <c r="AZ1224" s="176"/>
      <c r="BA1224" s="176"/>
      <c r="BB1224" s="176"/>
      <c r="BC1224" s="176"/>
      <c r="BD1224" s="176"/>
      <c r="BE1224" s="176"/>
      <c r="BF1224" s="176"/>
      <c r="BG1224" s="176"/>
      <c r="BH1224" s="176"/>
      <c r="BI1224" s="176"/>
      <c r="BJ1224" s="176"/>
    </row>
    <row r="1225" spans="2:62" x14ac:dyDescent="0.3">
      <c r="B1225" s="3"/>
      <c r="C1225" s="2"/>
      <c r="D1225" s="2"/>
      <c r="E1225" s="3"/>
      <c r="O1225" s="176"/>
      <c r="P1225" s="176"/>
      <c r="Q1225" s="176"/>
      <c r="R1225" s="176"/>
      <c r="S1225" s="176"/>
      <c r="T1225" s="176"/>
      <c r="U1225" s="176"/>
      <c r="V1225" s="176"/>
      <c r="W1225" s="176"/>
      <c r="X1225" s="176"/>
      <c r="Y1225" s="176"/>
      <c r="Z1225" s="176"/>
      <c r="AA1225" s="176"/>
      <c r="AB1225" s="176"/>
      <c r="AC1225" s="176"/>
      <c r="AD1225" s="176"/>
      <c r="AE1225" s="176"/>
      <c r="AF1225" s="176"/>
      <c r="AG1225" s="176"/>
      <c r="AH1225" s="176"/>
      <c r="AI1225" s="176"/>
      <c r="AJ1225" s="176"/>
      <c r="AK1225" s="176"/>
      <c r="AL1225" s="176"/>
      <c r="AM1225" s="176"/>
      <c r="AN1225" s="176"/>
      <c r="AO1225" s="176"/>
      <c r="AP1225" s="176"/>
      <c r="AQ1225" s="176"/>
      <c r="AR1225" s="176"/>
      <c r="AS1225" s="176"/>
      <c r="AT1225" s="176"/>
      <c r="AU1225" s="176"/>
      <c r="AV1225" s="176"/>
      <c r="AW1225" s="176"/>
      <c r="AX1225" s="176"/>
      <c r="AY1225" s="176"/>
      <c r="AZ1225" s="176"/>
      <c r="BA1225" s="176"/>
      <c r="BB1225" s="176"/>
      <c r="BC1225" s="176"/>
      <c r="BD1225" s="176"/>
      <c r="BE1225" s="176"/>
      <c r="BF1225" s="176"/>
      <c r="BG1225" s="176"/>
      <c r="BH1225" s="176"/>
      <c r="BI1225" s="176"/>
      <c r="BJ1225" s="176"/>
    </row>
    <row r="1226" spans="2:62" x14ac:dyDescent="0.3">
      <c r="B1226" s="3"/>
      <c r="C1226" s="2"/>
      <c r="D1226" s="2"/>
      <c r="E1226" s="3"/>
      <c r="O1226" s="176"/>
      <c r="P1226" s="176"/>
      <c r="Q1226" s="176"/>
      <c r="R1226" s="176"/>
      <c r="S1226" s="176"/>
      <c r="T1226" s="176"/>
      <c r="U1226" s="176"/>
      <c r="V1226" s="176"/>
      <c r="W1226" s="176"/>
      <c r="X1226" s="176"/>
      <c r="Y1226" s="176"/>
      <c r="Z1226" s="176"/>
      <c r="AA1226" s="176"/>
      <c r="AB1226" s="176"/>
      <c r="AC1226" s="176"/>
      <c r="AD1226" s="176"/>
      <c r="AE1226" s="176"/>
      <c r="AF1226" s="176"/>
      <c r="AG1226" s="176"/>
      <c r="AH1226" s="176"/>
      <c r="AI1226" s="176"/>
      <c r="AJ1226" s="176"/>
      <c r="AK1226" s="176"/>
      <c r="AL1226" s="176"/>
      <c r="AM1226" s="176"/>
      <c r="AN1226" s="176"/>
      <c r="AO1226" s="176"/>
      <c r="AP1226" s="176"/>
      <c r="AQ1226" s="176"/>
      <c r="AR1226" s="176"/>
      <c r="AS1226" s="176"/>
      <c r="AT1226" s="176"/>
      <c r="AU1226" s="176"/>
      <c r="AV1226" s="176"/>
      <c r="AW1226" s="176"/>
      <c r="AX1226" s="176"/>
      <c r="AY1226" s="176"/>
      <c r="AZ1226" s="176"/>
      <c r="BA1226" s="176"/>
      <c r="BB1226" s="176"/>
      <c r="BC1226" s="176"/>
      <c r="BD1226" s="176"/>
      <c r="BE1226" s="176"/>
      <c r="BF1226" s="176"/>
      <c r="BG1226" s="176"/>
      <c r="BH1226" s="176"/>
      <c r="BI1226" s="176"/>
      <c r="BJ1226" s="176"/>
    </row>
    <row r="1227" spans="2:62" x14ac:dyDescent="0.3">
      <c r="B1227" s="3"/>
      <c r="C1227" s="2"/>
      <c r="D1227" s="2"/>
      <c r="E1227" s="3"/>
      <c r="O1227" s="176"/>
      <c r="P1227" s="176"/>
      <c r="Q1227" s="176"/>
      <c r="R1227" s="176"/>
      <c r="S1227" s="176"/>
      <c r="T1227" s="176"/>
      <c r="U1227" s="176"/>
      <c r="V1227" s="176"/>
      <c r="W1227" s="176"/>
      <c r="X1227" s="176"/>
      <c r="Y1227" s="176"/>
      <c r="Z1227" s="176"/>
      <c r="AA1227" s="176"/>
      <c r="AB1227" s="176"/>
      <c r="AC1227" s="176"/>
      <c r="AD1227" s="176"/>
      <c r="AE1227" s="176"/>
      <c r="AF1227" s="176"/>
      <c r="AG1227" s="176"/>
      <c r="AH1227" s="176"/>
      <c r="AI1227" s="176"/>
      <c r="AJ1227" s="176"/>
      <c r="AK1227" s="176"/>
      <c r="AL1227" s="176"/>
      <c r="AM1227" s="176"/>
      <c r="AN1227" s="176"/>
      <c r="AO1227" s="176"/>
      <c r="AP1227" s="176"/>
      <c r="AQ1227" s="176"/>
      <c r="AR1227" s="176"/>
      <c r="AS1227" s="176"/>
      <c r="AT1227" s="176"/>
      <c r="AU1227" s="176"/>
      <c r="AV1227" s="176"/>
      <c r="AW1227" s="176"/>
      <c r="AX1227" s="176"/>
      <c r="AY1227" s="176"/>
      <c r="AZ1227" s="176"/>
      <c r="BA1227" s="176"/>
      <c r="BB1227" s="176"/>
      <c r="BC1227" s="176"/>
      <c r="BD1227" s="176"/>
      <c r="BE1227" s="176"/>
      <c r="BF1227" s="176"/>
      <c r="BG1227" s="176"/>
      <c r="BH1227" s="176"/>
      <c r="BI1227" s="176"/>
      <c r="BJ1227" s="176"/>
    </row>
    <row r="1228" spans="2:62" x14ac:dyDescent="0.3">
      <c r="B1228" s="3"/>
      <c r="C1228" s="2"/>
      <c r="D1228" s="2"/>
      <c r="E1228" s="3"/>
      <c r="O1228" s="176"/>
      <c r="P1228" s="176"/>
      <c r="Q1228" s="176"/>
      <c r="R1228" s="176"/>
      <c r="S1228" s="176"/>
      <c r="T1228" s="176"/>
      <c r="U1228" s="176"/>
      <c r="V1228" s="176"/>
      <c r="W1228" s="176"/>
      <c r="X1228" s="176"/>
      <c r="Y1228" s="176"/>
      <c r="Z1228" s="176"/>
      <c r="AA1228" s="176"/>
      <c r="AB1228" s="176"/>
      <c r="AC1228" s="176"/>
      <c r="AD1228" s="176"/>
      <c r="AE1228" s="176"/>
      <c r="AF1228" s="176"/>
      <c r="AG1228" s="176"/>
      <c r="AH1228" s="176"/>
      <c r="AI1228" s="176"/>
      <c r="AJ1228" s="176"/>
      <c r="AK1228" s="176"/>
      <c r="AL1228" s="176"/>
      <c r="AM1228" s="176"/>
      <c r="AN1228" s="176"/>
      <c r="AO1228" s="176"/>
      <c r="AP1228" s="176"/>
      <c r="AQ1228" s="176"/>
      <c r="AR1228" s="176"/>
      <c r="AS1228" s="176"/>
      <c r="AT1228" s="176"/>
      <c r="AU1228" s="176"/>
      <c r="AV1228" s="176"/>
      <c r="AW1228" s="176"/>
      <c r="AX1228" s="176"/>
      <c r="AY1228" s="176"/>
      <c r="AZ1228" s="176"/>
      <c r="BA1228" s="176"/>
      <c r="BB1228" s="176"/>
      <c r="BC1228" s="176"/>
      <c r="BD1228" s="176"/>
      <c r="BE1228" s="176"/>
      <c r="BF1228" s="176"/>
      <c r="BG1228" s="176"/>
      <c r="BH1228" s="176"/>
      <c r="BI1228" s="176"/>
      <c r="BJ1228" s="176"/>
    </row>
    <row r="1229" spans="2:62" x14ac:dyDescent="0.3">
      <c r="B1229" s="3"/>
      <c r="C1229" s="2"/>
      <c r="D1229" s="2"/>
      <c r="E1229" s="3"/>
      <c r="O1229" s="176"/>
      <c r="P1229" s="176"/>
      <c r="Q1229" s="176"/>
      <c r="R1229" s="176"/>
      <c r="S1229" s="176"/>
      <c r="T1229" s="176"/>
      <c r="U1229" s="176"/>
      <c r="V1229" s="176"/>
      <c r="W1229" s="176"/>
      <c r="X1229" s="176"/>
      <c r="Y1229" s="176"/>
      <c r="Z1229" s="176"/>
      <c r="AA1229" s="176"/>
      <c r="AB1229" s="176"/>
      <c r="AC1229" s="176"/>
      <c r="AD1229" s="176"/>
      <c r="AE1229" s="176"/>
      <c r="AF1229" s="176"/>
      <c r="AG1229" s="176"/>
      <c r="AH1229" s="176"/>
      <c r="AI1229" s="176"/>
      <c r="AJ1229" s="176"/>
      <c r="AK1229" s="176"/>
      <c r="AL1229" s="176"/>
      <c r="AM1229" s="176"/>
      <c r="AN1229" s="176"/>
      <c r="AO1229" s="176"/>
      <c r="AP1229" s="176"/>
      <c r="AQ1229" s="176"/>
      <c r="AR1229" s="176"/>
      <c r="AS1229" s="176"/>
      <c r="AT1229" s="176"/>
      <c r="AU1229" s="176"/>
      <c r="AV1229" s="176"/>
      <c r="AW1229" s="176"/>
      <c r="AX1229" s="176"/>
      <c r="AY1229" s="176"/>
      <c r="AZ1229" s="176"/>
      <c r="BA1229" s="176"/>
      <c r="BB1229" s="176"/>
      <c r="BC1229" s="176"/>
      <c r="BD1229" s="176"/>
      <c r="BE1229" s="176"/>
      <c r="BF1229" s="176"/>
      <c r="BG1229" s="176"/>
      <c r="BH1229" s="176"/>
      <c r="BI1229" s="176"/>
      <c r="BJ1229" s="176"/>
    </row>
    <row r="1230" spans="2:62" x14ac:dyDescent="0.3">
      <c r="B1230" s="3"/>
      <c r="C1230" s="2"/>
      <c r="D1230" s="2"/>
      <c r="E1230" s="3"/>
      <c r="O1230" s="176"/>
      <c r="P1230" s="176"/>
      <c r="Q1230" s="176"/>
      <c r="R1230" s="176"/>
      <c r="S1230" s="176"/>
      <c r="T1230" s="176"/>
      <c r="U1230" s="176"/>
      <c r="V1230" s="176"/>
      <c r="W1230" s="176"/>
      <c r="X1230" s="176"/>
      <c r="Y1230" s="176"/>
      <c r="Z1230" s="176"/>
      <c r="AA1230" s="176"/>
      <c r="AB1230" s="176"/>
      <c r="AC1230" s="176"/>
      <c r="AD1230" s="176"/>
      <c r="AE1230" s="176"/>
      <c r="AF1230" s="176"/>
      <c r="AG1230" s="176"/>
      <c r="AH1230" s="176"/>
      <c r="AI1230" s="176"/>
      <c r="AJ1230" s="176"/>
      <c r="AK1230" s="176"/>
      <c r="AL1230" s="176"/>
      <c r="AM1230" s="176"/>
      <c r="AN1230" s="176"/>
      <c r="AO1230" s="176"/>
      <c r="AP1230" s="176"/>
      <c r="AQ1230" s="176"/>
      <c r="AR1230" s="176"/>
      <c r="AS1230" s="176"/>
      <c r="AT1230" s="176"/>
      <c r="AU1230" s="176"/>
      <c r="AV1230" s="176"/>
      <c r="AW1230" s="176"/>
      <c r="AX1230" s="176"/>
      <c r="AY1230" s="176"/>
      <c r="AZ1230" s="176"/>
      <c r="BA1230" s="176"/>
      <c r="BB1230" s="176"/>
      <c r="BC1230" s="176"/>
      <c r="BD1230" s="176"/>
      <c r="BE1230" s="176"/>
      <c r="BF1230" s="176"/>
      <c r="BG1230" s="176"/>
      <c r="BH1230" s="176"/>
      <c r="BI1230" s="176"/>
      <c r="BJ1230" s="176"/>
    </row>
    <row r="1231" spans="2:62" x14ac:dyDescent="0.3">
      <c r="B1231" s="3"/>
      <c r="C1231" s="2"/>
      <c r="D1231" s="2"/>
      <c r="E1231" s="3"/>
      <c r="O1231" s="176"/>
      <c r="P1231" s="176"/>
      <c r="Q1231" s="176"/>
      <c r="R1231" s="176"/>
      <c r="S1231" s="176"/>
      <c r="T1231" s="176"/>
      <c r="U1231" s="176"/>
      <c r="V1231" s="176"/>
      <c r="W1231" s="176"/>
      <c r="X1231" s="176"/>
      <c r="Y1231" s="176"/>
      <c r="Z1231" s="176"/>
      <c r="AA1231" s="176"/>
      <c r="AB1231" s="176"/>
      <c r="AC1231" s="176"/>
      <c r="AD1231" s="176"/>
      <c r="AE1231" s="176"/>
      <c r="AF1231" s="176"/>
      <c r="AG1231" s="176"/>
      <c r="AH1231" s="176"/>
      <c r="AI1231" s="176"/>
      <c r="AJ1231" s="176"/>
      <c r="AK1231" s="176"/>
      <c r="AL1231" s="176"/>
      <c r="AM1231" s="176"/>
      <c r="AN1231" s="176"/>
      <c r="AO1231" s="176"/>
      <c r="AP1231" s="176"/>
      <c r="AQ1231" s="176"/>
      <c r="AR1231" s="176"/>
      <c r="AS1231" s="176"/>
      <c r="AT1231" s="176"/>
      <c r="AU1231" s="176"/>
      <c r="AV1231" s="176"/>
      <c r="AW1231" s="176"/>
      <c r="AX1231" s="176"/>
      <c r="AY1231" s="176"/>
      <c r="AZ1231" s="176"/>
      <c r="BA1231" s="176"/>
      <c r="BB1231" s="176"/>
      <c r="BC1231" s="176"/>
      <c r="BD1231" s="176"/>
      <c r="BE1231" s="176"/>
      <c r="BF1231" s="176"/>
      <c r="BG1231" s="176"/>
      <c r="BH1231" s="176"/>
      <c r="BI1231" s="176"/>
      <c r="BJ1231" s="176"/>
    </row>
    <row r="1232" spans="2:62" x14ac:dyDescent="0.3">
      <c r="B1232" s="3"/>
      <c r="C1232" s="2"/>
      <c r="D1232" s="2"/>
      <c r="E1232" s="3"/>
      <c r="O1232" s="176"/>
      <c r="P1232" s="176"/>
      <c r="Q1232" s="176"/>
      <c r="R1232" s="176"/>
      <c r="S1232" s="176"/>
      <c r="T1232" s="176"/>
      <c r="U1232" s="176"/>
      <c r="V1232" s="176"/>
      <c r="W1232" s="176"/>
      <c r="X1232" s="176"/>
      <c r="Y1232" s="176"/>
      <c r="Z1232" s="176"/>
      <c r="AA1232" s="176"/>
      <c r="AB1232" s="176"/>
      <c r="AC1232" s="176"/>
      <c r="AD1232" s="176"/>
      <c r="AE1232" s="176"/>
      <c r="AF1232" s="176"/>
      <c r="AG1232" s="176"/>
      <c r="AH1232" s="176"/>
      <c r="AI1232" s="176"/>
      <c r="AJ1232" s="176"/>
      <c r="AK1232" s="176"/>
      <c r="AL1232" s="176"/>
      <c r="AM1232" s="176"/>
      <c r="AN1232" s="176"/>
      <c r="AO1232" s="176"/>
      <c r="AP1232" s="176"/>
      <c r="AQ1232" s="176"/>
      <c r="AR1232" s="176"/>
      <c r="AS1232" s="176"/>
      <c r="AT1232" s="176"/>
      <c r="AU1232" s="176"/>
      <c r="AV1232" s="176"/>
      <c r="AW1232" s="176"/>
      <c r="AX1232" s="176"/>
      <c r="AY1232" s="176"/>
      <c r="AZ1232" s="176"/>
      <c r="BA1232" s="176"/>
      <c r="BB1232" s="176"/>
      <c r="BC1232" s="176"/>
      <c r="BD1232" s="176"/>
      <c r="BE1232" s="176"/>
      <c r="BF1232" s="176"/>
      <c r="BG1232" s="176"/>
      <c r="BH1232" s="176"/>
      <c r="BI1232" s="176"/>
      <c r="BJ1232" s="176"/>
    </row>
    <row r="1233" spans="2:62" x14ac:dyDescent="0.3">
      <c r="B1233" s="3"/>
      <c r="C1233" s="2"/>
      <c r="D1233" s="2"/>
      <c r="E1233" s="3"/>
      <c r="O1233" s="176"/>
      <c r="P1233" s="176"/>
      <c r="Q1233" s="176"/>
      <c r="R1233" s="176"/>
      <c r="S1233" s="176"/>
      <c r="T1233" s="176"/>
      <c r="U1233" s="176"/>
      <c r="V1233" s="176"/>
      <c r="W1233" s="176"/>
      <c r="X1233" s="176"/>
      <c r="Y1233" s="176"/>
      <c r="Z1233" s="176"/>
      <c r="AA1233" s="176"/>
      <c r="AB1233" s="176"/>
      <c r="AC1233" s="176"/>
      <c r="AD1233" s="176"/>
      <c r="AE1233" s="176"/>
      <c r="AF1233" s="176"/>
      <c r="AG1233" s="176"/>
      <c r="AH1233" s="176"/>
      <c r="AI1233" s="176"/>
      <c r="AJ1233" s="176"/>
      <c r="AK1233" s="176"/>
      <c r="AL1233" s="176"/>
      <c r="AM1233" s="176"/>
      <c r="AN1233" s="176"/>
      <c r="AO1233" s="176"/>
      <c r="AP1233" s="176"/>
      <c r="AQ1233" s="176"/>
      <c r="AR1233" s="176"/>
      <c r="AS1233" s="176"/>
      <c r="AT1233" s="176"/>
      <c r="AU1233" s="176"/>
      <c r="AV1233" s="176"/>
      <c r="AW1233" s="176"/>
      <c r="AX1233" s="176"/>
      <c r="AY1233" s="176"/>
      <c r="AZ1233" s="176"/>
      <c r="BA1233" s="176"/>
      <c r="BB1233" s="176"/>
      <c r="BC1233" s="176"/>
      <c r="BD1233" s="176"/>
      <c r="BE1233" s="176"/>
      <c r="BF1233" s="176"/>
      <c r="BG1233" s="176"/>
      <c r="BH1233" s="176"/>
      <c r="BI1233" s="176"/>
      <c r="BJ1233" s="176"/>
    </row>
    <row r="1234" spans="2:62" x14ac:dyDescent="0.3">
      <c r="B1234" s="3"/>
      <c r="C1234" s="2"/>
      <c r="D1234" s="2"/>
      <c r="E1234" s="3"/>
      <c r="O1234" s="176"/>
      <c r="P1234" s="176"/>
      <c r="Q1234" s="176"/>
      <c r="R1234" s="176"/>
      <c r="S1234" s="176"/>
      <c r="T1234" s="176"/>
      <c r="U1234" s="176"/>
      <c r="V1234" s="176"/>
      <c r="W1234" s="176"/>
      <c r="X1234" s="176"/>
      <c r="Y1234" s="176"/>
      <c r="Z1234" s="176"/>
      <c r="AA1234" s="176"/>
      <c r="AB1234" s="176"/>
      <c r="AC1234" s="176"/>
      <c r="AD1234" s="176"/>
      <c r="AE1234" s="176"/>
      <c r="AF1234" s="176"/>
      <c r="AG1234" s="176"/>
      <c r="AH1234" s="176"/>
      <c r="AI1234" s="176"/>
      <c r="AJ1234" s="176"/>
      <c r="AK1234" s="176"/>
      <c r="AL1234" s="176"/>
      <c r="AM1234" s="176"/>
      <c r="AN1234" s="176"/>
      <c r="AO1234" s="176"/>
      <c r="AP1234" s="176"/>
      <c r="AQ1234" s="176"/>
      <c r="AR1234" s="176"/>
      <c r="AS1234" s="176"/>
      <c r="AT1234" s="176"/>
      <c r="AU1234" s="176"/>
      <c r="AV1234" s="176"/>
      <c r="AW1234" s="176"/>
      <c r="AX1234" s="176"/>
      <c r="AY1234" s="176"/>
      <c r="AZ1234" s="176"/>
      <c r="BA1234" s="176"/>
      <c r="BB1234" s="176"/>
      <c r="BC1234" s="176"/>
      <c r="BD1234" s="176"/>
      <c r="BE1234" s="176"/>
      <c r="BF1234" s="176"/>
      <c r="BG1234" s="176"/>
      <c r="BH1234" s="176"/>
      <c r="BI1234" s="176"/>
      <c r="BJ1234" s="176"/>
    </row>
    <row r="1235" spans="2:62" x14ac:dyDescent="0.3">
      <c r="B1235" s="3"/>
      <c r="C1235" s="2"/>
      <c r="D1235" s="2"/>
      <c r="E1235" s="3"/>
      <c r="O1235" s="176"/>
      <c r="P1235" s="176"/>
      <c r="Q1235" s="176"/>
      <c r="R1235" s="176"/>
      <c r="S1235" s="176"/>
      <c r="T1235" s="176"/>
      <c r="U1235" s="176"/>
      <c r="V1235" s="176"/>
      <c r="W1235" s="176"/>
      <c r="X1235" s="176"/>
      <c r="Y1235" s="176"/>
      <c r="Z1235" s="176"/>
      <c r="AA1235" s="176"/>
      <c r="AB1235" s="176"/>
      <c r="AC1235" s="176"/>
      <c r="AD1235" s="176"/>
      <c r="AE1235" s="176"/>
      <c r="AF1235" s="176"/>
      <c r="AG1235" s="176"/>
      <c r="AH1235" s="176"/>
      <c r="AI1235" s="176"/>
      <c r="AJ1235" s="176"/>
      <c r="AK1235" s="176"/>
      <c r="AL1235" s="176"/>
      <c r="AM1235" s="176"/>
      <c r="AN1235" s="176"/>
      <c r="AO1235" s="176"/>
      <c r="AP1235" s="176"/>
      <c r="AQ1235" s="176"/>
      <c r="AR1235" s="176"/>
      <c r="AS1235" s="176"/>
      <c r="AT1235" s="176"/>
      <c r="AU1235" s="176"/>
      <c r="AV1235" s="176"/>
      <c r="AW1235" s="176"/>
      <c r="AX1235" s="176"/>
      <c r="AY1235" s="176"/>
      <c r="AZ1235" s="176"/>
      <c r="BA1235" s="176"/>
      <c r="BB1235" s="176"/>
      <c r="BC1235" s="176"/>
      <c r="BD1235" s="176"/>
      <c r="BE1235" s="176"/>
      <c r="BF1235" s="176"/>
      <c r="BG1235" s="176"/>
      <c r="BH1235" s="176"/>
      <c r="BI1235" s="176"/>
      <c r="BJ1235" s="176"/>
    </row>
    <row r="1236" spans="2:62" x14ac:dyDescent="0.3">
      <c r="B1236" s="3"/>
      <c r="C1236" s="2"/>
      <c r="D1236" s="2"/>
      <c r="E1236" s="3"/>
      <c r="O1236" s="176"/>
      <c r="P1236" s="176"/>
      <c r="Q1236" s="176"/>
      <c r="R1236" s="176"/>
      <c r="S1236" s="176"/>
      <c r="T1236" s="176"/>
      <c r="U1236" s="176"/>
      <c r="V1236" s="176"/>
      <c r="W1236" s="176"/>
      <c r="X1236" s="176"/>
      <c r="Y1236" s="176"/>
      <c r="Z1236" s="176"/>
      <c r="AA1236" s="176"/>
      <c r="AB1236" s="176"/>
      <c r="AC1236" s="176"/>
      <c r="AD1236" s="176"/>
      <c r="AE1236" s="176"/>
      <c r="AF1236" s="176"/>
      <c r="AG1236" s="176"/>
      <c r="AH1236" s="176"/>
      <c r="AI1236" s="176"/>
      <c r="AJ1236" s="176"/>
      <c r="AK1236" s="176"/>
      <c r="AL1236" s="176"/>
      <c r="AM1236" s="176"/>
      <c r="AN1236" s="176"/>
      <c r="AO1236" s="176"/>
      <c r="AP1236" s="176"/>
      <c r="AQ1236" s="176"/>
      <c r="AR1236" s="176"/>
      <c r="AS1236" s="176"/>
      <c r="AT1236" s="176"/>
      <c r="AU1236" s="176"/>
      <c r="AV1236" s="176"/>
      <c r="AW1236" s="176"/>
      <c r="AX1236" s="176"/>
      <c r="AY1236" s="176"/>
      <c r="AZ1236" s="176"/>
      <c r="BA1236" s="176"/>
      <c r="BB1236" s="176"/>
      <c r="BC1236" s="176"/>
      <c r="BD1236" s="176"/>
      <c r="BE1236" s="176"/>
      <c r="BF1236" s="176"/>
      <c r="BG1236" s="176"/>
      <c r="BH1236" s="176"/>
      <c r="BI1236" s="176"/>
      <c r="BJ1236" s="176"/>
    </row>
    <row r="1237" spans="2:62" x14ac:dyDescent="0.3">
      <c r="B1237" s="3"/>
      <c r="C1237" s="2"/>
      <c r="D1237" s="2"/>
      <c r="E1237" s="3"/>
      <c r="O1237" s="176"/>
      <c r="P1237" s="176"/>
      <c r="Q1237" s="176"/>
      <c r="R1237" s="176"/>
      <c r="S1237" s="176"/>
      <c r="T1237" s="176"/>
      <c r="U1237" s="176"/>
      <c r="V1237" s="176"/>
      <c r="W1237" s="176"/>
      <c r="X1237" s="176"/>
      <c r="Y1237" s="176"/>
      <c r="Z1237" s="176"/>
      <c r="AA1237" s="176"/>
      <c r="AB1237" s="176"/>
      <c r="AC1237" s="176"/>
      <c r="AD1237" s="176"/>
      <c r="AE1237" s="176"/>
      <c r="AF1237" s="176"/>
      <c r="AG1237" s="176"/>
      <c r="AH1237" s="176"/>
      <c r="AI1237" s="176"/>
      <c r="AJ1237" s="176"/>
      <c r="AK1237" s="176"/>
      <c r="AL1237" s="176"/>
      <c r="AM1237" s="176"/>
      <c r="AN1237" s="176"/>
      <c r="AO1237" s="176"/>
      <c r="AP1237" s="176"/>
      <c r="AQ1237" s="176"/>
      <c r="AR1237" s="176"/>
      <c r="AS1237" s="176"/>
      <c r="AT1237" s="176"/>
      <c r="AU1237" s="176"/>
      <c r="AV1237" s="176"/>
      <c r="AW1237" s="176"/>
      <c r="AX1237" s="176"/>
      <c r="AY1237" s="176"/>
      <c r="AZ1237" s="176"/>
      <c r="BA1237" s="176"/>
      <c r="BB1237" s="176"/>
      <c r="BC1237" s="176"/>
      <c r="BD1237" s="176"/>
      <c r="BE1237" s="176"/>
      <c r="BF1237" s="176"/>
      <c r="BG1237" s="176"/>
      <c r="BH1237" s="176"/>
      <c r="BI1237" s="176"/>
      <c r="BJ1237" s="176"/>
    </row>
    <row r="1238" spans="2:62" x14ac:dyDescent="0.3">
      <c r="B1238" s="3"/>
      <c r="C1238" s="2"/>
      <c r="D1238" s="2"/>
      <c r="E1238" s="3"/>
      <c r="O1238" s="176"/>
      <c r="P1238" s="176"/>
      <c r="Q1238" s="176"/>
      <c r="R1238" s="176"/>
      <c r="S1238" s="176"/>
      <c r="T1238" s="176"/>
      <c r="U1238" s="176"/>
      <c r="V1238" s="176"/>
      <c r="W1238" s="176"/>
      <c r="X1238" s="176"/>
      <c r="Y1238" s="176"/>
      <c r="Z1238" s="176"/>
      <c r="AA1238" s="176"/>
      <c r="AB1238" s="176"/>
      <c r="AC1238" s="176"/>
      <c r="AD1238" s="176"/>
      <c r="AE1238" s="176"/>
      <c r="AF1238" s="176"/>
      <c r="AG1238" s="176"/>
      <c r="AH1238" s="176"/>
      <c r="AI1238" s="176"/>
      <c r="AJ1238" s="176"/>
      <c r="AK1238" s="176"/>
      <c r="AL1238" s="176"/>
      <c r="AM1238" s="176"/>
      <c r="AN1238" s="176"/>
      <c r="AO1238" s="176"/>
      <c r="AP1238" s="176"/>
      <c r="AQ1238" s="176"/>
      <c r="AR1238" s="176"/>
      <c r="AS1238" s="176"/>
      <c r="AT1238" s="176"/>
      <c r="AU1238" s="176"/>
      <c r="AV1238" s="176"/>
      <c r="AW1238" s="176"/>
      <c r="AX1238" s="176"/>
      <c r="AY1238" s="176"/>
      <c r="AZ1238" s="176"/>
      <c r="BA1238" s="176"/>
      <c r="BB1238" s="176"/>
      <c r="BC1238" s="176"/>
      <c r="BD1238" s="176"/>
      <c r="BE1238" s="176"/>
      <c r="BF1238" s="176"/>
      <c r="BG1238" s="176"/>
      <c r="BH1238" s="176"/>
      <c r="BI1238" s="176"/>
      <c r="BJ1238" s="176"/>
    </row>
    <row r="1239" spans="2:62" x14ac:dyDescent="0.3">
      <c r="B1239" s="3"/>
      <c r="C1239" s="2"/>
      <c r="D1239" s="2"/>
      <c r="E1239" s="3"/>
      <c r="O1239" s="176"/>
      <c r="P1239" s="176"/>
      <c r="Q1239" s="176"/>
      <c r="R1239" s="176"/>
      <c r="S1239" s="176"/>
      <c r="T1239" s="176"/>
      <c r="U1239" s="176"/>
      <c r="V1239" s="176"/>
      <c r="W1239" s="176"/>
      <c r="X1239" s="176"/>
      <c r="Y1239" s="176"/>
      <c r="Z1239" s="176"/>
      <c r="AA1239" s="176"/>
      <c r="AB1239" s="176"/>
      <c r="AC1239" s="176"/>
      <c r="AD1239" s="176"/>
      <c r="AE1239" s="176"/>
      <c r="AF1239" s="176"/>
      <c r="AG1239" s="176"/>
      <c r="AH1239" s="176"/>
      <c r="AI1239" s="176"/>
      <c r="AJ1239" s="176"/>
      <c r="AK1239" s="176"/>
      <c r="AL1239" s="176"/>
      <c r="AM1239" s="176"/>
      <c r="AN1239" s="176"/>
      <c r="AO1239" s="176"/>
      <c r="AP1239" s="176"/>
      <c r="AQ1239" s="176"/>
      <c r="AR1239" s="176"/>
      <c r="AS1239" s="176"/>
      <c r="AT1239" s="176"/>
      <c r="AU1239" s="176"/>
      <c r="AV1239" s="176"/>
      <c r="AW1239" s="176"/>
      <c r="AX1239" s="176"/>
      <c r="AY1239" s="176"/>
      <c r="AZ1239" s="176"/>
      <c r="BA1239" s="176"/>
      <c r="BB1239" s="176"/>
      <c r="BC1239" s="176"/>
      <c r="BD1239" s="176"/>
      <c r="BE1239" s="176"/>
      <c r="BF1239" s="176"/>
      <c r="BG1239" s="176"/>
      <c r="BH1239" s="176"/>
      <c r="BI1239" s="176"/>
      <c r="BJ1239" s="176"/>
    </row>
    <row r="1240" spans="2:62" x14ac:dyDescent="0.3">
      <c r="B1240" s="3"/>
      <c r="C1240" s="2"/>
      <c r="D1240" s="2"/>
      <c r="E1240" s="3"/>
      <c r="O1240" s="176"/>
      <c r="P1240" s="176"/>
      <c r="Q1240" s="176"/>
      <c r="R1240" s="176"/>
      <c r="S1240" s="176"/>
      <c r="T1240" s="176"/>
      <c r="U1240" s="176"/>
      <c r="V1240" s="176"/>
      <c r="W1240" s="176"/>
      <c r="X1240" s="176"/>
      <c r="Y1240" s="176"/>
      <c r="Z1240" s="176"/>
      <c r="AA1240" s="176"/>
      <c r="AB1240" s="176"/>
      <c r="AC1240" s="176"/>
      <c r="AD1240" s="176"/>
      <c r="AE1240" s="176"/>
      <c r="AF1240" s="176"/>
      <c r="AG1240" s="176"/>
      <c r="AH1240" s="176"/>
      <c r="AI1240" s="176"/>
      <c r="AJ1240" s="176"/>
      <c r="AK1240" s="176"/>
      <c r="AL1240" s="176"/>
      <c r="AM1240" s="176"/>
      <c r="AN1240" s="176"/>
      <c r="AO1240" s="176"/>
      <c r="AP1240" s="176"/>
      <c r="AQ1240" s="176"/>
      <c r="AR1240" s="176"/>
      <c r="AS1240" s="176"/>
      <c r="AT1240" s="176"/>
      <c r="AU1240" s="176"/>
      <c r="AV1240" s="176"/>
      <c r="AW1240" s="176"/>
      <c r="AX1240" s="176"/>
      <c r="AY1240" s="176"/>
      <c r="AZ1240" s="176"/>
      <c r="BA1240" s="176"/>
      <c r="BB1240" s="176"/>
      <c r="BC1240" s="176"/>
      <c r="BD1240" s="176"/>
      <c r="BE1240" s="176"/>
      <c r="BF1240" s="176"/>
      <c r="BG1240" s="176"/>
      <c r="BH1240" s="176"/>
      <c r="BI1240" s="176"/>
      <c r="BJ1240" s="176"/>
    </row>
    <row r="1241" spans="2:62" x14ac:dyDescent="0.3">
      <c r="B1241" s="3"/>
      <c r="C1241" s="2"/>
      <c r="D1241" s="2"/>
      <c r="E1241" s="3"/>
      <c r="O1241" s="176"/>
      <c r="P1241" s="176"/>
      <c r="Q1241" s="176"/>
      <c r="R1241" s="176"/>
      <c r="S1241" s="176"/>
      <c r="T1241" s="176"/>
      <c r="U1241" s="176"/>
      <c r="V1241" s="176"/>
      <c r="W1241" s="176"/>
      <c r="X1241" s="176"/>
      <c r="Y1241" s="176"/>
      <c r="Z1241" s="176"/>
      <c r="AA1241" s="176"/>
      <c r="AB1241" s="176"/>
      <c r="AC1241" s="176"/>
      <c r="AD1241" s="176"/>
      <c r="AE1241" s="176"/>
      <c r="AF1241" s="176"/>
      <c r="AG1241" s="176"/>
      <c r="AH1241" s="176"/>
      <c r="AI1241" s="176"/>
      <c r="AJ1241" s="176"/>
      <c r="AK1241" s="176"/>
      <c r="AL1241" s="176"/>
      <c r="AM1241" s="176"/>
      <c r="AN1241" s="176"/>
      <c r="AO1241" s="176"/>
      <c r="AP1241" s="176"/>
      <c r="AQ1241" s="176"/>
      <c r="AR1241" s="176"/>
      <c r="AS1241" s="176"/>
      <c r="AT1241" s="176"/>
      <c r="AU1241" s="176"/>
      <c r="AV1241" s="176"/>
      <c r="AW1241" s="176"/>
      <c r="AX1241" s="176"/>
      <c r="AY1241" s="176"/>
      <c r="AZ1241" s="176"/>
      <c r="BA1241" s="176"/>
      <c r="BB1241" s="176"/>
      <c r="BC1241" s="176"/>
      <c r="BD1241" s="176"/>
      <c r="BE1241" s="176"/>
      <c r="BF1241" s="176"/>
      <c r="BG1241" s="176"/>
      <c r="BH1241" s="176"/>
      <c r="BI1241" s="176"/>
      <c r="BJ1241" s="176"/>
    </row>
    <row r="1242" spans="2:62" x14ac:dyDescent="0.3">
      <c r="B1242" s="3"/>
      <c r="C1242" s="2"/>
      <c r="D1242" s="2"/>
      <c r="E1242" s="3"/>
      <c r="O1242" s="176"/>
      <c r="P1242" s="176"/>
      <c r="Q1242" s="176"/>
      <c r="R1242" s="176"/>
      <c r="S1242" s="176"/>
      <c r="T1242" s="176"/>
      <c r="U1242" s="176"/>
      <c r="V1242" s="176"/>
      <c r="W1242" s="176"/>
      <c r="X1242" s="176"/>
      <c r="Y1242" s="176"/>
      <c r="Z1242" s="176"/>
      <c r="AA1242" s="176"/>
      <c r="AB1242" s="176"/>
      <c r="AC1242" s="176"/>
      <c r="AD1242" s="176"/>
      <c r="AE1242" s="176"/>
      <c r="AF1242" s="176"/>
      <c r="AG1242" s="176"/>
      <c r="AH1242" s="176"/>
      <c r="AI1242" s="176"/>
      <c r="AJ1242" s="176"/>
      <c r="AK1242" s="176"/>
      <c r="AL1242" s="176"/>
      <c r="AM1242" s="176"/>
      <c r="AN1242" s="176"/>
      <c r="AO1242" s="176"/>
      <c r="AP1242" s="176"/>
      <c r="AQ1242" s="176"/>
      <c r="AR1242" s="176"/>
      <c r="AS1242" s="176"/>
      <c r="AT1242" s="176"/>
      <c r="AU1242" s="176"/>
      <c r="AV1242" s="176"/>
      <c r="AW1242" s="176"/>
      <c r="AX1242" s="176"/>
      <c r="AY1242" s="176"/>
      <c r="AZ1242" s="176"/>
      <c r="BA1242" s="176"/>
      <c r="BB1242" s="176"/>
      <c r="BC1242" s="176"/>
      <c r="BD1242" s="176"/>
      <c r="BE1242" s="176"/>
      <c r="BF1242" s="176"/>
      <c r="BG1242" s="176"/>
      <c r="BH1242" s="176"/>
      <c r="BI1242" s="176"/>
      <c r="BJ1242" s="176"/>
    </row>
    <row r="1243" spans="2:62" x14ac:dyDescent="0.3">
      <c r="B1243" s="3"/>
      <c r="C1243" s="2"/>
      <c r="D1243" s="2"/>
      <c r="E1243" s="3"/>
      <c r="O1243" s="176"/>
      <c r="P1243" s="176"/>
      <c r="Q1243" s="176"/>
      <c r="R1243" s="176"/>
      <c r="S1243" s="176"/>
      <c r="T1243" s="176"/>
      <c r="U1243" s="176"/>
      <c r="V1243" s="176"/>
      <c r="W1243" s="176"/>
      <c r="X1243" s="176"/>
      <c r="Y1243" s="176"/>
      <c r="Z1243" s="176"/>
      <c r="AA1243" s="176"/>
      <c r="AB1243" s="176"/>
      <c r="AC1243" s="176"/>
      <c r="AD1243" s="176"/>
      <c r="AE1243" s="176"/>
      <c r="AF1243" s="176"/>
      <c r="AG1243" s="176"/>
      <c r="AH1243" s="176"/>
      <c r="AI1243" s="176"/>
      <c r="AJ1243" s="176"/>
      <c r="AK1243" s="176"/>
      <c r="AL1243" s="176"/>
      <c r="AM1243" s="176"/>
      <c r="AN1243" s="176"/>
      <c r="AO1243" s="176"/>
      <c r="AP1243" s="176"/>
      <c r="AQ1243" s="176"/>
      <c r="AR1243" s="176"/>
      <c r="AS1243" s="176"/>
      <c r="AT1243" s="176"/>
      <c r="AU1243" s="176"/>
      <c r="AV1243" s="176"/>
      <c r="AW1243" s="176"/>
      <c r="AX1243" s="176"/>
      <c r="AY1243" s="176"/>
      <c r="AZ1243" s="176"/>
      <c r="BA1243" s="176"/>
      <c r="BB1243" s="176"/>
      <c r="BC1243" s="176"/>
      <c r="BD1243" s="176"/>
      <c r="BE1243" s="176"/>
      <c r="BF1243" s="176"/>
      <c r="BG1243" s="176"/>
      <c r="BH1243" s="176"/>
      <c r="BI1243" s="176"/>
      <c r="BJ1243" s="176"/>
    </row>
    <row r="1244" spans="2:62" x14ac:dyDescent="0.3">
      <c r="B1244" s="3"/>
      <c r="C1244" s="2"/>
      <c r="D1244" s="2"/>
      <c r="E1244" s="3"/>
      <c r="O1244" s="176"/>
      <c r="P1244" s="176"/>
      <c r="Q1244" s="176"/>
      <c r="R1244" s="176"/>
      <c r="S1244" s="176"/>
      <c r="T1244" s="176"/>
      <c r="U1244" s="176"/>
      <c r="V1244" s="176"/>
      <c r="W1244" s="176"/>
      <c r="X1244" s="176"/>
      <c r="Y1244" s="176"/>
      <c r="Z1244" s="176"/>
      <c r="AA1244" s="176"/>
      <c r="AB1244" s="176"/>
      <c r="AC1244" s="176"/>
      <c r="AD1244" s="176"/>
      <c r="AE1244" s="176"/>
      <c r="AF1244" s="176"/>
      <c r="AG1244" s="176"/>
      <c r="AH1244" s="176"/>
      <c r="AI1244" s="176"/>
      <c r="AJ1244" s="176"/>
      <c r="AK1244" s="176"/>
      <c r="AL1244" s="176"/>
      <c r="AM1244" s="176"/>
      <c r="AN1244" s="176"/>
      <c r="AO1244" s="176"/>
      <c r="AP1244" s="176"/>
      <c r="AQ1244" s="176"/>
      <c r="AR1244" s="176"/>
      <c r="AS1244" s="176"/>
      <c r="AT1244" s="176"/>
      <c r="AU1244" s="176"/>
      <c r="AV1244" s="176"/>
      <c r="AW1244" s="176"/>
      <c r="AX1244" s="176"/>
      <c r="AY1244" s="176"/>
      <c r="AZ1244" s="176"/>
      <c r="BA1244" s="176"/>
      <c r="BB1244" s="176"/>
      <c r="BC1244" s="176"/>
      <c r="BD1244" s="176"/>
      <c r="BE1244" s="176"/>
      <c r="BF1244" s="176"/>
      <c r="BG1244" s="176"/>
      <c r="BH1244" s="176"/>
      <c r="BI1244" s="176"/>
      <c r="BJ1244" s="176"/>
    </row>
    <row r="1245" spans="2:62" x14ac:dyDescent="0.3">
      <c r="B1245" s="3"/>
      <c r="C1245" s="2"/>
      <c r="D1245" s="2"/>
      <c r="E1245" s="3"/>
      <c r="O1245" s="176"/>
      <c r="P1245" s="176"/>
      <c r="Q1245" s="176"/>
      <c r="R1245" s="176"/>
      <c r="S1245" s="176"/>
      <c r="T1245" s="176"/>
      <c r="U1245" s="176"/>
      <c r="V1245" s="176"/>
      <c r="W1245" s="176"/>
      <c r="X1245" s="176"/>
      <c r="Y1245" s="176"/>
      <c r="Z1245" s="176"/>
      <c r="AA1245" s="176"/>
      <c r="AB1245" s="176"/>
      <c r="AC1245" s="176"/>
      <c r="AD1245" s="176"/>
      <c r="AE1245" s="176"/>
      <c r="AF1245" s="176"/>
      <c r="AG1245" s="176"/>
      <c r="AH1245" s="176"/>
      <c r="AI1245" s="176"/>
      <c r="AJ1245" s="176"/>
      <c r="AK1245" s="176"/>
      <c r="AL1245" s="176"/>
      <c r="AM1245" s="176"/>
      <c r="AN1245" s="176"/>
      <c r="AO1245" s="176"/>
      <c r="AP1245" s="176"/>
      <c r="AQ1245" s="176"/>
      <c r="AR1245" s="176"/>
      <c r="AS1245" s="176"/>
      <c r="AT1245" s="176"/>
      <c r="AU1245" s="176"/>
      <c r="AV1245" s="176"/>
      <c r="AW1245" s="176"/>
      <c r="AX1245" s="176"/>
      <c r="AY1245" s="176"/>
      <c r="AZ1245" s="176"/>
      <c r="BA1245" s="176"/>
      <c r="BB1245" s="176"/>
      <c r="BC1245" s="176"/>
      <c r="BD1245" s="176"/>
      <c r="BE1245" s="176"/>
      <c r="BF1245" s="176"/>
      <c r="BG1245" s="176"/>
      <c r="BH1245" s="176"/>
      <c r="BI1245" s="176"/>
      <c r="BJ1245" s="176"/>
    </row>
    <row r="1246" spans="2:62" x14ac:dyDescent="0.3">
      <c r="B1246" s="3"/>
      <c r="C1246" s="2"/>
      <c r="D1246" s="2"/>
      <c r="E1246" s="3"/>
      <c r="O1246" s="176"/>
      <c r="P1246" s="176"/>
      <c r="Q1246" s="176"/>
      <c r="R1246" s="176"/>
      <c r="S1246" s="176"/>
      <c r="T1246" s="176"/>
      <c r="U1246" s="176"/>
      <c r="V1246" s="176"/>
      <c r="W1246" s="176"/>
      <c r="X1246" s="176"/>
      <c r="Y1246" s="176"/>
      <c r="Z1246" s="176"/>
      <c r="AA1246" s="176"/>
      <c r="AB1246" s="176"/>
      <c r="AC1246" s="176"/>
      <c r="AD1246" s="176"/>
      <c r="AE1246" s="176"/>
      <c r="AF1246" s="176"/>
      <c r="AG1246" s="176"/>
      <c r="AH1246" s="176"/>
      <c r="AI1246" s="176"/>
      <c r="AJ1246" s="176"/>
      <c r="AK1246" s="176"/>
      <c r="AL1246" s="176"/>
      <c r="AM1246" s="176"/>
      <c r="AN1246" s="176"/>
      <c r="AO1246" s="176"/>
      <c r="AP1246" s="176"/>
      <c r="AQ1246" s="176"/>
      <c r="AR1246" s="176"/>
      <c r="AS1246" s="176"/>
      <c r="AT1246" s="176"/>
      <c r="AU1246" s="176"/>
      <c r="AV1246" s="176"/>
      <c r="AW1246" s="176"/>
      <c r="AX1246" s="176"/>
      <c r="AY1246" s="176"/>
      <c r="AZ1246" s="176"/>
      <c r="BA1246" s="176"/>
      <c r="BB1246" s="176"/>
      <c r="BC1246" s="176"/>
      <c r="BD1246" s="176"/>
      <c r="BE1246" s="176"/>
      <c r="BF1246" s="176"/>
      <c r="BG1246" s="176"/>
      <c r="BH1246" s="176"/>
      <c r="BI1246" s="176"/>
      <c r="BJ1246" s="176"/>
    </row>
    <row r="1247" spans="2:62" x14ac:dyDescent="0.3">
      <c r="B1247" s="3"/>
      <c r="C1247" s="2"/>
      <c r="D1247" s="2"/>
      <c r="E1247" s="3"/>
      <c r="O1247" s="176"/>
      <c r="P1247" s="176"/>
      <c r="Q1247" s="176"/>
      <c r="R1247" s="176"/>
      <c r="S1247" s="176"/>
      <c r="T1247" s="176"/>
      <c r="U1247" s="176"/>
      <c r="V1247" s="176"/>
      <c r="W1247" s="176"/>
      <c r="X1247" s="176"/>
      <c r="Y1247" s="176"/>
      <c r="Z1247" s="176"/>
      <c r="AA1247" s="176"/>
      <c r="AB1247" s="176"/>
      <c r="AC1247" s="176"/>
      <c r="AD1247" s="176"/>
      <c r="AE1247" s="176"/>
      <c r="AF1247" s="176"/>
      <c r="AG1247" s="176"/>
      <c r="AH1247" s="176"/>
      <c r="AI1247" s="176"/>
      <c r="AJ1247" s="176"/>
      <c r="AK1247" s="176"/>
      <c r="AL1247" s="176"/>
      <c r="AM1247" s="176"/>
      <c r="AN1247" s="176"/>
      <c r="AO1247" s="176"/>
      <c r="AP1247" s="176"/>
      <c r="AQ1247" s="176"/>
      <c r="AR1247" s="176"/>
      <c r="AS1247" s="176"/>
      <c r="AT1247" s="176"/>
      <c r="AU1247" s="176"/>
      <c r="AV1247" s="176"/>
      <c r="AW1247" s="176"/>
      <c r="AX1247" s="176"/>
      <c r="AY1247" s="176"/>
      <c r="AZ1247" s="176"/>
      <c r="BA1247" s="176"/>
      <c r="BB1247" s="176"/>
      <c r="BC1247" s="176"/>
      <c r="BD1247" s="176"/>
      <c r="BE1247" s="176"/>
      <c r="BF1247" s="176"/>
      <c r="BG1247" s="176"/>
      <c r="BH1247" s="176"/>
      <c r="BI1247" s="176"/>
      <c r="BJ1247" s="176"/>
    </row>
    <row r="1248" spans="2:62" x14ac:dyDescent="0.3">
      <c r="B1248" s="3"/>
      <c r="C1248" s="2"/>
      <c r="D1248" s="2"/>
      <c r="E1248" s="3"/>
      <c r="O1248" s="176"/>
      <c r="P1248" s="176"/>
      <c r="Q1248" s="176"/>
      <c r="R1248" s="176"/>
      <c r="S1248" s="176"/>
      <c r="T1248" s="176"/>
      <c r="U1248" s="176"/>
      <c r="V1248" s="176"/>
      <c r="W1248" s="176"/>
      <c r="X1248" s="176"/>
      <c r="Y1248" s="176"/>
      <c r="Z1248" s="176"/>
      <c r="AA1248" s="176"/>
      <c r="AB1248" s="176"/>
      <c r="AC1248" s="176"/>
      <c r="AD1248" s="176"/>
      <c r="AE1248" s="176"/>
      <c r="AF1248" s="176"/>
      <c r="AG1248" s="176"/>
      <c r="AH1248" s="176"/>
      <c r="AI1248" s="176"/>
      <c r="AJ1248" s="176"/>
      <c r="AK1248" s="176"/>
      <c r="AL1248" s="176"/>
      <c r="AM1248" s="176"/>
      <c r="AN1248" s="176"/>
      <c r="AO1248" s="176"/>
      <c r="AP1248" s="176"/>
      <c r="AQ1248" s="176"/>
      <c r="AR1248" s="176"/>
      <c r="AS1248" s="176"/>
      <c r="AT1248" s="176"/>
      <c r="AU1248" s="176"/>
      <c r="AV1248" s="176"/>
      <c r="AW1248" s="176"/>
      <c r="AX1248" s="176"/>
      <c r="AY1248" s="176"/>
      <c r="AZ1248" s="176"/>
      <c r="BA1248" s="176"/>
      <c r="BB1248" s="176"/>
      <c r="BC1248" s="176"/>
      <c r="BD1248" s="176"/>
      <c r="BE1248" s="176"/>
      <c r="BF1248" s="176"/>
      <c r="BG1248" s="176"/>
      <c r="BH1248" s="176"/>
      <c r="BI1248" s="176"/>
      <c r="BJ1248" s="176"/>
    </row>
  </sheetData>
  <autoFilter ref="A6:DY370" xr:uid="{00000000-0001-0000-0000-000000000000}">
    <filterColumn colId="3">
      <filters>
        <filter val="Ficha de medidor de violencia"/>
      </filters>
    </filterColumn>
  </autoFilter>
  <mergeCells count="63">
    <mergeCell ref="BY4:BZ5"/>
    <mergeCell ref="BU4:BV5"/>
    <mergeCell ref="DW4:DY5"/>
    <mergeCell ref="CU4:CV5"/>
    <mergeCell ref="DC4:DD5"/>
    <mergeCell ref="DE4:DF5"/>
    <mergeCell ref="DA4:DB5"/>
    <mergeCell ref="CY4:CZ5"/>
    <mergeCell ref="CW4:CX5"/>
    <mergeCell ref="DG4:DH5"/>
    <mergeCell ref="DI4:DJ5"/>
    <mergeCell ref="DK4:DL5"/>
    <mergeCell ref="DM4:DN5"/>
    <mergeCell ref="DO4:DP5"/>
    <mergeCell ref="DQ4:DR5"/>
    <mergeCell ref="AE4:AF5"/>
    <mergeCell ref="A4:H5"/>
    <mergeCell ref="AQ4:AR5"/>
    <mergeCell ref="DS4:DV5"/>
    <mergeCell ref="CQ4:CR5"/>
    <mergeCell ref="CS4:CT5"/>
    <mergeCell ref="CG4:CH5"/>
    <mergeCell ref="CI4:CJ5"/>
    <mergeCell ref="CA4:CB5"/>
    <mergeCell ref="BE4:BF5"/>
    <mergeCell ref="CK4:CL5"/>
    <mergeCell ref="CM4:CN5"/>
    <mergeCell ref="CE4:CF5"/>
    <mergeCell ref="BK4:BL5"/>
    <mergeCell ref="BS4:BT5"/>
    <mergeCell ref="BW4:BX5"/>
    <mergeCell ref="W4:X5"/>
    <mergeCell ref="BQ4:BR5"/>
    <mergeCell ref="A2:DY2"/>
    <mergeCell ref="CO4:CP5"/>
    <mergeCell ref="AU4:AV5"/>
    <mergeCell ref="AW4:AX5"/>
    <mergeCell ref="AY4:AZ5"/>
    <mergeCell ref="U4:V5"/>
    <mergeCell ref="Q4:R5"/>
    <mergeCell ref="S4:T5"/>
    <mergeCell ref="AK4:AL5"/>
    <mergeCell ref="AM4:AN5"/>
    <mergeCell ref="BA4:BB5"/>
    <mergeCell ref="AS4:AT5"/>
    <mergeCell ref="K4:L5"/>
    <mergeCell ref="M4:N5"/>
    <mergeCell ref="A360:E370"/>
    <mergeCell ref="O4:P5"/>
    <mergeCell ref="I4:J5"/>
    <mergeCell ref="A3:DY3"/>
    <mergeCell ref="AO4:AP5"/>
    <mergeCell ref="BC4:BD5"/>
    <mergeCell ref="BI4:BJ5"/>
    <mergeCell ref="BO4:BP5"/>
    <mergeCell ref="Y4:Z5"/>
    <mergeCell ref="BG4:BH5"/>
    <mergeCell ref="AA4:AB5"/>
    <mergeCell ref="AC4:AD5"/>
    <mergeCell ref="AG4:AH5"/>
    <mergeCell ref="CC4:CD5"/>
    <mergeCell ref="BM4:BN5"/>
    <mergeCell ref="AI4:AJ5"/>
  </mergeCells>
  <phoneticPr fontId="12" type="noConversion"/>
  <dataValidations disablePrompts="1" count="1">
    <dataValidation type="list" allowBlank="1" showInputMessage="1" showErrorMessage="1" sqref="F351" xr:uid="{63C5F694-60CD-49EC-AE13-2316F5EB2959}">
      <formula1>#REF!</formula1>
    </dataValidation>
  </dataValidations>
  <pageMargins left="0.25" right="0.25" top="0.75" bottom="0.75" header="0" footer="0"/>
  <pageSetup paperSize="9" scale="50" orientation="landscape" r:id="rId1"/>
  <ignoredErrors>
    <ignoredError sqref="DX41 DX207 DW311"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2B2BA-C7D4-4754-BE49-E03BEBA44EEB}">
  <dimension ref="A2:FN150"/>
  <sheetViews>
    <sheetView zoomScaleNormal="100" workbookViewId="0">
      <selection activeCell="C6" sqref="C6"/>
    </sheetView>
  </sheetViews>
  <sheetFormatPr baseColWidth="10" defaultColWidth="10.81640625" defaultRowHeight="14.5" x14ac:dyDescent="0.35"/>
  <cols>
    <col min="1" max="1" width="10.26953125" style="529" customWidth="1"/>
    <col min="2" max="2" width="18.26953125" style="529" customWidth="1"/>
    <col min="3" max="3" width="76.54296875" style="530" customWidth="1"/>
    <col min="4" max="4" width="10.81640625" style="529"/>
    <col min="5" max="5" width="14" style="529" customWidth="1"/>
    <col min="6" max="118" width="17.26953125" style="527" customWidth="1"/>
    <col min="119" max="161" width="17.7265625" style="527" customWidth="1"/>
    <col min="162" max="162" width="19.453125" style="447" customWidth="1"/>
    <col min="163" max="163" width="20.453125" style="447" customWidth="1"/>
    <col min="164" max="164" width="16.7265625" style="447" customWidth="1"/>
    <col min="165" max="165" width="27.81640625" style="447" customWidth="1"/>
    <col min="166" max="166" width="14.81640625" style="447" customWidth="1"/>
    <col min="167" max="167" width="20.1796875" style="447" customWidth="1"/>
    <col min="168" max="168" width="51.453125" style="447" customWidth="1"/>
    <col min="169" max="16384" width="10.81640625" style="447"/>
  </cols>
  <sheetData>
    <row r="2" spans="1:169" ht="42.75" customHeight="1" x14ac:dyDescent="0.35">
      <c r="A2" s="718" t="s">
        <v>1332</v>
      </c>
      <c r="B2" s="719"/>
      <c r="C2" s="719"/>
      <c r="D2" s="719"/>
      <c r="E2" s="720"/>
      <c r="F2" s="724" t="s">
        <v>532</v>
      </c>
      <c r="G2" s="724"/>
      <c r="H2" s="726" t="s">
        <v>533</v>
      </c>
      <c r="I2" s="727"/>
      <c r="J2" s="729" t="s">
        <v>534</v>
      </c>
      <c r="K2" s="729"/>
      <c r="L2" s="731" t="s">
        <v>535</v>
      </c>
      <c r="M2" s="731"/>
      <c r="N2" s="724" t="s">
        <v>536</v>
      </c>
      <c r="O2" s="733"/>
      <c r="P2" s="735" t="s">
        <v>537</v>
      </c>
      <c r="Q2" s="735"/>
      <c r="R2" s="729" t="s">
        <v>538</v>
      </c>
      <c r="S2" s="729"/>
      <c r="T2" s="731" t="s">
        <v>539</v>
      </c>
      <c r="U2" s="731"/>
      <c r="V2" s="724" t="s">
        <v>540</v>
      </c>
      <c r="W2" s="724"/>
      <c r="X2" s="737" t="s">
        <v>541</v>
      </c>
      <c r="Y2" s="737"/>
      <c r="Z2" s="729" t="s">
        <v>542</v>
      </c>
      <c r="AA2" s="729"/>
      <c r="AB2" s="731" t="s">
        <v>543</v>
      </c>
      <c r="AC2" s="731"/>
      <c r="AD2" s="716" t="s">
        <v>544</v>
      </c>
      <c r="AE2" s="716"/>
      <c r="AF2" s="726" t="s">
        <v>545</v>
      </c>
      <c r="AG2" s="726"/>
      <c r="AH2" s="740" t="s">
        <v>546</v>
      </c>
      <c r="AI2" s="740"/>
      <c r="AJ2" s="742" t="s">
        <v>547</v>
      </c>
      <c r="AK2" s="742"/>
      <c r="AL2" s="716" t="s">
        <v>548</v>
      </c>
      <c r="AM2" s="716"/>
      <c r="AN2" s="726" t="s">
        <v>549</v>
      </c>
      <c r="AO2" s="726"/>
      <c r="AP2" s="740" t="s">
        <v>550</v>
      </c>
      <c r="AQ2" s="740"/>
      <c r="AR2" s="742" t="s">
        <v>551</v>
      </c>
      <c r="AS2" s="742"/>
      <c r="AT2" s="744" t="s">
        <v>552</v>
      </c>
      <c r="AU2" s="745"/>
      <c r="AV2" s="748" t="s">
        <v>553</v>
      </c>
      <c r="AW2" s="749"/>
      <c r="AX2" s="752" t="s">
        <v>554</v>
      </c>
      <c r="AY2" s="753"/>
      <c r="AZ2" s="742" t="s">
        <v>555</v>
      </c>
      <c r="BA2" s="742"/>
      <c r="BB2" s="716" t="s">
        <v>556</v>
      </c>
      <c r="BC2" s="716"/>
      <c r="BD2" s="726" t="s">
        <v>557</v>
      </c>
      <c r="BE2" s="726"/>
      <c r="BF2" s="740" t="s">
        <v>558</v>
      </c>
      <c r="BG2" s="740"/>
      <c r="BH2" s="742" t="s">
        <v>559</v>
      </c>
      <c r="BI2" s="742"/>
      <c r="BJ2" s="716" t="s">
        <v>560</v>
      </c>
      <c r="BK2" s="716"/>
      <c r="BL2" s="726" t="s">
        <v>561</v>
      </c>
      <c r="BM2" s="726"/>
      <c r="BN2" s="740" t="s">
        <v>562</v>
      </c>
      <c r="BO2" s="740"/>
      <c r="BP2" s="742" t="s">
        <v>563</v>
      </c>
      <c r="BQ2" s="742"/>
      <c r="BR2" s="716" t="s">
        <v>564</v>
      </c>
      <c r="BS2" s="716"/>
      <c r="BT2" s="726" t="s">
        <v>565</v>
      </c>
      <c r="BU2" s="726"/>
      <c r="BV2" s="740" t="s">
        <v>566</v>
      </c>
      <c r="BW2" s="740"/>
      <c r="BX2" s="742" t="s">
        <v>567</v>
      </c>
      <c r="BY2" s="742"/>
      <c r="BZ2" s="716" t="s">
        <v>568</v>
      </c>
      <c r="CA2" s="716"/>
      <c r="CB2" s="726" t="s">
        <v>569</v>
      </c>
      <c r="CC2" s="726"/>
      <c r="CD2" s="740" t="s">
        <v>570</v>
      </c>
      <c r="CE2" s="740"/>
      <c r="CF2" s="742" t="s">
        <v>571</v>
      </c>
      <c r="CG2" s="742"/>
      <c r="CH2" s="716" t="s">
        <v>572</v>
      </c>
      <c r="CI2" s="716"/>
      <c r="CJ2" s="726" t="s">
        <v>573</v>
      </c>
      <c r="CK2" s="726"/>
      <c r="CL2" s="740" t="s">
        <v>574</v>
      </c>
      <c r="CM2" s="740"/>
      <c r="CN2" s="742" t="s">
        <v>575</v>
      </c>
      <c r="CO2" s="742"/>
      <c r="CP2" s="716" t="s">
        <v>576</v>
      </c>
      <c r="CQ2" s="716"/>
      <c r="CR2" s="726" t="s">
        <v>577</v>
      </c>
      <c r="CS2" s="726"/>
      <c r="CT2" s="758" t="s">
        <v>229</v>
      </c>
      <c r="CU2" s="758"/>
      <c r="CV2" s="760" t="s">
        <v>578</v>
      </c>
      <c r="CW2" s="760"/>
      <c r="CX2" s="756" t="s">
        <v>579</v>
      </c>
      <c r="CY2" s="756"/>
      <c r="CZ2" s="764" t="s">
        <v>580</v>
      </c>
      <c r="DA2" s="764"/>
      <c r="DB2" s="758" t="s">
        <v>581</v>
      </c>
      <c r="DC2" s="758"/>
      <c r="DD2" s="766" t="s">
        <v>582</v>
      </c>
      <c r="DE2" s="767"/>
      <c r="DF2" s="756" t="s">
        <v>583</v>
      </c>
      <c r="DG2" s="756"/>
      <c r="DH2" s="770" t="s">
        <v>584</v>
      </c>
      <c r="DI2" s="771"/>
      <c r="DJ2" s="752" t="s">
        <v>585</v>
      </c>
      <c r="DK2" s="753"/>
      <c r="DL2" s="774" t="s">
        <v>586</v>
      </c>
      <c r="DM2" s="774"/>
      <c r="DN2" s="762" t="s">
        <v>587</v>
      </c>
      <c r="DO2" s="762"/>
      <c r="DP2" s="776" t="s">
        <v>588</v>
      </c>
      <c r="DQ2" s="776"/>
      <c r="DR2" s="778" t="s">
        <v>589</v>
      </c>
      <c r="DS2" s="778"/>
      <c r="DT2" s="780" t="s">
        <v>590</v>
      </c>
      <c r="DU2" s="780"/>
      <c r="DV2" s="762" t="s">
        <v>591</v>
      </c>
      <c r="DW2" s="762"/>
      <c r="DX2" s="776" t="s">
        <v>592</v>
      </c>
      <c r="DY2" s="776"/>
      <c r="DZ2" s="778" t="s">
        <v>593</v>
      </c>
      <c r="EA2" s="778"/>
      <c r="EB2" s="780" t="s">
        <v>594</v>
      </c>
      <c r="EC2" s="780"/>
      <c r="ED2" s="782" t="s">
        <v>595</v>
      </c>
      <c r="EE2" s="782"/>
      <c r="EF2" s="776" t="s">
        <v>596</v>
      </c>
      <c r="EG2" s="776"/>
      <c r="EH2" s="778" t="s">
        <v>597</v>
      </c>
      <c r="EI2" s="778"/>
      <c r="EJ2" s="780" t="s">
        <v>598</v>
      </c>
      <c r="EK2" s="780"/>
      <c r="EL2" s="762" t="s">
        <v>599</v>
      </c>
      <c r="EM2" s="762"/>
      <c r="EN2" s="776" t="s">
        <v>600</v>
      </c>
      <c r="EO2" s="776"/>
      <c r="EP2" s="804" t="s">
        <v>288</v>
      </c>
      <c r="EQ2" s="805"/>
      <c r="ER2" s="804" t="s">
        <v>289</v>
      </c>
      <c r="ES2" s="805"/>
      <c r="ET2" s="804" t="s">
        <v>290</v>
      </c>
      <c r="EU2" s="805"/>
      <c r="EV2" s="792" t="s">
        <v>304</v>
      </c>
      <c r="EW2" s="792"/>
      <c r="EX2" s="793" t="s">
        <v>601</v>
      </c>
      <c r="EY2" s="793"/>
      <c r="EZ2" s="794" t="s">
        <v>602</v>
      </c>
      <c r="FA2" s="795"/>
      <c r="FB2" s="798" t="s">
        <v>603</v>
      </c>
      <c r="FC2" s="798"/>
      <c r="FD2" s="798" t="s">
        <v>604</v>
      </c>
      <c r="FE2" s="799"/>
      <c r="FF2" s="800" t="s">
        <v>247</v>
      </c>
      <c r="FG2" s="800"/>
      <c r="FH2" s="800"/>
      <c r="FI2" s="801"/>
      <c r="FJ2" s="784" t="s">
        <v>605</v>
      </c>
      <c r="FK2" s="785"/>
      <c r="FL2" s="786"/>
    </row>
    <row r="3" spans="1:169" ht="42.75" customHeight="1" x14ac:dyDescent="0.35">
      <c r="A3" s="721"/>
      <c r="B3" s="722"/>
      <c r="C3" s="722"/>
      <c r="D3" s="722"/>
      <c r="E3" s="723"/>
      <c r="F3" s="725"/>
      <c r="G3" s="725"/>
      <c r="H3" s="728"/>
      <c r="I3" s="728"/>
      <c r="J3" s="730"/>
      <c r="K3" s="730"/>
      <c r="L3" s="732"/>
      <c r="M3" s="732"/>
      <c r="N3" s="734"/>
      <c r="O3" s="734"/>
      <c r="P3" s="736"/>
      <c r="Q3" s="736"/>
      <c r="R3" s="730"/>
      <c r="S3" s="730"/>
      <c r="T3" s="732"/>
      <c r="U3" s="732"/>
      <c r="V3" s="725"/>
      <c r="W3" s="725"/>
      <c r="X3" s="738"/>
      <c r="Y3" s="738"/>
      <c r="Z3" s="730"/>
      <c r="AA3" s="730"/>
      <c r="AB3" s="732"/>
      <c r="AC3" s="732"/>
      <c r="AD3" s="717"/>
      <c r="AE3" s="717"/>
      <c r="AF3" s="739"/>
      <c r="AG3" s="739"/>
      <c r="AH3" s="741"/>
      <c r="AI3" s="741"/>
      <c r="AJ3" s="743"/>
      <c r="AK3" s="743"/>
      <c r="AL3" s="717"/>
      <c r="AM3" s="717"/>
      <c r="AN3" s="739"/>
      <c r="AO3" s="739"/>
      <c r="AP3" s="741"/>
      <c r="AQ3" s="741"/>
      <c r="AR3" s="743"/>
      <c r="AS3" s="743"/>
      <c r="AT3" s="746"/>
      <c r="AU3" s="747"/>
      <c r="AV3" s="750"/>
      <c r="AW3" s="751"/>
      <c r="AX3" s="754"/>
      <c r="AY3" s="755"/>
      <c r="AZ3" s="743"/>
      <c r="BA3" s="743"/>
      <c r="BB3" s="717"/>
      <c r="BC3" s="717"/>
      <c r="BD3" s="739"/>
      <c r="BE3" s="739"/>
      <c r="BF3" s="741"/>
      <c r="BG3" s="741"/>
      <c r="BH3" s="743"/>
      <c r="BI3" s="743"/>
      <c r="BJ3" s="717"/>
      <c r="BK3" s="717"/>
      <c r="BL3" s="739"/>
      <c r="BM3" s="739"/>
      <c r="BN3" s="741"/>
      <c r="BO3" s="741"/>
      <c r="BP3" s="743"/>
      <c r="BQ3" s="743"/>
      <c r="BR3" s="717"/>
      <c r="BS3" s="717"/>
      <c r="BT3" s="739"/>
      <c r="BU3" s="739"/>
      <c r="BV3" s="741"/>
      <c r="BW3" s="741"/>
      <c r="BX3" s="743"/>
      <c r="BY3" s="743"/>
      <c r="BZ3" s="717"/>
      <c r="CA3" s="717"/>
      <c r="CB3" s="739"/>
      <c r="CC3" s="739"/>
      <c r="CD3" s="741"/>
      <c r="CE3" s="741"/>
      <c r="CF3" s="743"/>
      <c r="CG3" s="743"/>
      <c r="CH3" s="717"/>
      <c r="CI3" s="717"/>
      <c r="CJ3" s="739"/>
      <c r="CK3" s="739"/>
      <c r="CL3" s="741"/>
      <c r="CM3" s="741"/>
      <c r="CN3" s="743"/>
      <c r="CO3" s="743"/>
      <c r="CP3" s="717"/>
      <c r="CQ3" s="717"/>
      <c r="CR3" s="739"/>
      <c r="CS3" s="739"/>
      <c r="CT3" s="759"/>
      <c r="CU3" s="759"/>
      <c r="CV3" s="761"/>
      <c r="CW3" s="761"/>
      <c r="CX3" s="757"/>
      <c r="CY3" s="757"/>
      <c r="CZ3" s="765"/>
      <c r="DA3" s="765"/>
      <c r="DB3" s="759"/>
      <c r="DC3" s="759"/>
      <c r="DD3" s="768"/>
      <c r="DE3" s="769"/>
      <c r="DF3" s="757"/>
      <c r="DG3" s="757"/>
      <c r="DH3" s="772"/>
      <c r="DI3" s="773"/>
      <c r="DJ3" s="754"/>
      <c r="DK3" s="755"/>
      <c r="DL3" s="775"/>
      <c r="DM3" s="775"/>
      <c r="DN3" s="762"/>
      <c r="DO3" s="762"/>
      <c r="DP3" s="777"/>
      <c r="DQ3" s="777"/>
      <c r="DR3" s="779"/>
      <c r="DS3" s="779"/>
      <c r="DT3" s="781"/>
      <c r="DU3" s="781"/>
      <c r="DV3" s="763"/>
      <c r="DW3" s="763"/>
      <c r="DX3" s="777"/>
      <c r="DY3" s="777"/>
      <c r="DZ3" s="779"/>
      <c r="EA3" s="779"/>
      <c r="EB3" s="781"/>
      <c r="EC3" s="781"/>
      <c r="ED3" s="783"/>
      <c r="EE3" s="783"/>
      <c r="EF3" s="777"/>
      <c r="EG3" s="777"/>
      <c r="EH3" s="779"/>
      <c r="EI3" s="779"/>
      <c r="EJ3" s="781"/>
      <c r="EK3" s="781"/>
      <c r="EL3" s="763"/>
      <c r="EM3" s="763"/>
      <c r="EN3" s="777"/>
      <c r="EO3" s="777"/>
      <c r="EP3" s="806"/>
      <c r="EQ3" s="807"/>
      <c r="ER3" s="806"/>
      <c r="ES3" s="807"/>
      <c r="ET3" s="806"/>
      <c r="EU3" s="807"/>
      <c r="EV3" s="792"/>
      <c r="EW3" s="792"/>
      <c r="EX3" s="793"/>
      <c r="EY3" s="793"/>
      <c r="EZ3" s="796"/>
      <c r="FA3" s="797"/>
      <c r="FB3" s="798"/>
      <c r="FC3" s="798"/>
      <c r="FD3" s="799"/>
      <c r="FE3" s="799"/>
      <c r="FF3" s="802"/>
      <c r="FG3" s="802"/>
      <c r="FH3" s="802"/>
      <c r="FI3" s="803"/>
      <c r="FJ3" s="787"/>
      <c r="FK3" s="788"/>
      <c r="FL3" s="789"/>
    </row>
    <row r="4" spans="1:169" s="457" customFormat="1" ht="58.5" customHeight="1" x14ac:dyDescent="0.35">
      <c r="A4" s="448" t="s">
        <v>1</v>
      </c>
      <c r="B4" s="448" t="s">
        <v>4</v>
      </c>
      <c r="C4" s="449" t="s">
        <v>5</v>
      </c>
      <c r="D4" s="450" t="s">
        <v>6</v>
      </c>
      <c r="E4" s="450" t="s">
        <v>606</v>
      </c>
      <c r="F4" s="451" t="s">
        <v>607</v>
      </c>
      <c r="G4" s="451" t="s">
        <v>608</v>
      </c>
      <c r="H4" s="451" t="s">
        <v>607</v>
      </c>
      <c r="I4" s="451" t="s">
        <v>608</v>
      </c>
      <c r="J4" s="451" t="s">
        <v>607</v>
      </c>
      <c r="K4" s="451" t="s">
        <v>608</v>
      </c>
      <c r="L4" s="451" t="s">
        <v>607</v>
      </c>
      <c r="M4" s="451" t="s">
        <v>608</v>
      </c>
      <c r="N4" s="451" t="s">
        <v>607</v>
      </c>
      <c r="O4" s="451" t="s">
        <v>608</v>
      </c>
      <c r="P4" s="451" t="s">
        <v>607</v>
      </c>
      <c r="Q4" s="451" t="s">
        <v>608</v>
      </c>
      <c r="R4" s="451" t="s">
        <v>607</v>
      </c>
      <c r="S4" s="451" t="s">
        <v>608</v>
      </c>
      <c r="T4" s="451" t="s">
        <v>607</v>
      </c>
      <c r="U4" s="451" t="s">
        <v>608</v>
      </c>
      <c r="V4" s="451" t="s">
        <v>607</v>
      </c>
      <c r="W4" s="451" t="s">
        <v>608</v>
      </c>
      <c r="X4" s="451" t="s">
        <v>607</v>
      </c>
      <c r="Y4" s="451" t="s">
        <v>608</v>
      </c>
      <c r="Z4" s="451" t="s">
        <v>607</v>
      </c>
      <c r="AA4" s="451" t="s">
        <v>608</v>
      </c>
      <c r="AB4" s="451" t="s">
        <v>607</v>
      </c>
      <c r="AC4" s="451" t="s">
        <v>608</v>
      </c>
      <c r="AD4" s="451" t="s">
        <v>607</v>
      </c>
      <c r="AE4" s="451" t="s">
        <v>608</v>
      </c>
      <c r="AF4" s="451" t="s">
        <v>607</v>
      </c>
      <c r="AG4" s="451" t="s">
        <v>608</v>
      </c>
      <c r="AH4" s="451" t="s">
        <v>607</v>
      </c>
      <c r="AI4" s="451" t="s">
        <v>608</v>
      </c>
      <c r="AJ4" s="451" t="s">
        <v>607</v>
      </c>
      <c r="AK4" s="451" t="s">
        <v>608</v>
      </c>
      <c r="AL4" s="451" t="s">
        <v>607</v>
      </c>
      <c r="AM4" s="451" t="s">
        <v>608</v>
      </c>
      <c r="AN4" s="451" t="s">
        <v>607</v>
      </c>
      <c r="AO4" s="451" t="s">
        <v>608</v>
      </c>
      <c r="AP4" s="451" t="s">
        <v>607</v>
      </c>
      <c r="AQ4" s="451" t="s">
        <v>608</v>
      </c>
      <c r="AR4" s="451" t="s">
        <v>607</v>
      </c>
      <c r="AS4" s="451" t="s">
        <v>608</v>
      </c>
      <c r="AT4" s="451" t="s">
        <v>607</v>
      </c>
      <c r="AU4" s="451" t="s">
        <v>608</v>
      </c>
      <c r="AV4" s="451" t="s">
        <v>607</v>
      </c>
      <c r="AW4" s="451" t="s">
        <v>608</v>
      </c>
      <c r="AX4" s="451" t="s">
        <v>607</v>
      </c>
      <c r="AY4" s="451" t="s">
        <v>608</v>
      </c>
      <c r="AZ4" s="451" t="s">
        <v>607</v>
      </c>
      <c r="BA4" s="451" t="s">
        <v>608</v>
      </c>
      <c r="BB4" s="451" t="s">
        <v>607</v>
      </c>
      <c r="BC4" s="451" t="s">
        <v>608</v>
      </c>
      <c r="BD4" s="451" t="s">
        <v>607</v>
      </c>
      <c r="BE4" s="451" t="s">
        <v>608</v>
      </c>
      <c r="BF4" s="451" t="s">
        <v>607</v>
      </c>
      <c r="BG4" s="451" t="s">
        <v>608</v>
      </c>
      <c r="BH4" s="451" t="s">
        <v>607</v>
      </c>
      <c r="BI4" s="451" t="s">
        <v>608</v>
      </c>
      <c r="BJ4" s="451" t="s">
        <v>607</v>
      </c>
      <c r="BK4" s="451" t="s">
        <v>608</v>
      </c>
      <c r="BL4" s="451" t="s">
        <v>607</v>
      </c>
      <c r="BM4" s="451" t="s">
        <v>608</v>
      </c>
      <c r="BN4" s="451" t="s">
        <v>607</v>
      </c>
      <c r="BO4" s="451" t="s">
        <v>608</v>
      </c>
      <c r="BP4" s="451" t="s">
        <v>607</v>
      </c>
      <c r="BQ4" s="451" t="s">
        <v>608</v>
      </c>
      <c r="BR4" s="451" t="s">
        <v>607</v>
      </c>
      <c r="BS4" s="451" t="s">
        <v>608</v>
      </c>
      <c r="BT4" s="451" t="s">
        <v>607</v>
      </c>
      <c r="BU4" s="451" t="s">
        <v>608</v>
      </c>
      <c r="BV4" s="451" t="s">
        <v>607</v>
      </c>
      <c r="BW4" s="451" t="s">
        <v>608</v>
      </c>
      <c r="BX4" s="451" t="s">
        <v>607</v>
      </c>
      <c r="BY4" s="451" t="s">
        <v>608</v>
      </c>
      <c r="BZ4" s="451" t="s">
        <v>607</v>
      </c>
      <c r="CA4" s="451" t="s">
        <v>608</v>
      </c>
      <c r="CB4" s="451" t="s">
        <v>607</v>
      </c>
      <c r="CC4" s="451" t="s">
        <v>608</v>
      </c>
      <c r="CD4" s="451" t="s">
        <v>607</v>
      </c>
      <c r="CE4" s="451" t="s">
        <v>608</v>
      </c>
      <c r="CF4" s="451" t="s">
        <v>607</v>
      </c>
      <c r="CG4" s="451" t="s">
        <v>608</v>
      </c>
      <c r="CH4" s="451" t="s">
        <v>607</v>
      </c>
      <c r="CI4" s="451" t="s">
        <v>608</v>
      </c>
      <c r="CJ4" s="451" t="s">
        <v>607</v>
      </c>
      <c r="CK4" s="451" t="s">
        <v>608</v>
      </c>
      <c r="CL4" s="451" t="s">
        <v>607</v>
      </c>
      <c r="CM4" s="451" t="s">
        <v>608</v>
      </c>
      <c r="CN4" s="451" t="s">
        <v>607</v>
      </c>
      <c r="CO4" s="451" t="s">
        <v>608</v>
      </c>
      <c r="CP4" s="451" t="s">
        <v>607</v>
      </c>
      <c r="CQ4" s="451" t="s">
        <v>608</v>
      </c>
      <c r="CR4" s="451" t="s">
        <v>607</v>
      </c>
      <c r="CS4" s="451" t="s">
        <v>608</v>
      </c>
      <c r="CT4" s="451" t="s">
        <v>607</v>
      </c>
      <c r="CU4" s="451" t="s">
        <v>608</v>
      </c>
      <c r="CV4" s="451" t="s">
        <v>607</v>
      </c>
      <c r="CW4" s="451" t="s">
        <v>608</v>
      </c>
      <c r="CX4" s="451" t="s">
        <v>607</v>
      </c>
      <c r="CY4" s="451" t="s">
        <v>608</v>
      </c>
      <c r="CZ4" s="451" t="s">
        <v>607</v>
      </c>
      <c r="DA4" s="451" t="s">
        <v>608</v>
      </c>
      <c r="DB4" s="451" t="s">
        <v>607</v>
      </c>
      <c r="DC4" s="451" t="s">
        <v>608</v>
      </c>
      <c r="DD4" s="451" t="s">
        <v>607</v>
      </c>
      <c r="DE4" s="451" t="s">
        <v>608</v>
      </c>
      <c r="DF4" s="451" t="s">
        <v>607</v>
      </c>
      <c r="DG4" s="451" t="s">
        <v>608</v>
      </c>
      <c r="DH4" s="451" t="s">
        <v>607</v>
      </c>
      <c r="DI4" s="451" t="s">
        <v>608</v>
      </c>
      <c r="DJ4" s="451" t="s">
        <v>607</v>
      </c>
      <c r="DK4" s="451" t="s">
        <v>608</v>
      </c>
      <c r="DL4" s="451" t="s">
        <v>607</v>
      </c>
      <c r="DM4" s="451" t="s">
        <v>608</v>
      </c>
      <c r="DN4" s="451" t="s">
        <v>607</v>
      </c>
      <c r="DO4" s="452" t="s">
        <v>608</v>
      </c>
      <c r="DP4" s="451" t="s">
        <v>607</v>
      </c>
      <c r="DQ4" s="452" t="s">
        <v>608</v>
      </c>
      <c r="DR4" s="451" t="s">
        <v>607</v>
      </c>
      <c r="DS4" s="452" t="s">
        <v>608</v>
      </c>
      <c r="DT4" s="451" t="s">
        <v>607</v>
      </c>
      <c r="DU4" s="452" t="s">
        <v>608</v>
      </c>
      <c r="DV4" s="451" t="s">
        <v>607</v>
      </c>
      <c r="DW4" s="452" t="s">
        <v>608</v>
      </c>
      <c r="DX4" s="451" t="s">
        <v>607</v>
      </c>
      <c r="DY4" s="452" t="s">
        <v>608</v>
      </c>
      <c r="DZ4" s="451" t="s">
        <v>607</v>
      </c>
      <c r="EA4" s="452" t="s">
        <v>608</v>
      </c>
      <c r="EB4" s="451" t="s">
        <v>607</v>
      </c>
      <c r="EC4" s="452" t="s">
        <v>608</v>
      </c>
      <c r="ED4" s="451" t="s">
        <v>607</v>
      </c>
      <c r="EE4" s="452" t="s">
        <v>608</v>
      </c>
      <c r="EF4" s="451" t="s">
        <v>607</v>
      </c>
      <c r="EG4" s="452" t="s">
        <v>608</v>
      </c>
      <c r="EH4" s="451" t="s">
        <v>607</v>
      </c>
      <c r="EI4" s="452" t="s">
        <v>608</v>
      </c>
      <c r="EJ4" s="451" t="s">
        <v>607</v>
      </c>
      <c r="EK4" s="452" t="s">
        <v>608</v>
      </c>
      <c r="EL4" s="451" t="s">
        <v>607</v>
      </c>
      <c r="EM4" s="452" t="s">
        <v>608</v>
      </c>
      <c r="EN4" s="451" t="s">
        <v>607</v>
      </c>
      <c r="EO4" s="452" t="s">
        <v>608</v>
      </c>
      <c r="EP4" s="453" t="s">
        <v>609</v>
      </c>
      <c r="EQ4" s="453" t="s">
        <v>610</v>
      </c>
      <c r="ER4" s="453" t="s">
        <v>609</v>
      </c>
      <c r="ES4" s="453" t="s">
        <v>610</v>
      </c>
      <c r="ET4" s="453" t="s">
        <v>609</v>
      </c>
      <c r="EU4" s="453" t="s">
        <v>610</v>
      </c>
      <c r="EV4" s="453" t="s">
        <v>609</v>
      </c>
      <c r="EW4" s="453" t="s">
        <v>9</v>
      </c>
      <c r="EX4" s="453" t="s">
        <v>609</v>
      </c>
      <c r="EY4" s="453" t="s">
        <v>9</v>
      </c>
      <c r="EZ4" s="453" t="s">
        <v>609</v>
      </c>
      <c r="FA4" s="453" t="s">
        <v>9</v>
      </c>
      <c r="FB4" s="454" t="s">
        <v>607</v>
      </c>
      <c r="FC4" s="454" t="s">
        <v>611</v>
      </c>
      <c r="FD4" s="454" t="s">
        <v>607</v>
      </c>
      <c r="FE4" s="454" t="s">
        <v>611</v>
      </c>
      <c r="FF4" s="446" t="s">
        <v>612</v>
      </c>
      <c r="FG4" s="446" t="s">
        <v>613</v>
      </c>
      <c r="FH4" s="446" t="s">
        <v>614</v>
      </c>
      <c r="FI4" s="455" t="s">
        <v>615</v>
      </c>
      <c r="FJ4" s="456" t="s">
        <v>616</v>
      </c>
      <c r="FK4" s="456" t="s">
        <v>306</v>
      </c>
      <c r="FL4" s="456" t="s">
        <v>617</v>
      </c>
    </row>
    <row r="5" spans="1:169" s="457" customFormat="1" ht="75.75" customHeight="1" x14ac:dyDescent="0.35">
      <c r="A5" s="458">
        <v>1</v>
      </c>
      <c r="B5" s="459" t="s">
        <v>618</v>
      </c>
      <c r="C5" s="460" t="s">
        <v>619</v>
      </c>
      <c r="D5" s="461" t="s">
        <v>620</v>
      </c>
      <c r="E5" s="462">
        <v>1</v>
      </c>
      <c r="F5" s="463">
        <v>585000</v>
      </c>
      <c r="G5" s="463">
        <f>+F5*E5</f>
        <v>585000</v>
      </c>
      <c r="H5" s="463"/>
      <c r="I5" s="463"/>
      <c r="J5" s="463"/>
      <c r="K5" s="463"/>
      <c r="L5" s="464"/>
      <c r="M5" s="464"/>
      <c r="N5" s="464"/>
      <c r="O5" s="464"/>
      <c r="P5" s="464"/>
      <c r="Q5" s="464"/>
      <c r="R5" s="464"/>
      <c r="S5" s="464"/>
      <c r="T5" s="464"/>
      <c r="U5" s="464"/>
      <c r="V5" s="464"/>
      <c r="W5" s="464"/>
      <c r="X5" s="464"/>
      <c r="Y5" s="464"/>
      <c r="Z5" s="464"/>
      <c r="AA5" s="464"/>
      <c r="AB5" s="464"/>
      <c r="AC5" s="464"/>
      <c r="AD5" s="463"/>
      <c r="AE5" s="464"/>
      <c r="AF5" s="464"/>
      <c r="AG5" s="464"/>
      <c r="AH5" s="464"/>
      <c r="AI5" s="464"/>
      <c r="AJ5" s="464"/>
      <c r="AK5" s="464"/>
      <c r="AL5" s="464">
        <v>262100</v>
      </c>
      <c r="AM5" s="464">
        <f>+AL5*E5</f>
        <v>262100</v>
      </c>
      <c r="AN5" s="464">
        <v>213000</v>
      </c>
      <c r="AO5" s="464">
        <f>+AN5*E5</f>
        <v>213000</v>
      </c>
      <c r="AP5" s="464"/>
      <c r="AQ5" s="464"/>
      <c r="AR5" s="464"/>
      <c r="AS5" s="464"/>
      <c r="AT5" s="464"/>
      <c r="AU5" s="464"/>
      <c r="AV5" s="464"/>
      <c r="AW5" s="464"/>
      <c r="AX5" s="464"/>
      <c r="AY5" s="464"/>
      <c r="AZ5" s="464"/>
      <c r="BA5" s="464"/>
      <c r="BB5" s="464"/>
      <c r="BC5" s="464"/>
      <c r="BD5" s="464"/>
      <c r="BE5" s="464"/>
      <c r="BF5" s="464"/>
      <c r="BG5" s="464"/>
      <c r="BH5" s="464"/>
      <c r="BI5" s="464"/>
      <c r="BJ5" s="464"/>
      <c r="BK5" s="464"/>
      <c r="BL5" s="464"/>
      <c r="BM5" s="464"/>
      <c r="BN5" s="464"/>
      <c r="BO5" s="464"/>
      <c r="BP5" s="464"/>
      <c r="BQ5" s="464"/>
      <c r="BR5" s="464">
        <v>52600</v>
      </c>
      <c r="BS5" s="464">
        <f>+BR5*E5</f>
        <v>52600</v>
      </c>
      <c r="BT5" s="464">
        <v>97000</v>
      </c>
      <c r="BU5" s="464">
        <f>+BT5*E5</f>
        <v>97000</v>
      </c>
      <c r="BV5" s="464"/>
      <c r="BW5" s="464"/>
      <c r="BX5" s="464"/>
      <c r="BY5" s="464"/>
      <c r="BZ5" s="464"/>
      <c r="CA5" s="464"/>
      <c r="CB5" s="464"/>
      <c r="CC5" s="464"/>
      <c r="CD5" s="464"/>
      <c r="CE5" s="464"/>
      <c r="CF5" s="464"/>
      <c r="CG5" s="464"/>
      <c r="CH5" s="464"/>
      <c r="CI5" s="464"/>
      <c r="CJ5" s="464"/>
      <c r="CK5" s="464"/>
      <c r="CL5" s="464"/>
      <c r="CM5" s="464"/>
      <c r="CN5" s="464"/>
      <c r="CO5" s="464"/>
      <c r="CP5" s="464"/>
      <c r="CQ5" s="464"/>
      <c r="CR5" s="464"/>
      <c r="CS5" s="464"/>
      <c r="CT5" s="464"/>
      <c r="CU5" s="464"/>
      <c r="CV5" s="464"/>
      <c r="CW5" s="464"/>
      <c r="CX5" s="464"/>
      <c r="CY5" s="464"/>
      <c r="CZ5" s="464"/>
      <c r="DA5" s="464"/>
      <c r="DB5" s="464"/>
      <c r="DC5" s="464"/>
      <c r="DD5" s="464"/>
      <c r="DE5" s="464"/>
      <c r="DF5" s="464"/>
      <c r="DG5" s="464"/>
      <c r="DH5" s="464"/>
      <c r="DI5" s="464"/>
      <c r="DJ5" s="464"/>
      <c r="DK5" s="464"/>
      <c r="DL5" s="464"/>
      <c r="DM5" s="464"/>
      <c r="DN5" s="464"/>
      <c r="DO5" s="464"/>
      <c r="DP5" s="465"/>
      <c r="DQ5" s="465"/>
      <c r="DR5" s="465"/>
      <c r="DS5" s="465"/>
      <c r="DT5" s="465"/>
      <c r="DU5" s="465"/>
      <c r="DV5" s="465"/>
      <c r="DW5" s="465"/>
      <c r="DX5" s="465"/>
      <c r="DY5" s="465"/>
      <c r="DZ5" s="465"/>
      <c r="EA5" s="465"/>
      <c r="EB5" s="465"/>
      <c r="EC5" s="465"/>
      <c r="ED5" s="465"/>
      <c r="EE5" s="465"/>
      <c r="EF5" s="465"/>
      <c r="EG5" s="465"/>
      <c r="EH5" s="465"/>
      <c r="EI5" s="465"/>
      <c r="EJ5" s="465">
        <v>552000</v>
      </c>
      <c r="EK5" s="465">
        <f>+EJ5*E5</f>
        <v>552000</v>
      </c>
      <c r="EL5" s="465"/>
      <c r="EM5" s="465"/>
      <c r="EN5" s="465"/>
      <c r="EO5" s="465"/>
      <c r="EP5" s="465"/>
      <c r="EQ5" s="465"/>
      <c r="ER5" s="465"/>
      <c r="ES5" s="465"/>
      <c r="ET5" s="465"/>
      <c r="EU5" s="465"/>
      <c r="EV5" s="465"/>
      <c r="EW5" s="465"/>
      <c r="EX5" s="465"/>
      <c r="EY5" s="465"/>
      <c r="EZ5" s="465"/>
      <c r="FA5" s="465"/>
      <c r="FB5" s="465"/>
      <c r="FC5" s="465"/>
      <c r="FD5" s="465"/>
      <c r="FE5" s="465"/>
      <c r="FF5" s="466">
        <f>MEDIAN(F5,EJ5)</f>
        <v>568500</v>
      </c>
      <c r="FG5" s="466">
        <f>AVERAGE(F5,EJ5)</f>
        <v>568500</v>
      </c>
      <c r="FH5" s="467">
        <f>STDEV(F5,EJ5)</f>
        <v>23334.523779156068</v>
      </c>
      <c r="FI5" s="468">
        <f>FH5/FG5</f>
        <v>4.1045776216633363E-2</v>
      </c>
      <c r="FJ5" s="469">
        <f>ROUNDUP(IF(FI5&lt;15%,FG5,FF5),0)</f>
        <v>568500</v>
      </c>
      <c r="FK5" s="469">
        <f t="shared" ref="FK5:FK18" si="0">+FJ5*E5</f>
        <v>568500</v>
      </c>
      <c r="FL5" s="467" t="s">
        <v>621</v>
      </c>
      <c r="FM5" s="470"/>
    </row>
    <row r="6" spans="1:169" s="457" customFormat="1" ht="75.75" customHeight="1" x14ac:dyDescent="0.35">
      <c r="A6" s="458">
        <v>2</v>
      </c>
      <c r="B6" s="459" t="s">
        <v>622</v>
      </c>
      <c r="C6" s="460" t="s">
        <v>623</v>
      </c>
      <c r="D6" s="461" t="s">
        <v>620</v>
      </c>
      <c r="E6" s="462">
        <v>1</v>
      </c>
      <c r="F6" s="463"/>
      <c r="G6" s="463"/>
      <c r="H6" s="463"/>
      <c r="I6" s="463"/>
      <c r="J6" s="463"/>
      <c r="K6" s="463"/>
      <c r="L6" s="464"/>
      <c r="M6" s="464"/>
      <c r="N6" s="464"/>
      <c r="O6" s="464"/>
      <c r="P6" s="464"/>
      <c r="Q6" s="464"/>
      <c r="R6" s="464"/>
      <c r="S6" s="464"/>
      <c r="T6" s="464"/>
      <c r="U6" s="464"/>
      <c r="V6" s="464"/>
      <c r="W6" s="464"/>
      <c r="X6" s="464"/>
      <c r="Y6" s="464"/>
      <c r="Z6" s="464"/>
      <c r="AA6" s="464"/>
      <c r="AB6" s="464"/>
      <c r="AC6" s="464"/>
      <c r="AD6" s="463"/>
      <c r="AE6" s="464"/>
      <c r="AF6" s="464"/>
      <c r="AG6" s="464"/>
      <c r="AH6" s="464"/>
      <c r="AI6" s="464"/>
      <c r="AJ6" s="464"/>
      <c r="AK6" s="464"/>
      <c r="AL6" s="464"/>
      <c r="AM6" s="464"/>
      <c r="AN6" s="464"/>
      <c r="AO6" s="464"/>
      <c r="AP6" s="464"/>
      <c r="AQ6" s="464"/>
      <c r="AR6" s="464"/>
      <c r="AS6" s="464"/>
      <c r="AT6" s="464"/>
      <c r="AU6" s="464"/>
      <c r="AV6" s="464">
        <v>104860</v>
      </c>
      <c r="AW6" s="464">
        <f t="shared" ref="AW6:AW13" si="1">+AV6*E6</f>
        <v>104860</v>
      </c>
      <c r="AX6" s="464"/>
      <c r="AY6" s="464"/>
      <c r="AZ6" s="464"/>
      <c r="BA6" s="464"/>
      <c r="BB6" s="464"/>
      <c r="BC6" s="464"/>
      <c r="BD6" s="464"/>
      <c r="BE6" s="464"/>
      <c r="BF6" s="464"/>
      <c r="BG6" s="464"/>
      <c r="BH6" s="464"/>
      <c r="BI6" s="464"/>
      <c r="BJ6" s="464"/>
      <c r="BK6" s="464"/>
      <c r="BL6" s="464"/>
      <c r="BM6" s="464"/>
      <c r="BN6" s="464"/>
      <c r="BO6" s="464"/>
      <c r="BP6" s="464"/>
      <c r="BQ6" s="464"/>
      <c r="BR6" s="464"/>
      <c r="BS6" s="464"/>
      <c r="BT6" s="464"/>
      <c r="BU6" s="464"/>
      <c r="BV6" s="464"/>
      <c r="BW6" s="464"/>
      <c r="BX6" s="464"/>
      <c r="BY6" s="464"/>
      <c r="BZ6" s="464"/>
      <c r="CA6" s="464"/>
      <c r="CB6" s="464"/>
      <c r="CC6" s="464"/>
      <c r="CD6" s="464"/>
      <c r="CE6" s="464"/>
      <c r="CF6" s="464"/>
      <c r="CG6" s="464"/>
      <c r="CH6" s="464"/>
      <c r="CI6" s="464"/>
      <c r="CJ6" s="464"/>
      <c r="CK6" s="464"/>
      <c r="CL6" s="464"/>
      <c r="CM6" s="464"/>
      <c r="CN6" s="464"/>
      <c r="CO6" s="464"/>
      <c r="CP6" s="464"/>
      <c r="CQ6" s="464"/>
      <c r="CR6" s="464"/>
      <c r="CS6" s="464"/>
      <c r="CT6" s="464"/>
      <c r="CU6" s="464"/>
      <c r="CV6" s="464"/>
      <c r="CW6" s="464"/>
      <c r="CX6" s="464"/>
      <c r="CY6" s="464"/>
      <c r="CZ6" s="464"/>
      <c r="DA6" s="464"/>
      <c r="DB6" s="464"/>
      <c r="DC6" s="464"/>
      <c r="DD6" s="464"/>
      <c r="DE6" s="464"/>
      <c r="DF6" s="464"/>
      <c r="DG6" s="464"/>
      <c r="DH6" s="464"/>
      <c r="DI6" s="464"/>
      <c r="DJ6" s="464"/>
      <c r="DK6" s="464"/>
      <c r="DL6" s="464"/>
      <c r="DM6" s="464"/>
      <c r="DN6" s="464"/>
      <c r="DO6" s="464"/>
      <c r="DP6" s="465"/>
      <c r="DQ6" s="465"/>
      <c r="DR6" s="465"/>
      <c r="DS6" s="465"/>
      <c r="DT6" s="465"/>
      <c r="DU6" s="465"/>
      <c r="DV6" s="465"/>
      <c r="DW6" s="465"/>
      <c r="DX6" s="465"/>
      <c r="DY6" s="465"/>
      <c r="DZ6" s="465"/>
      <c r="EA6" s="465"/>
      <c r="EB6" s="465"/>
      <c r="EC6" s="465"/>
      <c r="ED6" s="465"/>
      <c r="EE6" s="465"/>
      <c r="EF6" s="465"/>
      <c r="EG6" s="465"/>
      <c r="EH6" s="465">
        <v>104860</v>
      </c>
      <c r="EI6" s="465">
        <f>+EH6*E6</f>
        <v>104860</v>
      </c>
      <c r="EJ6" s="465"/>
      <c r="EK6" s="465"/>
      <c r="EL6" s="465"/>
      <c r="EM6" s="465"/>
      <c r="EN6" s="465"/>
      <c r="EO6" s="465"/>
      <c r="EP6" s="465"/>
      <c r="EQ6" s="465"/>
      <c r="ER6" s="465"/>
      <c r="ES6" s="465"/>
      <c r="ET6" s="465"/>
      <c r="EU6" s="465"/>
      <c r="EV6" s="465"/>
      <c r="EW6" s="465"/>
      <c r="EX6" s="465"/>
      <c r="EY6" s="465"/>
      <c r="EZ6" s="465"/>
      <c r="FA6" s="465"/>
      <c r="FB6" s="465"/>
      <c r="FC6" s="465"/>
      <c r="FD6" s="465"/>
      <c r="FE6" s="465"/>
      <c r="FF6" s="466">
        <f>MEDIAN(AV6,EH6)</f>
        <v>104860</v>
      </c>
      <c r="FG6" s="466">
        <f>AVERAGE(AV6,EH6)</f>
        <v>104860</v>
      </c>
      <c r="FH6" s="467">
        <f>STDEV(AV6,EH6)</f>
        <v>0</v>
      </c>
      <c r="FI6" s="468">
        <f t="shared" ref="FI6:FI8" si="2">FH6/FG6</f>
        <v>0</v>
      </c>
      <c r="FJ6" s="469">
        <f t="shared" ref="FJ6:FJ8" si="3">ROUNDUP(IF(FI6&lt;15%,FG6,FF6),0)</f>
        <v>104860</v>
      </c>
      <c r="FK6" s="469">
        <f t="shared" si="0"/>
        <v>104860</v>
      </c>
      <c r="FL6" s="467" t="s">
        <v>621</v>
      </c>
      <c r="FM6" s="470"/>
    </row>
    <row r="7" spans="1:169" s="457" customFormat="1" ht="75.75" customHeight="1" x14ac:dyDescent="0.35">
      <c r="A7" s="458">
        <v>3</v>
      </c>
      <c r="B7" s="459" t="s">
        <v>624</v>
      </c>
      <c r="C7" s="460" t="s">
        <v>625</v>
      </c>
      <c r="D7" s="461" t="s">
        <v>620</v>
      </c>
      <c r="E7" s="462">
        <v>1</v>
      </c>
      <c r="F7" s="463"/>
      <c r="G7" s="463"/>
      <c r="H7" s="463"/>
      <c r="I7" s="463"/>
      <c r="J7" s="463"/>
      <c r="K7" s="463"/>
      <c r="L7" s="464"/>
      <c r="M7" s="464"/>
      <c r="N7" s="464"/>
      <c r="O7" s="464"/>
      <c r="P7" s="464"/>
      <c r="Q7" s="464"/>
      <c r="R7" s="464"/>
      <c r="S7" s="464"/>
      <c r="T7" s="464"/>
      <c r="U7" s="464"/>
      <c r="V7" s="464"/>
      <c r="W7" s="464"/>
      <c r="X7" s="464"/>
      <c r="Y7" s="464"/>
      <c r="Z7" s="464"/>
      <c r="AA7" s="464"/>
      <c r="AB7" s="464"/>
      <c r="AC7" s="464"/>
      <c r="AD7" s="463"/>
      <c r="AE7" s="464"/>
      <c r="AF7" s="464"/>
      <c r="AG7" s="464"/>
      <c r="AH7" s="464"/>
      <c r="AI7" s="464"/>
      <c r="AJ7" s="464"/>
      <c r="AK7" s="464"/>
      <c r="AL7" s="464"/>
      <c r="AM7" s="464"/>
      <c r="AN7" s="464"/>
      <c r="AO7" s="464"/>
      <c r="AP7" s="464"/>
      <c r="AQ7" s="464"/>
      <c r="AR7" s="464"/>
      <c r="AS7" s="464"/>
      <c r="AT7" s="464"/>
      <c r="AU7" s="464"/>
      <c r="AV7" s="464">
        <v>30495</v>
      </c>
      <c r="AW7" s="464">
        <f t="shared" si="1"/>
        <v>30495</v>
      </c>
      <c r="AX7" s="464"/>
      <c r="AY7" s="464"/>
      <c r="AZ7" s="464"/>
      <c r="BA7" s="464"/>
      <c r="BB7" s="464"/>
      <c r="BC7" s="464"/>
      <c r="BD7" s="464"/>
      <c r="BE7" s="464"/>
      <c r="BF7" s="464"/>
      <c r="BG7" s="464"/>
      <c r="BH7" s="464"/>
      <c r="BI7" s="464"/>
      <c r="BJ7" s="464"/>
      <c r="BK7" s="464"/>
      <c r="BL7" s="464"/>
      <c r="BM7" s="464"/>
      <c r="BN7" s="464"/>
      <c r="BO7" s="464"/>
      <c r="BP7" s="464"/>
      <c r="BQ7" s="464"/>
      <c r="BR7" s="464"/>
      <c r="BS7" s="464"/>
      <c r="BT7" s="464"/>
      <c r="BU7" s="464"/>
      <c r="BV7" s="464"/>
      <c r="BW7" s="464"/>
      <c r="BX7" s="464"/>
      <c r="BY7" s="464"/>
      <c r="BZ7" s="464"/>
      <c r="CA7" s="464"/>
      <c r="CB7" s="464"/>
      <c r="CC7" s="464"/>
      <c r="CD7" s="464"/>
      <c r="CE7" s="464"/>
      <c r="CF7" s="464"/>
      <c r="CG7" s="464"/>
      <c r="CH7" s="464"/>
      <c r="CI7" s="464"/>
      <c r="CJ7" s="464"/>
      <c r="CK7" s="464"/>
      <c r="CL7" s="464"/>
      <c r="CM7" s="464"/>
      <c r="CN7" s="464"/>
      <c r="CO7" s="464"/>
      <c r="CP7" s="464"/>
      <c r="CQ7" s="464"/>
      <c r="CR7" s="464"/>
      <c r="CS7" s="464"/>
      <c r="CT7" s="464"/>
      <c r="CU7" s="464"/>
      <c r="CV7" s="464"/>
      <c r="CW7" s="464"/>
      <c r="CX7" s="464"/>
      <c r="CY7" s="464"/>
      <c r="CZ7" s="464"/>
      <c r="DA7" s="464"/>
      <c r="DB7" s="464"/>
      <c r="DC7" s="464"/>
      <c r="DD7" s="464"/>
      <c r="DE7" s="464"/>
      <c r="DF7" s="464"/>
      <c r="DG7" s="464"/>
      <c r="DH7" s="464"/>
      <c r="DI7" s="464"/>
      <c r="DJ7" s="464"/>
      <c r="DK7" s="464"/>
      <c r="DL7" s="464"/>
      <c r="DM7" s="464"/>
      <c r="DN7" s="464"/>
      <c r="DO7" s="464"/>
      <c r="DP7" s="465"/>
      <c r="DQ7" s="465"/>
      <c r="DR7" s="465"/>
      <c r="DS7" s="465"/>
      <c r="DT7" s="465"/>
      <c r="DU7" s="465"/>
      <c r="DV7" s="465"/>
      <c r="DW7" s="465"/>
      <c r="DX7" s="465"/>
      <c r="DY7" s="465"/>
      <c r="DZ7" s="465"/>
      <c r="EA7" s="465"/>
      <c r="EB7" s="465"/>
      <c r="EC7" s="465"/>
      <c r="ED7" s="465"/>
      <c r="EE7" s="465"/>
      <c r="EF7" s="465"/>
      <c r="EG7" s="465"/>
      <c r="EH7" s="465">
        <v>30495</v>
      </c>
      <c r="EI7" s="465">
        <f>+EH7*E7</f>
        <v>30495</v>
      </c>
      <c r="EJ7" s="465"/>
      <c r="EK7" s="465"/>
      <c r="EL7" s="465"/>
      <c r="EM7" s="465"/>
      <c r="EN7" s="465"/>
      <c r="EO7" s="465"/>
      <c r="EP7" s="465"/>
      <c r="EQ7" s="465"/>
      <c r="ER7" s="465"/>
      <c r="ES7" s="465"/>
      <c r="ET7" s="465"/>
      <c r="EU7" s="465"/>
      <c r="EV7" s="465"/>
      <c r="EW7" s="465"/>
      <c r="EX7" s="465"/>
      <c r="EY7" s="465"/>
      <c r="EZ7" s="465"/>
      <c r="FA7" s="465"/>
      <c r="FB7" s="465"/>
      <c r="FC7" s="465"/>
      <c r="FD7" s="465"/>
      <c r="FE7" s="465"/>
      <c r="FF7" s="466">
        <f>MEDIAN(AV7,EH7)</f>
        <v>30495</v>
      </c>
      <c r="FG7" s="466">
        <f>AVERAGE(AV7,EH7)</f>
        <v>30495</v>
      </c>
      <c r="FH7" s="467">
        <f>STDEV(AV7,EH7)</f>
        <v>0</v>
      </c>
      <c r="FI7" s="468">
        <f t="shared" si="2"/>
        <v>0</v>
      </c>
      <c r="FJ7" s="469">
        <f t="shared" si="3"/>
        <v>30495</v>
      </c>
      <c r="FK7" s="469">
        <f t="shared" si="0"/>
        <v>30495</v>
      </c>
      <c r="FL7" s="467" t="s">
        <v>621</v>
      </c>
      <c r="FM7" s="470"/>
    </row>
    <row r="8" spans="1:169" s="457" customFormat="1" ht="75.75" customHeight="1" x14ac:dyDescent="0.35">
      <c r="A8" s="458">
        <v>4</v>
      </c>
      <c r="B8" s="461" t="s">
        <v>626</v>
      </c>
      <c r="C8" s="471" t="s">
        <v>627</v>
      </c>
      <c r="D8" s="461" t="s">
        <v>620</v>
      </c>
      <c r="E8" s="462">
        <v>1</v>
      </c>
      <c r="F8" s="463"/>
      <c r="G8" s="463"/>
      <c r="H8" s="463"/>
      <c r="I8" s="463"/>
      <c r="J8" s="463"/>
      <c r="K8" s="463"/>
      <c r="L8" s="464"/>
      <c r="M8" s="464"/>
      <c r="N8" s="464"/>
      <c r="O8" s="464"/>
      <c r="P8" s="464"/>
      <c r="Q8" s="464"/>
      <c r="R8" s="464"/>
      <c r="S8" s="464"/>
      <c r="T8" s="464"/>
      <c r="U8" s="464"/>
      <c r="V8" s="464"/>
      <c r="W8" s="464"/>
      <c r="X8" s="464"/>
      <c r="Y8" s="464"/>
      <c r="Z8" s="464"/>
      <c r="AA8" s="464"/>
      <c r="AB8" s="464"/>
      <c r="AC8" s="464"/>
      <c r="AD8" s="463"/>
      <c r="AE8" s="464"/>
      <c r="AF8" s="464"/>
      <c r="AG8" s="464"/>
      <c r="AH8" s="464"/>
      <c r="AI8" s="464"/>
      <c r="AJ8" s="464"/>
      <c r="AK8" s="464"/>
      <c r="AL8" s="464"/>
      <c r="AM8" s="464"/>
      <c r="AN8" s="464"/>
      <c r="AO8" s="464"/>
      <c r="AP8" s="464"/>
      <c r="AQ8" s="464"/>
      <c r="AR8" s="464"/>
      <c r="AS8" s="464"/>
      <c r="AT8" s="464"/>
      <c r="AU8" s="464"/>
      <c r="AV8" s="464">
        <v>22470</v>
      </c>
      <c r="AW8" s="464">
        <f t="shared" si="1"/>
        <v>22470</v>
      </c>
      <c r="AX8" s="464"/>
      <c r="AY8" s="464"/>
      <c r="AZ8" s="464"/>
      <c r="BA8" s="464"/>
      <c r="BB8" s="464"/>
      <c r="BC8" s="464"/>
      <c r="BD8" s="464"/>
      <c r="BE8" s="464"/>
      <c r="BF8" s="464"/>
      <c r="BG8" s="464"/>
      <c r="BH8" s="464"/>
      <c r="BI8" s="464"/>
      <c r="BJ8" s="464"/>
      <c r="BK8" s="464"/>
      <c r="BL8" s="464"/>
      <c r="BM8" s="464"/>
      <c r="BN8" s="464"/>
      <c r="BO8" s="464"/>
      <c r="BP8" s="464"/>
      <c r="BQ8" s="464"/>
      <c r="BR8" s="464"/>
      <c r="BS8" s="464"/>
      <c r="BT8" s="464"/>
      <c r="BU8" s="464"/>
      <c r="BV8" s="464"/>
      <c r="BW8" s="464"/>
      <c r="BX8" s="464"/>
      <c r="BY8" s="464"/>
      <c r="BZ8" s="464"/>
      <c r="CA8" s="464"/>
      <c r="CB8" s="464"/>
      <c r="CC8" s="464"/>
      <c r="CD8" s="464"/>
      <c r="CE8" s="464"/>
      <c r="CF8" s="464"/>
      <c r="CG8" s="464"/>
      <c r="CH8" s="464"/>
      <c r="CI8" s="464"/>
      <c r="CJ8" s="464"/>
      <c r="CK8" s="464"/>
      <c r="CL8" s="464"/>
      <c r="CM8" s="464"/>
      <c r="CN8" s="464"/>
      <c r="CO8" s="464"/>
      <c r="CP8" s="464"/>
      <c r="CQ8" s="464"/>
      <c r="CR8" s="464"/>
      <c r="CS8" s="464"/>
      <c r="CT8" s="464"/>
      <c r="CU8" s="464"/>
      <c r="CV8" s="464"/>
      <c r="CW8" s="464"/>
      <c r="CX8" s="464"/>
      <c r="CY8" s="464"/>
      <c r="CZ8" s="464"/>
      <c r="DA8" s="464"/>
      <c r="DB8" s="464"/>
      <c r="DC8" s="464"/>
      <c r="DD8" s="464"/>
      <c r="DE8" s="464"/>
      <c r="DF8" s="464"/>
      <c r="DG8" s="464"/>
      <c r="DH8" s="464"/>
      <c r="DI8" s="464"/>
      <c r="DJ8" s="464"/>
      <c r="DK8" s="464"/>
      <c r="DL8" s="464"/>
      <c r="DM8" s="464"/>
      <c r="DN8" s="464"/>
      <c r="DO8" s="464"/>
      <c r="DP8" s="465"/>
      <c r="DQ8" s="465"/>
      <c r="DR8" s="465"/>
      <c r="DS8" s="465"/>
      <c r="DT8" s="465"/>
      <c r="DU8" s="465"/>
      <c r="DV8" s="465"/>
      <c r="DW8" s="465"/>
      <c r="DX8" s="465"/>
      <c r="DY8" s="465"/>
      <c r="DZ8" s="465"/>
      <c r="EA8" s="465"/>
      <c r="EB8" s="465"/>
      <c r="EC8" s="465"/>
      <c r="ED8" s="465"/>
      <c r="EE8" s="465"/>
      <c r="EF8" s="465"/>
      <c r="EG8" s="465"/>
      <c r="EH8" s="465">
        <v>22470</v>
      </c>
      <c r="EI8" s="465">
        <f>+EH8*E8</f>
        <v>22470</v>
      </c>
      <c r="EJ8" s="465"/>
      <c r="EK8" s="465"/>
      <c r="EL8" s="465"/>
      <c r="EM8" s="465"/>
      <c r="EN8" s="465"/>
      <c r="EO8" s="465"/>
      <c r="EP8" s="465"/>
      <c r="EQ8" s="465"/>
      <c r="ER8" s="465"/>
      <c r="ES8" s="465"/>
      <c r="ET8" s="465"/>
      <c r="EU8" s="465"/>
      <c r="EV8" s="465"/>
      <c r="EW8" s="465"/>
      <c r="EX8" s="465"/>
      <c r="EY8" s="465"/>
      <c r="EZ8" s="465"/>
      <c r="FA8" s="465"/>
      <c r="FB8" s="465"/>
      <c r="FC8" s="465"/>
      <c r="FD8" s="465"/>
      <c r="FE8" s="465"/>
      <c r="FF8" s="466">
        <f>MEDIAN(AV8,EH8)</f>
        <v>22470</v>
      </c>
      <c r="FG8" s="466">
        <f>AVERAGE(AV8,EH8)</f>
        <v>22470</v>
      </c>
      <c r="FH8" s="467">
        <f>STDEV(AV8,EH8)</f>
        <v>0</v>
      </c>
      <c r="FI8" s="468">
        <f t="shared" si="2"/>
        <v>0</v>
      </c>
      <c r="FJ8" s="469">
        <f t="shared" si="3"/>
        <v>22470</v>
      </c>
      <c r="FK8" s="469">
        <f t="shared" si="0"/>
        <v>22470</v>
      </c>
      <c r="FL8" s="467" t="s">
        <v>621</v>
      </c>
      <c r="FM8" s="470"/>
    </row>
    <row r="9" spans="1:169" s="457" customFormat="1" ht="71.25" customHeight="1" x14ac:dyDescent="0.35">
      <c r="A9" s="458">
        <v>5</v>
      </c>
      <c r="B9" s="459" t="s">
        <v>628</v>
      </c>
      <c r="C9" s="460" t="s">
        <v>629</v>
      </c>
      <c r="D9" s="461" t="s">
        <v>620</v>
      </c>
      <c r="E9" s="462">
        <v>1</v>
      </c>
      <c r="F9" s="463"/>
      <c r="G9" s="463"/>
      <c r="H9" s="463"/>
      <c r="I9" s="463"/>
      <c r="J9" s="463"/>
      <c r="K9" s="463"/>
      <c r="L9" s="464"/>
      <c r="M9" s="464"/>
      <c r="N9" s="464"/>
      <c r="O9" s="464"/>
      <c r="P9" s="464"/>
      <c r="Q9" s="464"/>
      <c r="R9" s="464"/>
      <c r="S9" s="464"/>
      <c r="T9" s="464"/>
      <c r="U9" s="464"/>
      <c r="V9" s="464"/>
      <c r="W9" s="464"/>
      <c r="X9" s="464"/>
      <c r="Y9" s="464"/>
      <c r="Z9" s="464"/>
      <c r="AA9" s="464"/>
      <c r="AB9" s="464"/>
      <c r="AC9" s="464"/>
      <c r="AD9" s="463">
        <v>182546</v>
      </c>
      <c r="AE9" s="464">
        <f>+AD9*E9</f>
        <v>182546</v>
      </c>
      <c r="AF9" s="464"/>
      <c r="AG9" s="464"/>
      <c r="AH9" s="464">
        <v>148000</v>
      </c>
      <c r="AI9" s="464">
        <f>+AH9*E9</f>
        <v>148000</v>
      </c>
      <c r="AJ9" s="464"/>
      <c r="AK9" s="464"/>
      <c r="AL9" s="464"/>
      <c r="AM9" s="464"/>
      <c r="AN9" s="464"/>
      <c r="AO9" s="464"/>
      <c r="AP9" s="464"/>
      <c r="AQ9" s="464"/>
      <c r="AR9" s="464"/>
      <c r="AS9" s="464"/>
      <c r="AT9" s="464"/>
      <c r="AU9" s="464"/>
      <c r="AV9" s="464">
        <v>154700</v>
      </c>
      <c r="AW9" s="464">
        <f t="shared" si="1"/>
        <v>154700</v>
      </c>
      <c r="AX9" s="464"/>
      <c r="AY9" s="464"/>
      <c r="AZ9" s="464"/>
      <c r="BA9" s="464"/>
      <c r="BB9" s="464"/>
      <c r="BC9" s="464"/>
      <c r="BD9" s="464"/>
      <c r="BE9" s="464"/>
      <c r="BF9" s="464"/>
      <c r="BG9" s="464"/>
      <c r="BH9" s="464"/>
      <c r="BI9" s="464"/>
      <c r="BJ9" s="464"/>
      <c r="BK9" s="464"/>
      <c r="BL9" s="464"/>
      <c r="BM9" s="464"/>
      <c r="BN9" s="464"/>
      <c r="BO9" s="464"/>
      <c r="BP9" s="464"/>
      <c r="BQ9" s="464"/>
      <c r="BR9" s="464"/>
      <c r="BS9" s="464"/>
      <c r="BT9" s="464"/>
      <c r="BU9" s="464"/>
      <c r="BV9" s="464"/>
      <c r="BW9" s="464"/>
      <c r="BX9" s="464"/>
      <c r="BY9" s="464"/>
      <c r="BZ9" s="464"/>
      <c r="CA9" s="464"/>
      <c r="CB9" s="464"/>
      <c r="CC9" s="464"/>
      <c r="CD9" s="464"/>
      <c r="CE9" s="464"/>
      <c r="CF9" s="464"/>
      <c r="CG9" s="464"/>
      <c r="CH9" s="464"/>
      <c r="CI9" s="464"/>
      <c r="CJ9" s="464"/>
      <c r="CK9" s="464"/>
      <c r="CL9" s="464"/>
      <c r="CM9" s="464"/>
      <c r="CN9" s="464"/>
      <c r="CO9" s="464"/>
      <c r="CP9" s="464"/>
      <c r="CQ9" s="464"/>
      <c r="CR9" s="464"/>
      <c r="CS9" s="464"/>
      <c r="CT9" s="464"/>
      <c r="CU9" s="464"/>
      <c r="CV9" s="464"/>
      <c r="CW9" s="464"/>
      <c r="CX9" s="464"/>
      <c r="CY9" s="464"/>
      <c r="CZ9" s="464"/>
      <c r="DA9" s="464"/>
      <c r="DB9" s="464"/>
      <c r="DC9" s="464"/>
      <c r="DD9" s="464"/>
      <c r="DE9" s="464"/>
      <c r="DF9" s="464"/>
      <c r="DG9" s="464"/>
      <c r="DH9" s="464"/>
      <c r="DI9" s="464"/>
      <c r="DJ9" s="464"/>
      <c r="DK9" s="464"/>
      <c r="DL9" s="464"/>
      <c r="DM9" s="464"/>
      <c r="DN9" s="464"/>
      <c r="DO9" s="464"/>
      <c r="DP9" s="464"/>
      <c r="DQ9" s="464"/>
      <c r="DR9" s="464"/>
      <c r="DS9" s="464"/>
      <c r="DT9" s="464"/>
      <c r="DU9" s="464"/>
      <c r="DV9" s="464"/>
      <c r="DW9" s="464"/>
      <c r="DX9" s="464"/>
      <c r="DY9" s="464"/>
      <c r="DZ9" s="464"/>
      <c r="EA9" s="464"/>
      <c r="EB9" s="464"/>
      <c r="EC9" s="464"/>
      <c r="ED9" s="464"/>
      <c r="EE9" s="464"/>
      <c r="EF9" s="464"/>
      <c r="EG9" s="464"/>
      <c r="EH9" s="464"/>
      <c r="EI9" s="464"/>
      <c r="EJ9" s="464"/>
      <c r="EK9" s="464"/>
      <c r="EL9" s="464"/>
      <c r="EM9" s="464"/>
      <c r="EN9" s="464"/>
      <c r="EO9" s="464"/>
      <c r="EP9" s="464"/>
      <c r="EQ9" s="464"/>
      <c r="ER9" s="464"/>
      <c r="ES9" s="464"/>
      <c r="ET9" s="464"/>
      <c r="EU9" s="464"/>
      <c r="EV9" s="464"/>
      <c r="EW9" s="464"/>
      <c r="EX9" s="464"/>
      <c r="EY9" s="464"/>
      <c r="EZ9" s="464"/>
      <c r="FA9" s="464"/>
      <c r="FB9" s="464"/>
      <c r="FC9" s="464"/>
      <c r="FD9" s="464"/>
      <c r="FE9" s="464"/>
      <c r="FF9" s="472">
        <f>MEDIAN(AD9,AH9)</f>
        <v>165273</v>
      </c>
      <c r="FG9" s="472">
        <f>AVERAGE(AD9,AH9)</f>
        <v>165273</v>
      </c>
      <c r="FH9" s="473">
        <f>STDEV(AD9,AH9)</f>
        <v>24427.71086287047</v>
      </c>
      <c r="FI9" s="474">
        <f>FH9/FG9</f>
        <v>0.14780218706546422</v>
      </c>
      <c r="FJ9" s="475">
        <f>ROUNDUP(IF(FI9&lt;15%,FG9,FF9),0)</f>
        <v>165273</v>
      </c>
      <c r="FK9" s="469">
        <f t="shared" si="0"/>
        <v>165273</v>
      </c>
      <c r="FL9" s="467" t="s">
        <v>621</v>
      </c>
      <c r="FM9" s="470"/>
    </row>
    <row r="10" spans="1:169" s="457" customFormat="1" ht="102.75" customHeight="1" x14ac:dyDescent="0.35">
      <c r="A10" s="458">
        <v>6</v>
      </c>
      <c r="B10" s="459" t="s">
        <v>630</v>
      </c>
      <c r="C10" s="460" t="s">
        <v>631</v>
      </c>
      <c r="D10" s="461" t="s">
        <v>620</v>
      </c>
      <c r="E10" s="462">
        <v>1</v>
      </c>
      <c r="F10" s="463"/>
      <c r="G10" s="463"/>
      <c r="H10" s="463"/>
      <c r="I10" s="463"/>
      <c r="J10" s="463"/>
      <c r="K10" s="463"/>
      <c r="L10" s="464"/>
      <c r="M10" s="464"/>
      <c r="N10" s="464"/>
      <c r="O10" s="464"/>
      <c r="P10" s="464"/>
      <c r="Q10" s="464"/>
      <c r="R10" s="464"/>
      <c r="S10" s="464"/>
      <c r="T10" s="464"/>
      <c r="U10" s="464"/>
      <c r="V10" s="464"/>
      <c r="W10" s="464"/>
      <c r="X10" s="464"/>
      <c r="Y10" s="464"/>
      <c r="Z10" s="464"/>
      <c r="AA10" s="464"/>
      <c r="AB10" s="464"/>
      <c r="AC10" s="464"/>
      <c r="AD10" s="463">
        <v>67401.599999999991</v>
      </c>
      <c r="AE10" s="464">
        <f t="shared" ref="AE10:AE20" si="4">+AD10*E10</f>
        <v>67401.599999999991</v>
      </c>
      <c r="AF10" s="464"/>
      <c r="AG10" s="464"/>
      <c r="AH10" s="464">
        <v>72000</v>
      </c>
      <c r="AI10" s="464">
        <f t="shared" ref="AI10:AI17" si="5">+AH10*E10</f>
        <v>72000</v>
      </c>
      <c r="AJ10" s="464"/>
      <c r="AK10" s="464"/>
      <c r="AL10" s="464"/>
      <c r="AM10" s="464"/>
      <c r="AN10" s="464"/>
      <c r="AO10" s="464"/>
      <c r="AP10" s="464"/>
      <c r="AQ10" s="464"/>
      <c r="AR10" s="464"/>
      <c r="AS10" s="464"/>
      <c r="AT10" s="464"/>
      <c r="AU10" s="464"/>
      <c r="AV10" s="464">
        <v>51360</v>
      </c>
      <c r="AW10" s="464">
        <f t="shared" si="1"/>
        <v>51360</v>
      </c>
      <c r="AX10" s="464"/>
      <c r="AY10" s="464"/>
      <c r="AZ10" s="464"/>
      <c r="BA10" s="464"/>
      <c r="BB10" s="464"/>
      <c r="BC10" s="464"/>
      <c r="BD10" s="464"/>
      <c r="BE10" s="464"/>
      <c r="BF10" s="464"/>
      <c r="BG10" s="464"/>
      <c r="BH10" s="464"/>
      <c r="BI10" s="464"/>
      <c r="BJ10" s="464"/>
      <c r="BK10" s="464"/>
      <c r="BL10" s="464"/>
      <c r="BM10" s="464"/>
      <c r="BN10" s="464"/>
      <c r="BO10" s="464"/>
      <c r="BP10" s="464"/>
      <c r="BQ10" s="464"/>
      <c r="BR10" s="464"/>
      <c r="BS10" s="464"/>
      <c r="BT10" s="464"/>
      <c r="BU10" s="464"/>
      <c r="BV10" s="464"/>
      <c r="BW10" s="464"/>
      <c r="BX10" s="464"/>
      <c r="BY10" s="464"/>
      <c r="BZ10" s="464"/>
      <c r="CA10" s="464"/>
      <c r="CB10" s="464"/>
      <c r="CC10" s="464"/>
      <c r="CD10" s="464"/>
      <c r="CE10" s="464"/>
      <c r="CF10" s="464"/>
      <c r="CG10" s="464"/>
      <c r="CH10" s="464"/>
      <c r="CI10" s="464"/>
      <c r="CJ10" s="464"/>
      <c r="CK10" s="464"/>
      <c r="CL10" s="464"/>
      <c r="CM10" s="464"/>
      <c r="CN10" s="464"/>
      <c r="CO10" s="464"/>
      <c r="CP10" s="464"/>
      <c r="CQ10" s="464"/>
      <c r="CR10" s="464"/>
      <c r="CS10" s="464"/>
      <c r="CT10" s="464"/>
      <c r="CU10" s="464"/>
      <c r="CV10" s="464"/>
      <c r="CW10" s="464"/>
      <c r="CX10" s="464"/>
      <c r="CY10" s="464"/>
      <c r="CZ10" s="464"/>
      <c r="DA10" s="464"/>
      <c r="DB10" s="464"/>
      <c r="DC10" s="464"/>
      <c r="DD10" s="464"/>
      <c r="DE10" s="464"/>
      <c r="DF10" s="464"/>
      <c r="DG10" s="464"/>
      <c r="DH10" s="464"/>
      <c r="DI10" s="464"/>
      <c r="DJ10" s="464"/>
      <c r="DK10" s="464"/>
      <c r="DL10" s="464"/>
      <c r="DM10" s="464"/>
      <c r="DN10" s="464"/>
      <c r="DO10" s="464"/>
      <c r="DP10" s="464"/>
      <c r="DQ10" s="464"/>
      <c r="DR10" s="464"/>
      <c r="DS10" s="464"/>
      <c r="DT10" s="464"/>
      <c r="DU10" s="464"/>
      <c r="DV10" s="464"/>
      <c r="DW10" s="464"/>
      <c r="DX10" s="464"/>
      <c r="DY10" s="464"/>
      <c r="DZ10" s="464"/>
      <c r="EA10" s="464"/>
      <c r="EB10" s="464"/>
      <c r="EC10" s="464"/>
      <c r="ED10" s="464"/>
      <c r="EE10" s="464"/>
      <c r="EF10" s="464"/>
      <c r="EG10" s="464"/>
      <c r="EH10" s="464"/>
      <c r="EI10" s="464"/>
      <c r="EJ10" s="464"/>
      <c r="EK10" s="464"/>
      <c r="EL10" s="464"/>
      <c r="EM10" s="464"/>
      <c r="EN10" s="464"/>
      <c r="EO10" s="464"/>
      <c r="EP10" s="464"/>
      <c r="EQ10" s="464"/>
      <c r="ER10" s="464"/>
      <c r="ES10" s="464"/>
      <c r="ET10" s="464"/>
      <c r="EU10" s="464"/>
      <c r="EV10" s="464"/>
      <c r="EW10" s="464"/>
      <c r="EX10" s="464"/>
      <c r="EY10" s="464"/>
      <c r="EZ10" s="464"/>
      <c r="FA10" s="464"/>
      <c r="FB10" s="464"/>
      <c r="FC10" s="464"/>
      <c r="FD10" s="464"/>
      <c r="FE10" s="464"/>
      <c r="FF10" s="472">
        <f>MEDIAN(AD10,AH10,AV10)</f>
        <v>67401.599999999991</v>
      </c>
      <c r="FG10" s="472">
        <f>AVERAGE(AD10,AH10,AV10)</f>
        <v>63587.19999999999</v>
      </c>
      <c r="FH10" s="473">
        <f>STDEV(AD10,AH10,AV10)</f>
        <v>10835.80340906942</v>
      </c>
      <c r="FI10" s="474">
        <f>FH10/FG10</f>
        <v>0.17040856350129305</v>
      </c>
      <c r="FJ10" s="475">
        <f t="shared" ref="FJ10:FJ20" si="6">ROUNDUP(IF(FI10&lt;15%,FG10,FF10),0)</f>
        <v>67402</v>
      </c>
      <c r="FK10" s="469">
        <f t="shared" si="0"/>
        <v>67402</v>
      </c>
      <c r="FL10" s="467" t="s">
        <v>632</v>
      </c>
      <c r="FM10" s="470"/>
    </row>
    <row r="11" spans="1:169" s="457" customFormat="1" ht="103.5" customHeight="1" x14ac:dyDescent="0.35">
      <c r="A11" s="458">
        <v>7</v>
      </c>
      <c r="B11" s="459" t="s">
        <v>633</v>
      </c>
      <c r="C11" s="460" t="s">
        <v>634</v>
      </c>
      <c r="D11" s="461" t="s">
        <v>620</v>
      </c>
      <c r="E11" s="462">
        <v>1</v>
      </c>
      <c r="F11" s="463"/>
      <c r="G11" s="463"/>
      <c r="H11" s="463"/>
      <c r="I11" s="463"/>
      <c r="J11" s="463"/>
      <c r="K11" s="463"/>
      <c r="L11" s="464"/>
      <c r="M11" s="464"/>
      <c r="N11" s="464"/>
      <c r="O11" s="464"/>
      <c r="P11" s="464"/>
      <c r="Q11" s="464"/>
      <c r="R11" s="464"/>
      <c r="S11" s="464"/>
      <c r="T11" s="464"/>
      <c r="U11" s="464"/>
      <c r="V11" s="464"/>
      <c r="W11" s="464"/>
      <c r="X11" s="464"/>
      <c r="Y11" s="464"/>
      <c r="Z11" s="464"/>
      <c r="AA11" s="464"/>
      <c r="AB11" s="464"/>
      <c r="AC11" s="464"/>
      <c r="AD11" s="463">
        <v>21063</v>
      </c>
      <c r="AE11" s="464">
        <f t="shared" si="4"/>
        <v>21063</v>
      </c>
      <c r="AF11" s="464"/>
      <c r="AG11" s="464"/>
      <c r="AH11" s="464">
        <v>133000</v>
      </c>
      <c r="AI11" s="464">
        <f t="shared" si="5"/>
        <v>133000</v>
      </c>
      <c r="AJ11" s="464"/>
      <c r="AK11" s="464"/>
      <c r="AL11" s="464"/>
      <c r="AM11" s="464"/>
      <c r="AN11" s="464"/>
      <c r="AO11" s="464"/>
      <c r="AP11" s="464"/>
      <c r="AQ11" s="464"/>
      <c r="AR11" s="464"/>
      <c r="AS11" s="464"/>
      <c r="AT11" s="464"/>
      <c r="AU11" s="464"/>
      <c r="AV11" s="464">
        <v>95230</v>
      </c>
      <c r="AW11" s="464">
        <f t="shared" si="1"/>
        <v>95230</v>
      </c>
      <c r="AX11" s="464"/>
      <c r="AY11" s="464"/>
      <c r="AZ11" s="464"/>
      <c r="BA11" s="464"/>
      <c r="BB11" s="464"/>
      <c r="BC11" s="464"/>
      <c r="BD11" s="464"/>
      <c r="BE11" s="464"/>
      <c r="BF11" s="464"/>
      <c r="BG11" s="464"/>
      <c r="BH11" s="464"/>
      <c r="BI11" s="464"/>
      <c r="BJ11" s="464"/>
      <c r="BK11" s="464"/>
      <c r="BL11" s="464"/>
      <c r="BM11" s="464"/>
      <c r="BN11" s="464"/>
      <c r="BO11" s="464"/>
      <c r="BP11" s="464"/>
      <c r="BQ11" s="464"/>
      <c r="BR11" s="464"/>
      <c r="BS11" s="464"/>
      <c r="BT11" s="464"/>
      <c r="BU11" s="464"/>
      <c r="BV11" s="464"/>
      <c r="BW11" s="464"/>
      <c r="BX11" s="464"/>
      <c r="BY11" s="464"/>
      <c r="BZ11" s="464"/>
      <c r="CA11" s="464"/>
      <c r="CB11" s="464"/>
      <c r="CC11" s="464"/>
      <c r="CD11" s="464"/>
      <c r="CE11" s="464"/>
      <c r="CF11" s="464"/>
      <c r="CG11" s="464"/>
      <c r="CH11" s="464"/>
      <c r="CI11" s="464"/>
      <c r="CJ11" s="464"/>
      <c r="CK11" s="464"/>
      <c r="CL11" s="464"/>
      <c r="CM11" s="464"/>
      <c r="CN11" s="464"/>
      <c r="CO11" s="464"/>
      <c r="CP11" s="464"/>
      <c r="CQ11" s="464"/>
      <c r="CR11" s="464"/>
      <c r="CS11" s="464"/>
      <c r="CT11" s="464"/>
      <c r="CU11" s="464"/>
      <c r="CV11" s="464"/>
      <c r="CW11" s="464"/>
      <c r="CX11" s="464"/>
      <c r="CY11" s="464"/>
      <c r="CZ11" s="464"/>
      <c r="DA11" s="464"/>
      <c r="DB11" s="464"/>
      <c r="DC11" s="464"/>
      <c r="DD11" s="464"/>
      <c r="DE11" s="464"/>
      <c r="DF11" s="464"/>
      <c r="DG11" s="464"/>
      <c r="DH11" s="464"/>
      <c r="DI11" s="464"/>
      <c r="DJ11" s="464"/>
      <c r="DK11" s="464"/>
      <c r="DL11" s="464"/>
      <c r="DM11" s="464"/>
      <c r="DN11" s="464"/>
      <c r="DO11" s="464"/>
      <c r="DP11" s="464"/>
      <c r="DQ11" s="464"/>
      <c r="DR11" s="464"/>
      <c r="DS11" s="464"/>
      <c r="DT11" s="464"/>
      <c r="DU11" s="464"/>
      <c r="DV11" s="464"/>
      <c r="DW11" s="464"/>
      <c r="DX11" s="464"/>
      <c r="DY11" s="464"/>
      <c r="DZ11" s="464"/>
      <c r="EA11" s="464"/>
      <c r="EB11" s="464"/>
      <c r="EC11" s="464"/>
      <c r="ED11" s="464"/>
      <c r="EE11" s="464"/>
      <c r="EF11" s="464"/>
      <c r="EG11" s="464"/>
      <c r="EH11" s="464"/>
      <c r="EI11" s="464"/>
      <c r="EJ11" s="464"/>
      <c r="EK11" s="464"/>
      <c r="EL11" s="464"/>
      <c r="EM11" s="464"/>
      <c r="EN11" s="464"/>
      <c r="EO11" s="464"/>
      <c r="EP11" s="464"/>
      <c r="EQ11" s="464"/>
      <c r="ER11" s="464"/>
      <c r="ES11" s="464"/>
      <c r="ET11" s="464"/>
      <c r="EU11" s="464"/>
      <c r="EV11" s="464"/>
      <c r="EW11" s="464"/>
      <c r="EX11" s="464"/>
      <c r="EY11" s="464"/>
      <c r="EZ11" s="464"/>
      <c r="FA11" s="464"/>
      <c r="FB11" s="464"/>
      <c r="FC11" s="464"/>
      <c r="FD11" s="464"/>
      <c r="FE11" s="464"/>
      <c r="FF11" s="472">
        <f>MEDIAN(AH11,AV11,)</f>
        <v>95230</v>
      </c>
      <c r="FG11" s="472">
        <f>AVERAGE(AH11,AV11)</f>
        <v>114115</v>
      </c>
      <c r="FH11" s="473">
        <f>STDEV(AH11,AV11)</f>
        <v>26707.423125415899</v>
      </c>
      <c r="FI11" s="474">
        <f t="shared" ref="FI11:FI20" si="7">FH11/FG11</f>
        <v>0.23403954892359374</v>
      </c>
      <c r="FJ11" s="475">
        <f t="shared" si="6"/>
        <v>95230</v>
      </c>
      <c r="FK11" s="469">
        <f t="shared" si="0"/>
        <v>95230</v>
      </c>
      <c r="FL11" s="467" t="s">
        <v>632</v>
      </c>
      <c r="FM11" s="470"/>
    </row>
    <row r="12" spans="1:169" s="457" customFormat="1" ht="51.75" customHeight="1" x14ac:dyDescent="0.35">
      <c r="A12" s="458">
        <v>8</v>
      </c>
      <c r="B12" s="459" t="s">
        <v>635</v>
      </c>
      <c r="C12" s="460" t="s">
        <v>636</v>
      </c>
      <c r="D12" s="461" t="s">
        <v>620</v>
      </c>
      <c r="E12" s="462">
        <v>1</v>
      </c>
      <c r="F12" s="463"/>
      <c r="G12" s="463"/>
      <c r="H12" s="463"/>
      <c r="I12" s="463"/>
      <c r="J12" s="463"/>
      <c r="K12" s="463"/>
      <c r="L12" s="464"/>
      <c r="M12" s="464"/>
      <c r="N12" s="464"/>
      <c r="O12" s="464"/>
      <c r="P12" s="464"/>
      <c r="Q12" s="464"/>
      <c r="R12" s="464"/>
      <c r="S12" s="464"/>
      <c r="T12" s="464"/>
      <c r="U12" s="464"/>
      <c r="V12" s="464"/>
      <c r="W12" s="464"/>
      <c r="X12" s="464"/>
      <c r="Y12" s="464"/>
      <c r="Z12" s="464"/>
      <c r="AA12" s="464"/>
      <c r="AB12" s="464"/>
      <c r="AC12" s="464"/>
      <c r="AD12" s="463">
        <v>39317.599999999999</v>
      </c>
      <c r="AE12" s="464">
        <f t="shared" si="4"/>
        <v>39317.599999999999</v>
      </c>
      <c r="AF12" s="464"/>
      <c r="AG12" s="464"/>
      <c r="AH12" s="464">
        <f>+(28000*26)+28000</f>
        <v>756000</v>
      </c>
      <c r="AI12" s="464">
        <f t="shared" si="5"/>
        <v>756000</v>
      </c>
      <c r="AJ12" s="464"/>
      <c r="AK12" s="464"/>
      <c r="AL12" s="464"/>
      <c r="AM12" s="464"/>
      <c r="AN12" s="464"/>
      <c r="AO12" s="464"/>
      <c r="AP12" s="464"/>
      <c r="AQ12" s="464"/>
      <c r="AR12" s="464"/>
      <c r="AS12" s="464"/>
      <c r="AT12" s="464"/>
      <c r="AU12" s="464"/>
      <c r="AV12" s="464">
        <v>35280</v>
      </c>
      <c r="AW12" s="464">
        <f t="shared" si="1"/>
        <v>35280</v>
      </c>
      <c r="AX12" s="464"/>
      <c r="AY12" s="464"/>
      <c r="AZ12" s="464"/>
      <c r="BA12" s="464"/>
      <c r="BB12" s="464"/>
      <c r="BC12" s="464"/>
      <c r="BD12" s="464"/>
      <c r="BE12" s="464"/>
      <c r="BF12" s="464"/>
      <c r="BG12" s="464"/>
      <c r="BH12" s="464"/>
      <c r="BI12" s="464"/>
      <c r="BJ12" s="464"/>
      <c r="BK12" s="464"/>
      <c r="BL12" s="464"/>
      <c r="BM12" s="464"/>
      <c r="BN12" s="464"/>
      <c r="BO12" s="464"/>
      <c r="BP12" s="464"/>
      <c r="BQ12" s="464"/>
      <c r="BR12" s="464"/>
      <c r="BS12" s="464"/>
      <c r="BT12" s="464"/>
      <c r="BU12" s="464"/>
      <c r="BV12" s="464"/>
      <c r="BW12" s="464"/>
      <c r="BX12" s="464"/>
      <c r="BY12" s="464"/>
      <c r="BZ12" s="464"/>
      <c r="CA12" s="464"/>
      <c r="CB12" s="464"/>
      <c r="CC12" s="464"/>
      <c r="CD12" s="464"/>
      <c r="CE12" s="464"/>
      <c r="CF12" s="464"/>
      <c r="CG12" s="464"/>
      <c r="CH12" s="464"/>
      <c r="CI12" s="464"/>
      <c r="CJ12" s="464"/>
      <c r="CK12" s="464"/>
      <c r="CL12" s="464"/>
      <c r="CM12" s="464"/>
      <c r="CN12" s="464"/>
      <c r="CO12" s="464"/>
      <c r="CP12" s="464"/>
      <c r="CQ12" s="464"/>
      <c r="CR12" s="464"/>
      <c r="CS12" s="464"/>
      <c r="CT12" s="464"/>
      <c r="CU12" s="464"/>
      <c r="CV12" s="464"/>
      <c r="CW12" s="464"/>
      <c r="CX12" s="464"/>
      <c r="CY12" s="464"/>
      <c r="CZ12" s="464"/>
      <c r="DA12" s="464"/>
      <c r="DB12" s="464"/>
      <c r="DC12" s="464"/>
      <c r="DD12" s="464"/>
      <c r="DE12" s="464"/>
      <c r="DF12" s="464"/>
      <c r="DG12" s="464"/>
      <c r="DH12" s="464"/>
      <c r="DI12" s="464"/>
      <c r="DJ12" s="464"/>
      <c r="DK12" s="464"/>
      <c r="DL12" s="464"/>
      <c r="DM12" s="464"/>
      <c r="DN12" s="464"/>
      <c r="DO12" s="464"/>
      <c r="DP12" s="464"/>
      <c r="DQ12" s="464"/>
      <c r="DR12" s="464"/>
      <c r="DS12" s="464"/>
      <c r="DT12" s="464"/>
      <c r="DU12" s="464"/>
      <c r="DV12" s="464"/>
      <c r="DW12" s="464"/>
      <c r="DX12" s="464"/>
      <c r="DY12" s="464"/>
      <c r="DZ12" s="464"/>
      <c r="EA12" s="464"/>
      <c r="EB12" s="464"/>
      <c r="EC12" s="464"/>
      <c r="ED12" s="464"/>
      <c r="EE12" s="464"/>
      <c r="EF12" s="464"/>
      <c r="EG12" s="464"/>
      <c r="EH12" s="464"/>
      <c r="EI12" s="464"/>
      <c r="EJ12" s="464"/>
      <c r="EK12" s="464"/>
      <c r="EL12" s="464"/>
      <c r="EM12" s="464"/>
      <c r="EN12" s="464"/>
      <c r="EO12" s="464"/>
      <c r="EP12" s="464"/>
      <c r="EQ12" s="464"/>
      <c r="ER12" s="464"/>
      <c r="ES12" s="464"/>
      <c r="ET12" s="464"/>
      <c r="EU12" s="464"/>
      <c r="EV12" s="464"/>
      <c r="EW12" s="464"/>
      <c r="EX12" s="464"/>
      <c r="EY12" s="464"/>
      <c r="EZ12" s="464"/>
      <c r="FA12" s="464"/>
      <c r="FB12" s="464"/>
      <c r="FC12" s="464"/>
      <c r="FD12" s="464"/>
      <c r="FE12" s="464"/>
      <c r="FF12" s="472">
        <f>MEDIAN(AD12,AV12)</f>
        <v>37298.800000000003</v>
      </c>
      <c r="FG12" s="472">
        <f>AVERAGE(AD12,AV12)</f>
        <v>37298.800000000003</v>
      </c>
      <c r="FH12" s="473">
        <f>STDEV(AD12,AV12)</f>
        <v>2855.0143397188031</v>
      </c>
      <c r="FI12" s="474">
        <f t="shared" si="7"/>
        <v>7.6544401957135424E-2</v>
      </c>
      <c r="FJ12" s="475">
        <f t="shared" si="6"/>
        <v>37299</v>
      </c>
      <c r="FK12" s="469">
        <f t="shared" si="0"/>
        <v>37299</v>
      </c>
      <c r="FL12" s="467" t="s">
        <v>621</v>
      </c>
      <c r="FM12" s="470"/>
    </row>
    <row r="13" spans="1:169" s="457" customFormat="1" ht="77.25" customHeight="1" x14ac:dyDescent="0.35">
      <c r="A13" s="458">
        <v>9</v>
      </c>
      <c r="B13" s="459" t="s">
        <v>637</v>
      </c>
      <c r="C13" s="460" t="s">
        <v>638</v>
      </c>
      <c r="D13" s="461" t="s">
        <v>620</v>
      </c>
      <c r="E13" s="462">
        <v>1</v>
      </c>
      <c r="F13" s="463"/>
      <c r="G13" s="463"/>
      <c r="H13" s="463"/>
      <c r="I13" s="463"/>
      <c r="J13" s="463"/>
      <c r="K13" s="463"/>
      <c r="L13" s="464"/>
      <c r="M13" s="464"/>
      <c r="N13" s="464"/>
      <c r="O13" s="464"/>
      <c r="P13" s="464"/>
      <c r="Q13" s="464"/>
      <c r="R13" s="464"/>
      <c r="S13" s="464"/>
      <c r="T13" s="464"/>
      <c r="U13" s="464"/>
      <c r="V13" s="464"/>
      <c r="W13" s="464"/>
      <c r="X13" s="464"/>
      <c r="Y13" s="464"/>
      <c r="Z13" s="464"/>
      <c r="AA13" s="464"/>
      <c r="AB13" s="464"/>
      <c r="AC13" s="464"/>
      <c r="AD13" s="463">
        <v>23169.3</v>
      </c>
      <c r="AE13" s="464">
        <f t="shared" si="4"/>
        <v>23169.3</v>
      </c>
      <c r="AF13" s="464"/>
      <c r="AG13" s="464"/>
      <c r="AH13" s="464">
        <v>25000</v>
      </c>
      <c r="AI13" s="464">
        <f t="shared" si="5"/>
        <v>25000</v>
      </c>
      <c r="AJ13" s="464"/>
      <c r="AK13" s="464"/>
      <c r="AL13" s="464"/>
      <c r="AM13" s="464"/>
      <c r="AN13" s="464"/>
      <c r="AO13" s="464"/>
      <c r="AP13" s="464"/>
      <c r="AQ13" s="464"/>
      <c r="AR13" s="464"/>
      <c r="AS13" s="464"/>
      <c r="AT13" s="464"/>
      <c r="AU13" s="464"/>
      <c r="AV13" s="464">
        <f>+(18900*7%)+18900</f>
        <v>20223</v>
      </c>
      <c r="AW13" s="464">
        <f t="shared" si="1"/>
        <v>20223</v>
      </c>
      <c r="AX13" s="464"/>
      <c r="AY13" s="464"/>
      <c r="AZ13" s="464"/>
      <c r="BA13" s="464"/>
      <c r="BB13" s="464"/>
      <c r="BC13" s="464"/>
      <c r="BD13" s="464"/>
      <c r="BE13" s="464"/>
      <c r="BF13" s="464"/>
      <c r="BG13" s="464"/>
      <c r="BH13" s="464"/>
      <c r="BI13" s="464"/>
      <c r="BJ13" s="464"/>
      <c r="BK13" s="464"/>
      <c r="BL13" s="464"/>
      <c r="BM13" s="464"/>
      <c r="BN13" s="464"/>
      <c r="BO13" s="464"/>
      <c r="BP13" s="464"/>
      <c r="BQ13" s="464"/>
      <c r="BR13" s="464"/>
      <c r="BS13" s="464"/>
      <c r="BT13" s="464"/>
      <c r="BU13" s="464"/>
      <c r="BV13" s="464"/>
      <c r="BW13" s="464"/>
      <c r="BX13" s="464"/>
      <c r="BY13" s="464"/>
      <c r="BZ13" s="464"/>
      <c r="CA13" s="464"/>
      <c r="CB13" s="464"/>
      <c r="CC13" s="464"/>
      <c r="CD13" s="464"/>
      <c r="CE13" s="464"/>
      <c r="CF13" s="464"/>
      <c r="CG13" s="464"/>
      <c r="CH13" s="464"/>
      <c r="CI13" s="464"/>
      <c r="CJ13" s="464"/>
      <c r="CK13" s="464"/>
      <c r="CL13" s="464"/>
      <c r="CM13" s="464"/>
      <c r="CN13" s="464"/>
      <c r="CO13" s="464"/>
      <c r="CP13" s="464"/>
      <c r="CQ13" s="464"/>
      <c r="CR13" s="464"/>
      <c r="CS13" s="464"/>
      <c r="CT13" s="464"/>
      <c r="CU13" s="464"/>
      <c r="CV13" s="464"/>
      <c r="CW13" s="464"/>
      <c r="CX13" s="464"/>
      <c r="CY13" s="464"/>
      <c r="CZ13" s="464"/>
      <c r="DA13" s="464"/>
      <c r="DB13" s="464"/>
      <c r="DC13" s="464"/>
      <c r="DD13" s="464"/>
      <c r="DE13" s="464"/>
      <c r="DF13" s="464"/>
      <c r="DG13" s="464"/>
      <c r="DH13" s="464"/>
      <c r="DI13" s="464"/>
      <c r="DJ13" s="464"/>
      <c r="DK13" s="464"/>
      <c r="DL13" s="464"/>
      <c r="DM13" s="464"/>
      <c r="DN13" s="464"/>
      <c r="DO13" s="464"/>
      <c r="DP13" s="464"/>
      <c r="DQ13" s="464"/>
      <c r="DR13" s="464"/>
      <c r="DS13" s="464"/>
      <c r="DT13" s="464"/>
      <c r="DU13" s="464"/>
      <c r="DV13" s="464"/>
      <c r="DW13" s="464"/>
      <c r="DX13" s="464"/>
      <c r="DY13" s="464"/>
      <c r="DZ13" s="464"/>
      <c r="EA13" s="464"/>
      <c r="EB13" s="464"/>
      <c r="EC13" s="464"/>
      <c r="ED13" s="464"/>
      <c r="EE13" s="464"/>
      <c r="EF13" s="464"/>
      <c r="EG13" s="464"/>
      <c r="EH13" s="464"/>
      <c r="EI13" s="464"/>
      <c r="EJ13" s="464"/>
      <c r="EK13" s="464"/>
      <c r="EL13" s="464"/>
      <c r="EM13" s="464"/>
      <c r="EN13" s="464"/>
      <c r="EO13" s="464"/>
      <c r="EP13" s="464"/>
      <c r="EQ13" s="464"/>
      <c r="ER13" s="464"/>
      <c r="ES13" s="464"/>
      <c r="ET13" s="464"/>
      <c r="EU13" s="464"/>
      <c r="EV13" s="464"/>
      <c r="EW13" s="464"/>
      <c r="EX13" s="464"/>
      <c r="EY13" s="464"/>
      <c r="EZ13" s="464"/>
      <c r="FA13" s="464"/>
      <c r="FB13" s="464"/>
      <c r="FC13" s="464"/>
      <c r="FD13" s="464"/>
      <c r="FE13" s="464"/>
      <c r="FF13" s="472">
        <f>MEDIAN(AD13,AH13)</f>
        <v>24084.65</v>
      </c>
      <c r="FG13" s="472">
        <f>AVERAGE(AD13,AH13)</f>
        <v>24084.65</v>
      </c>
      <c r="FH13" s="473">
        <f>STDEV(AD13,AH13)</f>
        <v>1294.500384318213</v>
      </c>
      <c r="FI13" s="474">
        <f t="shared" si="7"/>
        <v>5.3747942540921828E-2</v>
      </c>
      <c r="FJ13" s="475">
        <f t="shared" si="6"/>
        <v>24085</v>
      </c>
      <c r="FK13" s="469">
        <f t="shared" si="0"/>
        <v>24085</v>
      </c>
      <c r="FL13" s="467" t="s">
        <v>621</v>
      </c>
      <c r="FM13" s="470"/>
    </row>
    <row r="14" spans="1:169" s="457" customFormat="1" ht="32.5" customHeight="1" x14ac:dyDescent="0.35">
      <c r="A14" s="458">
        <v>10</v>
      </c>
      <c r="B14" s="459" t="s">
        <v>639</v>
      </c>
      <c r="C14" s="460" t="s">
        <v>640</v>
      </c>
      <c r="D14" s="461" t="s">
        <v>620</v>
      </c>
      <c r="E14" s="462">
        <v>1</v>
      </c>
      <c r="F14" s="463"/>
      <c r="G14" s="463"/>
      <c r="H14" s="463"/>
      <c r="I14" s="463"/>
      <c r="J14" s="463"/>
      <c r="K14" s="463"/>
      <c r="L14" s="464"/>
      <c r="M14" s="464"/>
      <c r="N14" s="464"/>
      <c r="O14" s="464"/>
      <c r="P14" s="464"/>
      <c r="Q14" s="464"/>
      <c r="R14" s="464"/>
      <c r="S14" s="464"/>
      <c r="T14" s="464"/>
      <c r="U14" s="464"/>
      <c r="V14" s="464"/>
      <c r="W14" s="464"/>
      <c r="X14" s="464"/>
      <c r="Y14" s="464"/>
      <c r="Z14" s="464"/>
      <c r="AA14" s="464"/>
      <c r="AB14" s="464"/>
      <c r="AC14" s="464"/>
      <c r="AD14" s="463">
        <v>81443.599999999991</v>
      </c>
      <c r="AE14" s="464">
        <f t="shared" si="4"/>
        <v>81443.599999999991</v>
      </c>
      <c r="AF14" s="464"/>
      <c r="AG14" s="464"/>
      <c r="AH14" s="464">
        <v>87000</v>
      </c>
      <c r="AI14" s="464">
        <f t="shared" si="5"/>
        <v>87000</v>
      </c>
      <c r="AJ14" s="464"/>
      <c r="AK14" s="464"/>
      <c r="AL14" s="464"/>
      <c r="AM14" s="464"/>
      <c r="AN14" s="464"/>
      <c r="AO14" s="464"/>
      <c r="AP14" s="464"/>
      <c r="AQ14" s="464"/>
      <c r="AR14" s="464"/>
      <c r="AS14" s="464"/>
      <c r="AT14" s="464"/>
      <c r="AU14" s="464"/>
      <c r="AV14" s="464"/>
      <c r="AW14" s="464"/>
      <c r="AX14" s="464"/>
      <c r="AY14" s="464"/>
      <c r="AZ14" s="464"/>
      <c r="BA14" s="464"/>
      <c r="BB14" s="464"/>
      <c r="BC14" s="464"/>
      <c r="BD14" s="464"/>
      <c r="BE14" s="464"/>
      <c r="BF14" s="464"/>
      <c r="BG14" s="464"/>
      <c r="BH14" s="464"/>
      <c r="BI14" s="464"/>
      <c r="BJ14" s="464"/>
      <c r="BK14" s="464"/>
      <c r="BL14" s="464"/>
      <c r="BM14" s="464"/>
      <c r="BN14" s="464"/>
      <c r="BO14" s="464"/>
      <c r="BP14" s="464"/>
      <c r="BQ14" s="464"/>
      <c r="BR14" s="464"/>
      <c r="BS14" s="464"/>
      <c r="BT14" s="464"/>
      <c r="BU14" s="464"/>
      <c r="BV14" s="464"/>
      <c r="BW14" s="464"/>
      <c r="BX14" s="464"/>
      <c r="BY14" s="464"/>
      <c r="BZ14" s="464"/>
      <c r="CA14" s="464"/>
      <c r="CB14" s="464"/>
      <c r="CC14" s="464"/>
      <c r="CD14" s="464"/>
      <c r="CE14" s="464"/>
      <c r="CF14" s="464"/>
      <c r="CG14" s="464"/>
      <c r="CH14" s="464"/>
      <c r="CI14" s="464"/>
      <c r="CJ14" s="464"/>
      <c r="CK14" s="464"/>
      <c r="CL14" s="464"/>
      <c r="CM14" s="464"/>
      <c r="CN14" s="464"/>
      <c r="CO14" s="464"/>
      <c r="CP14" s="464"/>
      <c r="CQ14" s="464"/>
      <c r="CR14" s="464"/>
      <c r="CS14" s="464"/>
      <c r="CT14" s="464"/>
      <c r="CU14" s="464"/>
      <c r="CV14" s="464"/>
      <c r="CW14" s="464"/>
      <c r="CX14" s="464"/>
      <c r="CY14" s="464"/>
      <c r="CZ14" s="464"/>
      <c r="DA14" s="464"/>
      <c r="DB14" s="464"/>
      <c r="DC14" s="464"/>
      <c r="DD14" s="464"/>
      <c r="DE14" s="464"/>
      <c r="DF14" s="464"/>
      <c r="DG14" s="464"/>
      <c r="DH14" s="464"/>
      <c r="DI14" s="464"/>
      <c r="DJ14" s="464"/>
      <c r="DK14" s="464"/>
      <c r="DL14" s="464"/>
      <c r="DM14" s="464"/>
      <c r="DN14" s="464"/>
      <c r="DO14" s="464"/>
      <c r="DP14" s="464"/>
      <c r="DQ14" s="464"/>
      <c r="DR14" s="464"/>
      <c r="DS14" s="464"/>
      <c r="DT14" s="464"/>
      <c r="DU14" s="464"/>
      <c r="DV14" s="464"/>
      <c r="DW14" s="464"/>
      <c r="DX14" s="464"/>
      <c r="DY14" s="464"/>
      <c r="DZ14" s="464"/>
      <c r="EA14" s="464"/>
      <c r="EB14" s="464"/>
      <c r="EC14" s="464"/>
      <c r="ED14" s="464"/>
      <c r="EE14" s="464"/>
      <c r="EF14" s="464"/>
      <c r="EG14" s="464"/>
      <c r="EH14" s="464"/>
      <c r="EI14" s="464"/>
      <c r="EJ14" s="464"/>
      <c r="EK14" s="464"/>
      <c r="EL14" s="464"/>
      <c r="EM14" s="464"/>
      <c r="EN14" s="464"/>
      <c r="EO14" s="464"/>
      <c r="EP14" s="464"/>
      <c r="EQ14" s="464"/>
      <c r="ER14" s="464"/>
      <c r="ES14" s="464"/>
      <c r="ET14" s="464"/>
      <c r="EU14" s="464"/>
      <c r="EV14" s="464"/>
      <c r="EW14" s="464"/>
      <c r="EX14" s="464"/>
      <c r="EY14" s="464"/>
      <c r="EZ14" s="464"/>
      <c r="FA14" s="464"/>
      <c r="FB14" s="464"/>
      <c r="FC14" s="464"/>
      <c r="FD14" s="464"/>
      <c r="FE14" s="464"/>
      <c r="FF14" s="472">
        <f>MEDIAN(AD14,AH14)</f>
        <v>84221.799999999988</v>
      </c>
      <c r="FG14" s="472">
        <f>AVERAGE(AD14,AH14)</f>
        <v>84221.799999999988</v>
      </c>
      <c r="FH14" s="473">
        <f>STDEV(AD14,AH14)</f>
        <v>3928.9681189849389</v>
      </c>
      <c r="FI14" s="476">
        <f t="shared" si="7"/>
        <v>4.665025111057873E-2</v>
      </c>
      <c r="FJ14" s="475">
        <f t="shared" si="6"/>
        <v>84222</v>
      </c>
      <c r="FK14" s="469">
        <f t="shared" si="0"/>
        <v>84222</v>
      </c>
      <c r="FL14" s="467" t="s">
        <v>621</v>
      </c>
      <c r="FM14" s="470"/>
    </row>
    <row r="15" spans="1:169" s="457" customFormat="1" ht="32.5" customHeight="1" x14ac:dyDescent="0.35">
      <c r="A15" s="458">
        <v>11</v>
      </c>
      <c r="B15" s="459" t="s">
        <v>641</v>
      </c>
      <c r="C15" s="460" t="s">
        <v>642</v>
      </c>
      <c r="D15" s="461" t="s">
        <v>620</v>
      </c>
      <c r="E15" s="462">
        <v>1</v>
      </c>
      <c r="F15" s="463"/>
      <c r="G15" s="463"/>
      <c r="H15" s="463"/>
      <c r="I15" s="463"/>
      <c r="J15" s="463"/>
      <c r="K15" s="463"/>
      <c r="L15" s="464"/>
      <c r="M15" s="464"/>
      <c r="N15" s="464"/>
      <c r="O15" s="464"/>
      <c r="P15" s="464"/>
      <c r="Q15" s="464"/>
      <c r="R15" s="464"/>
      <c r="S15" s="464"/>
      <c r="T15" s="464"/>
      <c r="U15" s="464"/>
      <c r="V15" s="464"/>
      <c r="W15" s="464"/>
      <c r="X15" s="464"/>
      <c r="Y15" s="464"/>
      <c r="Z15" s="464"/>
      <c r="AA15" s="464"/>
      <c r="AB15" s="464"/>
      <c r="AC15" s="464"/>
      <c r="AD15" s="463">
        <v>26679.8</v>
      </c>
      <c r="AE15" s="464">
        <f t="shared" si="4"/>
        <v>26679.8</v>
      </c>
      <c r="AF15" s="464"/>
      <c r="AG15" s="464"/>
      <c r="AH15" s="464">
        <v>29000</v>
      </c>
      <c r="AI15" s="464">
        <f t="shared" si="5"/>
        <v>29000</v>
      </c>
      <c r="AJ15" s="464"/>
      <c r="AK15" s="464"/>
      <c r="AL15" s="464"/>
      <c r="AM15" s="464"/>
      <c r="AN15" s="464"/>
      <c r="AO15" s="464"/>
      <c r="AP15" s="464"/>
      <c r="AQ15" s="464"/>
      <c r="AR15" s="464"/>
      <c r="AS15" s="464"/>
      <c r="AT15" s="464"/>
      <c r="AU15" s="464"/>
      <c r="AV15" s="464"/>
      <c r="AW15" s="464"/>
      <c r="AX15" s="464"/>
      <c r="AY15" s="464"/>
      <c r="AZ15" s="464"/>
      <c r="BA15" s="464"/>
      <c r="BB15" s="464"/>
      <c r="BC15" s="464"/>
      <c r="BD15" s="464"/>
      <c r="BE15" s="464"/>
      <c r="BF15" s="464"/>
      <c r="BG15" s="464"/>
      <c r="BH15" s="464"/>
      <c r="BI15" s="464"/>
      <c r="BJ15" s="464"/>
      <c r="BK15" s="464"/>
      <c r="BL15" s="464"/>
      <c r="BM15" s="464"/>
      <c r="BN15" s="464"/>
      <c r="BO15" s="464"/>
      <c r="BP15" s="464"/>
      <c r="BQ15" s="464"/>
      <c r="BR15" s="464"/>
      <c r="BS15" s="464"/>
      <c r="BT15" s="464"/>
      <c r="BU15" s="464"/>
      <c r="BV15" s="464"/>
      <c r="BW15" s="464"/>
      <c r="BX15" s="464"/>
      <c r="BY15" s="464"/>
      <c r="BZ15" s="464"/>
      <c r="CA15" s="464"/>
      <c r="CB15" s="464"/>
      <c r="CC15" s="464"/>
      <c r="CD15" s="464"/>
      <c r="CE15" s="464"/>
      <c r="CF15" s="464"/>
      <c r="CG15" s="464"/>
      <c r="CH15" s="464"/>
      <c r="CI15" s="464"/>
      <c r="CJ15" s="464"/>
      <c r="CK15" s="464"/>
      <c r="CL15" s="464"/>
      <c r="CM15" s="464"/>
      <c r="CN15" s="464"/>
      <c r="CO15" s="464"/>
      <c r="CP15" s="464"/>
      <c r="CQ15" s="464"/>
      <c r="CR15" s="464"/>
      <c r="CS15" s="464"/>
      <c r="CT15" s="464"/>
      <c r="CU15" s="464"/>
      <c r="CV15" s="464"/>
      <c r="CW15" s="464"/>
      <c r="CX15" s="464"/>
      <c r="CY15" s="464"/>
      <c r="CZ15" s="464"/>
      <c r="DA15" s="464"/>
      <c r="DB15" s="464"/>
      <c r="DC15" s="464"/>
      <c r="DD15" s="464"/>
      <c r="DE15" s="464"/>
      <c r="DF15" s="464"/>
      <c r="DG15" s="464"/>
      <c r="DH15" s="464"/>
      <c r="DI15" s="464"/>
      <c r="DJ15" s="464"/>
      <c r="DK15" s="464"/>
      <c r="DL15" s="464"/>
      <c r="DM15" s="464"/>
      <c r="DN15" s="464"/>
      <c r="DO15" s="464"/>
      <c r="DP15" s="464"/>
      <c r="DQ15" s="464"/>
      <c r="DR15" s="464"/>
      <c r="DS15" s="464"/>
      <c r="DT15" s="464"/>
      <c r="DU15" s="464"/>
      <c r="DV15" s="464"/>
      <c r="DW15" s="464"/>
      <c r="DX15" s="464"/>
      <c r="DY15" s="464"/>
      <c r="DZ15" s="464"/>
      <c r="EA15" s="464"/>
      <c r="EB15" s="464"/>
      <c r="EC15" s="464"/>
      <c r="ED15" s="464"/>
      <c r="EE15" s="464"/>
      <c r="EF15" s="464"/>
      <c r="EG15" s="464"/>
      <c r="EH15" s="464"/>
      <c r="EI15" s="464"/>
      <c r="EJ15" s="464"/>
      <c r="EK15" s="464"/>
      <c r="EL15" s="464"/>
      <c r="EM15" s="464"/>
      <c r="EN15" s="464"/>
      <c r="EO15" s="464"/>
      <c r="EP15" s="464"/>
      <c r="EQ15" s="464"/>
      <c r="ER15" s="464"/>
      <c r="ES15" s="464"/>
      <c r="ET15" s="464"/>
      <c r="EU15" s="464"/>
      <c r="EV15" s="464"/>
      <c r="EW15" s="464"/>
      <c r="EX15" s="464"/>
      <c r="EY15" s="464"/>
      <c r="EZ15" s="464"/>
      <c r="FA15" s="464"/>
      <c r="FB15" s="464"/>
      <c r="FC15" s="464"/>
      <c r="FD15" s="464"/>
      <c r="FE15" s="464"/>
      <c r="FF15" s="472">
        <f>MEDIAN(AD15,AH15)</f>
        <v>27839.9</v>
      </c>
      <c r="FG15" s="472">
        <f>AVERAGE(AD15,AH15)</f>
        <v>27839.9</v>
      </c>
      <c r="FH15" s="473">
        <f>STDEV(AD15,AH15)</f>
        <v>1640.6291537090281</v>
      </c>
      <c r="FI15" s="476">
        <f t="shared" si="7"/>
        <v>5.8930856565901024E-2</v>
      </c>
      <c r="FJ15" s="475">
        <f t="shared" si="6"/>
        <v>27840</v>
      </c>
      <c r="FK15" s="469">
        <f t="shared" si="0"/>
        <v>27840</v>
      </c>
      <c r="FL15" s="467" t="s">
        <v>621</v>
      </c>
      <c r="FM15" s="470"/>
    </row>
    <row r="16" spans="1:169" s="457" customFormat="1" ht="32.5" customHeight="1" x14ac:dyDescent="0.35">
      <c r="A16" s="458">
        <v>12</v>
      </c>
      <c r="B16" s="459" t="s">
        <v>643</v>
      </c>
      <c r="C16" s="460" t="s">
        <v>644</v>
      </c>
      <c r="D16" s="461" t="s">
        <v>620</v>
      </c>
      <c r="E16" s="462">
        <v>1</v>
      </c>
      <c r="F16" s="463"/>
      <c r="G16" s="463"/>
      <c r="H16" s="463"/>
      <c r="I16" s="463"/>
      <c r="J16" s="463"/>
      <c r="K16" s="463"/>
      <c r="L16" s="464"/>
      <c r="M16" s="464"/>
      <c r="N16" s="464"/>
      <c r="O16" s="464"/>
      <c r="P16" s="464"/>
      <c r="Q16" s="464"/>
      <c r="R16" s="464"/>
      <c r="S16" s="464"/>
      <c r="T16" s="464"/>
      <c r="U16" s="464"/>
      <c r="V16" s="464"/>
      <c r="W16" s="464"/>
      <c r="X16" s="464"/>
      <c r="Y16" s="464"/>
      <c r="Z16" s="464"/>
      <c r="AA16" s="464"/>
      <c r="AB16" s="464"/>
      <c r="AC16" s="464"/>
      <c r="AD16" s="463">
        <v>68805.8</v>
      </c>
      <c r="AE16" s="464">
        <f t="shared" si="4"/>
        <v>68805.8</v>
      </c>
      <c r="AF16" s="464"/>
      <c r="AG16" s="464"/>
      <c r="AH16" s="464">
        <v>74000</v>
      </c>
      <c r="AI16" s="464">
        <f t="shared" si="5"/>
        <v>74000</v>
      </c>
      <c r="AJ16" s="464"/>
      <c r="AK16" s="464"/>
      <c r="AL16" s="464"/>
      <c r="AM16" s="464"/>
      <c r="AN16" s="464"/>
      <c r="AO16" s="464"/>
      <c r="AP16" s="464"/>
      <c r="AQ16" s="464"/>
      <c r="AR16" s="464"/>
      <c r="AS16" s="464"/>
      <c r="AT16" s="464"/>
      <c r="AU16" s="464"/>
      <c r="AV16" s="464">
        <v>37450</v>
      </c>
      <c r="AW16" s="464">
        <f>+AV16*E16</f>
        <v>37450</v>
      </c>
      <c r="AX16" s="464"/>
      <c r="AY16" s="464"/>
      <c r="AZ16" s="464"/>
      <c r="BA16" s="464"/>
      <c r="BB16" s="464"/>
      <c r="BC16" s="464"/>
      <c r="BD16" s="464"/>
      <c r="BE16" s="464"/>
      <c r="BF16" s="464"/>
      <c r="BG16" s="464"/>
      <c r="BH16" s="464"/>
      <c r="BI16" s="464"/>
      <c r="BJ16" s="464"/>
      <c r="BK16" s="464"/>
      <c r="BL16" s="464"/>
      <c r="BM16" s="464"/>
      <c r="BN16" s="464"/>
      <c r="BO16" s="464"/>
      <c r="BP16" s="464"/>
      <c r="BQ16" s="464"/>
      <c r="BR16" s="464"/>
      <c r="BS16" s="464"/>
      <c r="BT16" s="464"/>
      <c r="BU16" s="464"/>
      <c r="BV16" s="464"/>
      <c r="BW16" s="464"/>
      <c r="BX16" s="464"/>
      <c r="BY16" s="464"/>
      <c r="BZ16" s="464"/>
      <c r="CA16" s="464"/>
      <c r="CB16" s="464"/>
      <c r="CC16" s="464"/>
      <c r="CD16" s="464"/>
      <c r="CE16" s="464"/>
      <c r="CF16" s="464"/>
      <c r="CG16" s="464"/>
      <c r="CH16" s="464"/>
      <c r="CI16" s="464"/>
      <c r="CJ16" s="464"/>
      <c r="CK16" s="464"/>
      <c r="CL16" s="464"/>
      <c r="CM16" s="464"/>
      <c r="CN16" s="464"/>
      <c r="CO16" s="464"/>
      <c r="CP16" s="464"/>
      <c r="CQ16" s="464"/>
      <c r="CR16" s="464"/>
      <c r="CS16" s="464"/>
      <c r="CT16" s="464"/>
      <c r="CU16" s="464"/>
      <c r="CV16" s="464"/>
      <c r="CW16" s="464"/>
      <c r="CX16" s="464"/>
      <c r="CY16" s="464"/>
      <c r="CZ16" s="464"/>
      <c r="DA16" s="464"/>
      <c r="DB16" s="464"/>
      <c r="DC16" s="464"/>
      <c r="DD16" s="464"/>
      <c r="DE16" s="464"/>
      <c r="DF16" s="464"/>
      <c r="DG16" s="464"/>
      <c r="DH16" s="464"/>
      <c r="DI16" s="464"/>
      <c r="DJ16" s="464"/>
      <c r="DK16" s="464"/>
      <c r="DL16" s="464"/>
      <c r="DM16" s="464"/>
      <c r="DN16" s="464"/>
      <c r="DO16" s="464"/>
      <c r="DP16" s="464"/>
      <c r="DQ16" s="464"/>
      <c r="DR16" s="464"/>
      <c r="DS16" s="464"/>
      <c r="DT16" s="464"/>
      <c r="DU16" s="464"/>
      <c r="DV16" s="464"/>
      <c r="DW16" s="464"/>
      <c r="DX16" s="464"/>
      <c r="DY16" s="464"/>
      <c r="DZ16" s="464"/>
      <c r="EA16" s="464"/>
      <c r="EB16" s="464"/>
      <c r="EC16" s="464"/>
      <c r="ED16" s="464"/>
      <c r="EE16" s="464"/>
      <c r="EF16" s="464"/>
      <c r="EG16" s="464"/>
      <c r="EH16" s="464"/>
      <c r="EI16" s="464"/>
      <c r="EJ16" s="464"/>
      <c r="EK16" s="464"/>
      <c r="EL16" s="464"/>
      <c r="EM16" s="464"/>
      <c r="EN16" s="464"/>
      <c r="EO16" s="464"/>
      <c r="EP16" s="464"/>
      <c r="EQ16" s="464"/>
      <c r="ER16" s="464"/>
      <c r="ES16" s="464"/>
      <c r="ET16" s="464"/>
      <c r="EU16" s="464"/>
      <c r="EV16" s="464"/>
      <c r="EW16" s="464"/>
      <c r="EX16" s="464"/>
      <c r="EY16" s="464"/>
      <c r="EZ16" s="464"/>
      <c r="FA16" s="464"/>
      <c r="FB16" s="464"/>
      <c r="FC16" s="464"/>
      <c r="FD16" s="464"/>
      <c r="FE16" s="464"/>
      <c r="FF16" s="472">
        <f t="shared" ref="FF16" si="8">MEDIAN(AD16,AH16)</f>
        <v>71402.899999999994</v>
      </c>
      <c r="FG16" s="472">
        <f>AVERAGE(AD16,AH16)</f>
        <v>71402.899999999994</v>
      </c>
      <c r="FH16" s="473">
        <f>STDEV(AD16,AH16)</f>
        <v>3672.854042839163</v>
      </c>
      <c r="FI16" s="476">
        <f t="shared" si="7"/>
        <v>5.1438443576369633E-2</v>
      </c>
      <c r="FJ16" s="475">
        <f t="shared" si="6"/>
        <v>71403</v>
      </c>
      <c r="FK16" s="469">
        <f t="shared" si="0"/>
        <v>71403</v>
      </c>
      <c r="FL16" s="467" t="s">
        <v>621</v>
      </c>
      <c r="FM16" s="470"/>
    </row>
    <row r="17" spans="1:170" s="457" customFormat="1" ht="48" customHeight="1" x14ac:dyDescent="0.35">
      <c r="A17" s="458">
        <v>13</v>
      </c>
      <c r="B17" s="459" t="s">
        <v>645</v>
      </c>
      <c r="C17" s="460" t="s">
        <v>646</v>
      </c>
      <c r="D17" s="461" t="s">
        <v>620</v>
      </c>
      <c r="E17" s="462">
        <v>1</v>
      </c>
      <c r="F17" s="463"/>
      <c r="G17" s="463"/>
      <c r="H17" s="463"/>
      <c r="I17" s="463"/>
      <c r="J17" s="463"/>
      <c r="K17" s="463"/>
      <c r="L17" s="464"/>
      <c r="M17" s="464"/>
      <c r="N17" s="464"/>
      <c r="O17" s="464"/>
      <c r="P17" s="464"/>
      <c r="Q17" s="464"/>
      <c r="R17" s="464"/>
      <c r="S17" s="464"/>
      <c r="T17" s="464"/>
      <c r="U17" s="464"/>
      <c r="V17" s="464"/>
      <c r="W17" s="464"/>
      <c r="X17" s="464"/>
      <c r="Y17" s="464"/>
      <c r="Z17" s="464"/>
      <c r="AA17" s="464"/>
      <c r="AB17" s="464"/>
      <c r="AC17" s="464"/>
      <c r="AD17" s="463">
        <v>82847.8</v>
      </c>
      <c r="AE17" s="464">
        <f t="shared" si="4"/>
        <v>82847.8</v>
      </c>
      <c r="AF17" s="464"/>
      <c r="AG17" s="464"/>
      <c r="AH17" s="464">
        <v>58000</v>
      </c>
      <c r="AI17" s="464">
        <f t="shared" si="5"/>
        <v>58000</v>
      </c>
      <c r="AJ17" s="464"/>
      <c r="AK17" s="464"/>
      <c r="AL17" s="464"/>
      <c r="AM17" s="464"/>
      <c r="AN17" s="464"/>
      <c r="AO17" s="464"/>
      <c r="AP17" s="464"/>
      <c r="AQ17" s="464"/>
      <c r="AR17" s="464"/>
      <c r="AS17" s="464"/>
      <c r="AT17" s="464"/>
      <c r="AU17" s="464"/>
      <c r="AV17" s="464">
        <v>74340</v>
      </c>
      <c r="AW17" s="464">
        <f>+AV17*E17</f>
        <v>74340</v>
      </c>
      <c r="AX17" s="464"/>
      <c r="AY17" s="464"/>
      <c r="AZ17" s="464"/>
      <c r="BA17" s="464"/>
      <c r="BB17" s="464"/>
      <c r="BC17" s="464"/>
      <c r="BD17" s="464"/>
      <c r="BE17" s="464"/>
      <c r="BF17" s="464"/>
      <c r="BG17" s="464"/>
      <c r="BH17" s="464"/>
      <c r="BI17" s="464"/>
      <c r="BJ17" s="464"/>
      <c r="BK17" s="464"/>
      <c r="BL17" s="464"/>
      <c r="BM17" s="464"/>
      <c r="BN17" s="464"/>
      <c r="BO17" s="464"/>
      <c r="BP17" s="464"/>
      <c r="BQ17" s="464"/>
      <c r="BR17" s="464"/>
      <c r="BS17" s="464"/>
      <c r="BT17" s="464"/>
      <c r="BU17" s="464"/>
      <c r="BV17" s="464"/>
      <c r="BW17" s="464"/>
      <c r="BX17" s="464"/>
      <c r="BY17" s="464"/>
      <c r="BZ17" s="464"/>
      <c r="CA17" s="464"/>
      <c r="CB17" s="464"/>
      <c r="CC17" s="464"/>
      <c r="CD17" s="464"/>
      <c r="CE17" s="464"/>
      <c r="CF17" s="464"/>
      <c r="CG17" s="464"/>
      <c r="CH17" s="464"/>
      <c r="CI17" s="464"/>
      <c r="CJ17" s="464"/>
      <c r="CK17" s="464"/>
      <c r="CL17" s="464"/>
      <c r="CM17" s="464"/>
      <c r="CN17" s="464"/>
      <c r="CO17" s="464"/>
      <c r="CP17" s="464"/>
      <c r="CQ17" s="464"/>
      <c r="CR17" s="464"/>
      <c r="CS17" s="464"/>
      <c r="CT17" s="464"/>
      <c r="CU17" s="464"/>
      <c r="CV17" s="464"/>
      <c r="CW17" s="464"/>
      <c r="CX17" s="464"/>
      <c r="CY17" s="464"/>
      <c r="CZ17" s="464"/>
      <c r="DA17" s="464"/>
      <c r="DB17" s="464"/>
      <c r="DC17" s="464"/>
      <c r="DD17" s="464"/>
      <c r="DE17" s="464"/>
      <c r="DF17" s="464"/>
      <c r="DG17" s="464"/>
      <c r="DH17" s="464"/>
      <c r="DI17" s="464"/>
      <c r="DJ17" s="464"/>
      <c r="DK17" s="464"/>
      <c r="DL17" s="464"/>
      <c r="DM17" s="464"/>
      <c r="DN17" s="464"/>
      <c r="DO17" s="464"/>
      <c r="DP17" s="464"/>
      <c r="DQ17" s="464"/>
      <c r="DR17" s="464"/>
      <c r="DS17" s="464"/>
      <c r="DT17" s="464"/>
      <c r="DU17" s="464"/>
      <c r="DV17" s="464"/>
      <c r="DW17" s="464"/>
      <c r="DX17" s="464"/>
      <c r="DY17" s="464"/>
      <c r="DZ17" s="464"/>
      <c r="EA17" s="464"/>
      <c r="EB17" s="464"/>
      <c r="EC17" s="464"/>
      <c r="ED17" s="464"/>
      <c r="EE17" s="464"/>
      <c r="EF17" s="464"/>
      <c r="EG17" s="464"/>
      <c r="EH17" s="464"/>
      <c r="EI17" s="464"/>
      <c r="EJ17" s="464"/>
      <c r="EK17" s="464"/>
      <c r="EL17" s="464"/>
      <c r="EM17" s="464"/>
      <c r="EN17" s="464"/>
      <c r="EO17" s="464"/>
      <c r="EP17" s="464"/>
      <c r="EQ17" s="464"/>
      <c r="ER17" s="464"/>
      <c r="ES17" s="464"/>
      <c r="ET17" s="464"/>
      <c r="EU17" s="464"/>
      <c r="EV17" s="464"/>
      <c r="EW17" s="464"/>
      <c r="EX17" s="464"/>
      <c r="EY17" s="464"/>
      <c r="EZ17" s="464"/>
      <c r="FA17" s="464"/>
      <c r="FB17" s="464"/>
      <c r="FC17" s="464"/>
      <c r="FD17" s="464"/>
      <c r="FE17" s="464"/>
      <c r="FF17" s="472">
        <f>MEDIAN(AD17,AV17)</f>
        <v>78593.899999999994</v>
      </c>
      <c r="FG17" s="472">
        <f>AVERAGE(AD17,AV17)</f>
        <v>78593.899999999994</v>
      </c>
      <c r="FH17" s="473">
        <f>STDEV(AD17,AV17)</f>
        <v>6015.9230729789115</v>
      </c>
      <c r="FI17" s="476">
        <f t="shared" si="7"/>
        <v>7.6544401957135508E-2</v>
      </c>
      <c r="FJ17" s="475">
        <f t="shared" si="6"/>
        <v>78594</v>
      </c>
      <c r="FK17" s="469">
        <f t="shared" si="0"/>
        <v>78594</v>
      </c>
      <c r="FL17" s="467" t="s">
        <v>621</v>
      </c>
      <c r="FM17" s="470"/>
    </row>
    <row r="18" spans="1:170" s="483" customFormat="1" ht="96" customHeight="1" x14ac:dyDescent="0.35">
      <c r="A18" s="458">
        <v>14</v>
      </c>
      <c r="B18" s="477" t="s">
        <v>647</v>
      </c>
      <c r="C18" s="478" t="s">
        <v>648</v>
      </c>
      <c r="D18" s="479" t="s">
        <v>649</v>
      </c>
      <c r="E18" s="462">
        <v>1</v>
      </c>
      <c r="F18" s="480"/>
      <c r="G18" s="480"/>
      <c r="H18" s="480"/>
      <c r="I18" s="480"/>
      <c r="J18" s="480"/>
      <c r="K18" s="480"/>
      <c r="L18" s="481">
        <v>7500</v>
      </c>
      <c r="M18" s="481">
        <f>+L18*E18</f>
        <v>7500</v>
      </c>
      <c r="N18" s="481"/>
      <c r="O18" s="481"/>
      <c r="P18" s="481"/>
      <c r="Q18" s="481"/>
      <c r="R18" s="481"/>
      <c r="S18" s="481"/>
      <c r="T18" s="481"/>
      <c r="U18" s="481"/>
      <c r="V18" s="481"/>
      <c r="W18" s="464"/>
      <c r="X18" s="481"/>
      <c r="Y18" s="464"/>
      <c r="Z18" s="464"/>
      <c r="AA18" s="464"/>
      <c r="AB18" s="464"/>
      <c r="AC18" s="464"/>
      <c r="AD18" s="482">
        <v>11472.314</v>
      </c>
      <c r="AE18" s="464">
        <f t="shared" si="4"/>
        <v>11472.314</v>
      </c>
      <c r="AF18" s="464"/>
      <c r="AG18" s="464"/>
      <c r="AH18" s="464"/>
      <c r="AI18" s="464"/>
      <c r="AJ18" s="464"/>
      <c r="AK18" s="464"/>
      <c r="AL18" s="464"/>
      <c r="AM18" s="464"/>
      <c r="AN18" s="464"/>
      <c r="AO18" s="464"/>
      <c r="AP18" s="464"/>
      <c r="AQ18" s="464"/>
      <c r="AR18" s="464"/>
      <c r="AS18" s="464"/>
      <c r="AT18" s="464"/>
      <c r="AU18" s="464"/>
      <c r="AV18" s="464"/>
      <c r="AW18" s="464"/>
      <c r="AX18" s="464"/>
      <c r="AY18" s="464"/>
      <c r="AZ18" s="464"/>
      <c r="BA18" s="464"/>
      <c r="BB18" s="464"/>
      <c r="BC18" s="464"/>
      <c r="BD18" s="464"/>
      <c r="BE18" s="464"/>
      <c r="BF18" s="464"/>
      <c r="BG18" s="464"/>
      <c r="BH18" s="464"/>
      <c r="BI18" s="464"/>
      <c r="BJ18" s="464"/>
      <c r="BK18" s="464"/>
      <c r="BL18" s="464"/>
      <c r="BM18" s="464"/>
      <c r="BN18" s="464"/>
      <c r="BO18" s="464"/>
      <c r="BP18" s="464"/>
      <c r="BQ18" s="464"/>
      <c r="BR18" s="464"/>
      <c r="BS18" s="464"/>
      <c r="BT18" s="464"/>
      <c r="BU18" s="464"/>
      <c r="BV18" s="464"/>
      <c r="BW18" s="464"/>
      <c r="BX18" s="464"/>
      <c r="BY18" s="464"/>
      <c r="BZ18" s="464"/>
      <c r="CA18" s="464"/>
      <c r="CB18" s="464"/>
      <c r="CC18" s="464"/>
      <c r="CD18" s="464"/>
      <c r="CE18" s="464"/>
      <c r="CF18" s="464"/>
      <c r="CG18" s="464"/>
      <c r="CH18" s="464"/>
      <c r="CI18" s="464"/>
      <c r="CJ18" s="464"/>
      <c r="CK18" s="464"/>
      <c r="CL18" s="464"/>
      <c r="CM18" s="464"/>
      <c r="CN18" s="464"/>
      <c r="CO18" s="464"/>
      <c r="CP18" s="464"/>
      <c r="CQ18" s="464"/>
      <c r="CR18" s="464"/>
      <c r="CS18" s="464"/>
      <c r="CT18" s="464">
        <v>11500</v>
      </c>
      <c r="CU18" s="464">
        <f>+CT18*E18</f>
        <v>11500</v>
      </c>
      <c r="CV18" s="464"/>
      <c r="CW18" s="464"/>
      <c r="CX18" s="464">
        <v>12400</v>
      </c>
      <c r="CY18" s="464">
        <f>+CX18*E18</f>
        <v>12400</v>
      </c>
      <c r="CZ18" s="464"/>
      <c r="DA18" s="464"/>
      <c r="DB18" s="464"/>
      <c r="DC18" s="464"/>
      <c r="DD18" s="464"/>
      <c r="DE18" s="464"/>
      <c r="DF18" s="464"/>
      <c r="DG18" s="464"/>
      <c r="DH18" s="464"/>
      <c r="DI18" s="464"/>
      <c r="DJ18" s="464"/>
      <c r="DK18" s="464"/>
      <c r="DL18" s="464"/>
      <c r="DM18" s="464"/>
      <c r="DN18" s="464"/>
      <c r="DO18" s="464"/>
      <c r="DP18" s="464"/>
      <c r="DQ18" s="464"/>
      <c r="DR18" s="464"/>
      <c r="DS18" s="464"/>
      <c r="DT18" s="464"/>
      <c r="DU18" s="464"/>
      <c r="DV18" s="464"/>
      <c r="DW18" s="464"/>
      <c r="DX18" s="464"/>
      <c r="DY18" s="464"/>
      <c r="DZ18" s="464"/>
      <c r="EA18" s="464"/>
      <c r="EB18" s="464"/>
      <c r="EC18" s="464"/>
      <c r="ED18" s="464"/>
      <c r="EE18" s="464"/>
      <c r="EF18" s="464"/>
      <c r="EG18" s="464"/>
      <c r="EH18" s="464"/>
      <c r="EI18" s="464"/>
      <c r="EJ18" s="464"/>
      <c r="EK18" s="464"/>
      <c r="EL18" s="464"/>
      <c r="EM18" s="464"/>
      <c r="EN18" s="464"/>
      <c r="EO18" s="464"/>
      <c r="EP18" s="464"/>
      <c r="EQ18" s="464"/>
      <c r="ER18" s="464"/>
      <c r="ES18" s="464"/>
      <c r="ET18" s="464"/>
      <c r="EU18" s="464"/>
      <c r="EV18" s="464"/>
      <c r="EW18" s="464"/>
      <c r="EX18" s="464"/>
      <c r="EY18" s="464"/>
      <c r="EZ18" s="464"/>
      <c r="FA18" s="464"/>
      <c r="FB18" s="464"/>
      <c r="FC18" s="464"/>
      <c r="FD18" s="464"/>
      <c r="FE18" s="464"/>
      <c r="FF18" s="472">
        <f>MEDIAN(CT18,CX18)</f>
        <v>11950</v>
      </c>
      <c r="FG18" s="472">
        <f>AVERAGE(CT18,CX18)</f>
        <v>11950</v>
      </c>
      <c r="FH18" s="473">
        <f>STDEV(CT18,CX18)</f>
        <v>636.3961030678928</v>
      </c>
      <c r="FI18" s="476">
        <f t="shared" si="7"/>
        <v>5.3254904022417809E-2</v>
      </c>
      <c r="FJ18" s="475">
        <f t="shared" si="6"/>
        <v>11950</v>
      </c>
      <c r="FK18" s="469">
        <f t="shared" si="0"/>
        <v>11950</v>
      </c>
      <c r="FL18" s="467" t="s">
        <v>621</v>
      </c>
      <c r="FM18" s="470"/>
      <c r="FN18" s="483">
        <v>5</v>
      </c>
    </row>
    <row r="19" spans="1:170" s="457" customFormat="1" ht="32.5" customHeight="1" x14ac:dyDescent="0.35">
      <c r="A19" s="458">
        <v>15</v>
      </c>
      <c r="B19" s="459" t="s">
        <v>650</v>
      </c>
      <c r="C19" s="460" t="s">
        <v>651</v>
      </c>
      <c r="D19" s="461" t="s">
        <v>649</v>
      </c>
      <c r="E19" s="462">
        <v>1</v>
      </c>
      <c r="F19" s="463"/>
      <c r="G19" s="463"/>
      <c r="H19" s="463"/>
      <c r="I19" s="463"/>
      <c r="J19" s="463"/>
      <c r="K19" s="463"/>
      <c r="L19" s="464">
        <v>18000</v>
      </c>
      <c r="M19" s="464">
        <f>+L19*E19</f>
        <v>18000</v>
      </c>
      <c r="N19" s="464"/>
      <c r="O19" s="464"/>
      <c r="P19" s="464"/>
      <c r="Q19" s="464"/>
      <c r="R19" s="464"/>
      <c r="S19" s="464"/>
      <c r="T19" s="464"/>
      <c r="U19" s="464"/>
      <c r="V19" s="464"/>
      <c r="W19" s="464"/>
      <c r="X19" s="464"/>
      <c r="Y19" s="464"/>
      <c r="Z19" s="464"/>
      <c r="AA19" s="464"/>
      <c r="AB19" s="464"/>
      <c r="AC19" s="464"/>
      <c r="AD19" s="463">
        <v>16850.399999999998</v>
      </c>
      <c r="AE19" s="464">
        <f t="shared" si="4"/>
        <v>16850.399999999998</v>
      </c>
      <c r="AF19" s="464"/>
      <c r="AG19" s="464"/>
      <c r="AH19" s="464"/>
      <c r="AI19" s="464"/>
      <c r="AJ19" s="464"/>
      <c r="AK19" s="464"/>
      <c r="AL19" s="464"/>
      <c r="AM19" s="464"/>
      <c r="AN19" s="464"/>
      <c r="AO19" s="464"/>
      <c r="AP19" s="464"/>
      <c r="AQ19" s="464"/>
      <c r="AR19" s="464"/>
      <c r="AS19" s="464"/>
      <c r="AT19" s="464"/>
      <c r="AU19" s="464"/>
      <c r="AV19" s="464"/>
      <c r="AW19" s="464"/>
      <c r="AX19" s="464"/>
      <c r="AY19" s="464"/>
      <c r="AZ19" s="464"/>
      <c r="BA19" s="464"/>
      <c r="BB19" s="464"/>
      <c r="BC19" s="464"/>
      <c r="BD19" s="464"/>
      <c r="BE19" s="464"/>
      <c r="BF19" s="464"/>
      <c r="BG19" s="464"/>
      <c r="BH19" s="464"/>
      <c r="BI19" s="464"/>
      <c r="BJ19" s="464"/>
      <c r="BK19" s="464"/>
      <c r="BL19" s="464"/>
      <c r="BM19" s="464"/>
      <c r="BN19" s="464"/>
      <c r="BO19" s="464"/>
      <c r="BP19" s="464"/>
      <c r="BQ19" s="464"/>
      <c r="BR19" s="464"/>
      <c r="BS19" s="464"/>
      <c r="BT19" s="464"/>
      <c r="BU19" s="464"/>
      <c r="BV19" s="464"/>
      <c r="BW19" s="464"/>
      <c r="BX19" s="464"/>
      <c r="BY19" s="464"/>
      <c r="BZ19" s="464"/>
      <c r="CA19" s="464"/>
      <c r="CB19" s="464"/>
      <c r="CC19" s="464"/>
      <c r="CD19" s="464"/>
      <c r="CE19" s="464"/>
      <c r="CF19" s="464"/>
      <c r="CG19" s="464"/>
      <c r="CH19" s="464"/>
      <c r="CI19" s="464"/>
      <c r="CJ19" s="464"/>
      <c r="CK19" s="464"/>
      <c r="CL19" s="464"/>
      <c r="CM19" s="464"/>
      <c r="CN19" s="464"/>
      <c r="CO19" s="464"/>
      <c r="CP19" s="464"/>
      <c r="CQ19" s="464"/>
      <c r="CR19" s="464"/>
      <c r="CS19" s="464"/>
      <c r="CT19" s="464"/>
      <c r="CU19" s="464"/>
      <c r="CV19" s="464">
        <v>11000</v>
      </c>
      <c r="CW19" s="464">
        <f>+CV19*E19</f>
        <v>11000</v>
      </c>
      <c r="CX19" s="464">
        <v>10520</v>
      </c>
      <c r="CY19" s="464">
        <f t="shared" ref="CY19" si="9">+CX19*E19</f>
        <v>10520</v>
      </c>
      <c r="CZ19" s="464"/>
      <c r="DA19" s="464"/>
      <c r="DB19" s="464"/>
      <c r="DC19" s="464"/>
      <c r="DD19" s="464"/>
      <c r="DE19" s="464"/>
      <c r="DF19" s="464"/>
      <c r="DG19" s="464"/>
      <c r="DH19" s="464"/>
      <c r="DI19" s="464"/>
      <c r="DJ19" s="464"/>
      <c r="DK19" s="464"/>
      <c r="DL19" s="464"/>
      <c r="DM19" s="464"/>
      <c r="DN19" s="464"/>
      <c r="DO19" s="464"/>
      <c r="DP19" s="464"/>
      <c r="DQ19" s="464"/>
      <c r="DR19" s="464"/>
      <c r="DS19" s="464"/>
      <c r="DT19" s="464"/>
      <c r="DU19" s="464"/>
      <c r="DV19" s="464"/>
      <c r="DW19" s="464"/>
      <c r="DX19" s="464"/>
      <c r="DY19" s="464"/>
      <c r="DZ19" s="464"/>
      <c r="EA19" s="464"/>
      <c r="EB19" s="464"/>
      <c r="EC19" s="464"/>
      <c r="ED19" s="464"/>
      <c r="EE19" s="464"/>
      <c r="EF19" s="464"/>
      <c r="EG19" s="464"/>
      <c r="EH19" s="464"/>
      <c r="EI19" s="464"/>
      <c r="EJ19" s="464"/>
      <c r="EK19" s="464"/>
      <c r="EL19" s="464"/>
      <c r="EM19" s="464"/>
      <c r="EN19" s="464"/>
      <c r="EO19" s="464"/>
      <c r="EP19" s="464"/>
      <c r="EQ19" s="464"/>
      <c r="ER19" s="464"/>
      <c r="ES19" s="464"/>
      <c r="ET19" s="464"/>
      <c r="EU19" s="464"/>
      <c r="EV19" s="464"/>
      <c r="EW19" s="464"/>
      <c r="EX19" s="464"/>
      <c r="EY19" s="464"/>
      <c r="EZ19" s="464"/>
      <c r="FA19" s="464"/>
      <c r="FB19" s="464"/>
      <c r="FC19" s="464"/>
      <c r="FD19" s="464"/>
      <c r="FE19" s="464"/>
      <c r="FF19" s="472">
        <f>MEDIAN(L19,AD19)</f>
        <v>17425.199999999997</v>
      </c>
      <c r="FG19" s="472">
        <f>AVERAGE(L19,AD19)</f>
        <v>17425.199999999997</v>
      </c>
      <c r="FH19" s="473">
        <f>STDEV(L19,AD19)</f>
        <v>812.88995565205653</v>
      </c>
      <c r="FI19" s="476">
        <f t="shared" si="7"/>
        <v>4.6650251110578737E-2</v>
      </c>
      <c r="FJ19" s="475">
        <f t="shared" si="6"/>
        <v>17426</v>
      </c>
      <c r="FK19" s="469">
        <f>+FJ19*E19</f>
        <v>17426</v>
      </c>
      <c r="FL19" s="467" t="s">
        <v>621</v>
      </c>
      <c r="FM19" s="470"/>
      <c r="FN19" s="457">
        <v>5</v>
      </c>
    </row>
    <row r="20" spans="1:170" s="457" customFormat="1" ht="32.5" customHeight="1" x14ac:dyDescent="0.35">
      <c r="A20" s="458">
        <v>16</v>
      </c>
      <c r="B20" s="459" t="s">
        <v>652</v>
      </c>
      <c r="C20" s="460" t="s">
        <v>653</v>
      </c>
      <c r="D20" s="461" t="s">
        <v>620</v>
      </c>
      <c r="E20" s="462">
        <v>1</v>
      </c>
      <c r="F20" s="463"/>
      <c r="G20" s="463"/>
      <c r="H20" s="463"/>
      <c r="I20" s="463"/>
      <c r="J20" s="463"/>
      <c r="K20" s="463"/>
      <c r="L20" s="464"/>
      <c r="M20" s="464"/>
      <c r="N20" s="464"/>
      <c r="O20" s="464"/>
      <c r="P20" s="464"/>
      <c r="Q20" s="464"/>
      <c r="R20" s="464"/>
      <c r="S20" s="464"/>
      <c r="T20" s="464"/>
      <c r="U20" s="464"/>
      <c r="V20" s="464"/>
      <c r="W20" s="464"/>
      <c r="X20" s="464"/>
      <c r="Y20" s="464"/>
      <c r="Z20" s="464"/>
      <c r="AA20" s="464"/>
      <c r="AB20" s="464"/>
      <c r="AC20" s="464"/>
      <c r="AD20" s="463">
        <v>1995.3681999999999</v>
      </c>
      <c r="AE20" s="464">
        <f t="shared" si="4"/>
        <v>1995.3681999999999</v>
      </c>
      <c r="AF20" s="464"/>
      <c r="AG20" s="464"/>
      <c r="AH20" s="464"/>
      <c r="AI20" s="464"/>
      <c r="AJ20" s="464"/>
      <c r="AK20" s="464"/>
      <c r="AL20" s="464"/>
      <c r="AM20" s="464"/>
      <c r="AN20" s="464"/>
      <c r="AO20" s="464"/>
      <c r="AP20" s="464"/>
      <c r="AQ20" s="464"/>
      <c r="AR20" s="464"/>
      <c r="AS20" s="464"/>
      <c r="AT20" s="464"/>
      <c r="AU20" s="464"/>
      <c r="AV20" s="464"/>
      <c r="AW20" s="464"/>
      <c r="AX20" s="464"/>
      <c r="AY20" s="464"/>
      <c r="AZ20" s="464"/>
      <c r="BA20" s="464"/>
      <c r="BB20" s="464"/>
      <c r="BC20" s="464"/>
      <c r="BD20" s="464"/>
      <c r="BE20" s="464"/>
      <c r="BF20" s="464"/>
      <c r="BG20" s="464"/>
      <c r="BH20" s="464"/>
      <c r="BI20" s="464"/>
      <c r="BJ20" s="464"/>
      <c r="BK20" s="464"/>
      <c r="BL20" s="464"/>
      <c r="BM20" s="464"/>
      <c r="BN20" s="464"/>
      <c r="BO20" s="464"/>
      <c r="BP20" s="464"/>
      <c r="BQ20" s="464"/>
      <c r="BR20" s="464"/>
      <c r="BS20" s="464"/>
      <c r="BT20" s="464"/>
      <c r="BU20" s="464"/>
      <c r="BV20" s="464"/>
      <c r="BW20" s="464"/>
      <c r="BX20" s="464"/>
      <c r="BY20" s="464"/>
      <c r="BZ20" s="464"/>
      <c r="CA20" s="464"/>
      <c r="CB20" s="464"/>
      <c r="CC20" s="464"/>
      <c r="CD20" s="464"/>
      <c r="CE20" s="464"/>
      <c r="CF20" s="464"/>
      <c r="CG20" s="464"/>
      <c r="CH20" s="464"/>
      <c r="CI20" s="464"/>
      <c r="CJ20" s="464"/>
      <c r="CK20" s="464"/>
      <c r="CL20" s="464"/>
      <c r="CM20" s="464"/>
      <c r="CN20" s="464"/>
      <c r="CO20" s="464"/>
      <c r="CP20" s="464"/>
      <c r="CQ20" s="464"/>
      <c r="CR20" s="464">
        <v>3767</v>
      </c>
      <c r="CS20" s="464">
        <f>+CR20*E20</f>
        <v>3767</v>
      </c>
      <c r="CT20" s="464">
        <f>+(3000*26%)+3000</f>
        <v>3780</v>
      </c>
      <c r="CU20" s="464">
        <f t="shared" ref="CU20" si="10">+CT20*E20</f>
        <v>3780</v>
      </c>
      <c r="CV20" s="464"/>
      <c r="CW20" s="464"/>
      <c r="CX20" s="464"/>
      <c r="CY20" s="464"/>
      <c r="CZ20" s="464"/>
      <c r="DA20" s="464"/>
      <c r="DB20" s="464"/>
      <c r="DC20" s="464"/>
      <c r="DD20" s="464"/>
      <c r="DE20" s="464"/>
      <c r="DF20" s="464"/>
      <c r="DG20" s="464"/>
      <c r="DH20" s="464"/>
      <c r="DI20" s="464"/>
      <c r="DJ20" s="464"/>
      <c r="DK20" s="464"/>
      <c r="DL20" s="464"/>
      <c r="DM20" s="464"/>
      <c r="DN20" s="464"/>
      <c r="DO20" s="464"/>
      <c r="DP20" s="464"/>
      <c r="DQ20" s="464"/>
      <c r="DR20" s="464"/>
      <c r="DS20" s="464"/>
      <c r="DT20" s="464"/>
      <c r="DU20" s="464"/>
      <c r="DV20" s="464"/>
      <c r="DW20" s="464"/>
      <c r="DX20" s="464"/>
      <c r="DY20" s="464"/>
      <c r="DZ20" s="464"/>
      <c r="EA20" s="464"/>
      <c r="EB20" s="464"/>
      <c r="EC20" s="464"/>
      <c r="ED20" s="464"/>
      <c r="EE20" s="464"/>
      <c r="EF20" s="464"/>
      <c r="EG20" s="464"/>
      <c r="EH20" s="464"/>
      <c r="EI20" s="464"/>
      <c r="EJ20" s="464"/>
      <c r="EK20" s="464"/>
      <c r="EL20" s="464"/>
      <c r="EM20" s="464"/>
      <c r="EN20" s="464"/>
      <c r="EO20" s="464"/>
      <c r="EP20" s="464"/>
      <c r="EQ20" s="464"/>
      <c r="ER20" s="464"/>
      <c r="ES20" s="464"/>
      <c r="ET20" s="464"/>
      <c r="EU20" s="464"/>
      <c r="EV20" s="464"/>
      <c r="EW20" s="464"/>
      <c r="EX20" s="464"/>
      <c r="EY20" s="464"/>
      <c r="EZ20" s="464"/>
      <c r="FA20" s="464"/>
      <c r="FB20" s="464"/>
      <c r="FC20" s="464"/>
      <c r="FD20" s="464"/>
      <c r="FE20" s="464"/>
      <c r="FF20" s="472">
        <f>MEDIAN(CR20,CT20)</f>
        <v>3773.5</v>
      </c>
      <c r="FG20" s="472">
        <f>AVERAGE(CR20,CT20)</f>
        <v>3773.5</v>
      </c>
      <c r="FH20" s="473">
        <f>STDEV(CR20,CT20)</f>
        <v>9.1923881554251174</v>
      </c>
      <c r="FI20" s="476">
        <f t="shared" si="7"/>
        <v>2.4360376720352771E-3</v>
      </c>
      <c r="FJ20" s="475">
        <f t="shared" si="6"/>
        <v>3774</v>
      </c>
      <c r="FK20" s="469">
        <f>+FJ20*E20</f>
        <v>3774</v>
      </c>
      <c r="FL20" s="467" t="s">
        <v>621</v>
      </c>
      <c r="FM20" s="470"/>
      <c r="FN20" s="457">
        <v>5</v>
      </c>
    </row>
    <row r="21" spans="1:170" s="457" customFormat="1" ht="32.5" customHeight="1" x14ac:dyDescent="0.35">
      <c r="A21" s="458">
        <v>17</v>
      </c>
      <c r="B21" s="459" t="s">
        <v>654</v>
      </c>
      <c r="C21" s="460" t="s">
        <v>655</v>
      </c>
      <c r="D21" s="461" t="s">
        <v>649</v>
      </c>
      <c r="E21" s="462">
        <v>1</v>
      </c>
      <c r="F21" s="463"/>
      <c r="G21" s="463"/>
      <c r="H21" s="463"/>
      <c r="I21" s="463"/>
      <c r="J21" s="463"/>
      <c r="K21" s="463"/>
      <c r="L21" s="464"/>
      <c r="M21" s="464"/>
      <c r="N21" s="464"/>
      <c r="O21" s="464"/>
      <c r="P21" s="464"/>
      <c r="Q21" s="464"/>
      <c r="R21" s="464"/>
      <c r="S21" s="464"/>
      <c r="T21" s="464"/>
      <c r="U21" s="464"/>
      <c r="V21" s="464"/>
      <c r="W21" s="464"/>
      <c r="X21" s="464"/>
      <c r="Y21" s="464"/>
      <c r="Z21" s="464"/>
      <c r="AA21" s="464"/>
      <c r="AB21" s="464"/>
      <c r="AC21" s="464"/>
      <c r="AD21" s="463">
        <v>47181.119999999995</v>
      </c>
      <c r="AE21" s="464">
        <f>+AD21*E21</f>
        <v>47181.119999999995</v>
      </c>
      <c r="AF21" s="464"/>
      <c r="AG21" s="464"/>
      <c r="AH21" s="464"/>
      <c r="AI21" s="464"/>
      <c r="AJ21" s="464"/>
      <c r="AK21" s="464"/>
      <c r="AL21" s="464"/>
      <c r="AM21" s="464"/>
      <c r="AN21" s="464"/>
      <c r="AO21" s="464"/>
      <c r="AP21" s="464"/>
      <c r="AQ21" s="464"/>
      <c r="AR21" s="464"/>
      <c r="AS21" s="464"/>
      <c r="AT21" s="464"/>
      <c r="AU21" s="464"/>
      <c r="AV21" s="464"/>
      <c r="AW21" s="464"/>
      <c r="AX21" s="464"/>
      <c r="AY21" s="464"/>
      <c r="AZ21" s="464"/>
      <c r="BA21" s="464"/>
      <c r="BB21" s="464"/>
      <c r="BC21" s="464"/>
      <c r="BD21" s="464"/>
      <c r="BE21" s="464"/>
      <c r="BF21" s="464"/>
      <c r="BG21" s="464"/>
      <c r="BH21" s="464"/>
      <c r="BI21" s="464"/>
      <c r="BJ21" s="464"/>
      <c r="BK21" s="464"/>
      <c r="BL21" s="464"/>
      <c r="BM21" s="464"/>
      <c r="BN21" s="464"/>
      <c r="BO21" s="464"/>
      <c r="BP21" s="464"/>
      <c r="BQ21" s="464"/>
      <c r="BR21" s="464"/>
      <c r="BS21" s="464"/>
      <c r="BT21" s="464"/>
      <c r="BU21" s="464"/>
      <c r="BV21" s="464"/>
      <c r="BW21" s="464"/>
      <c r="BX21" s="464"/>
      <c r="BY21" s="464"/>
      <c r="BZ21" s="464"/>
      <c r="CA21" s="464"/>
      <c r="CB21" s="464"/>
      <c r="CC21" s="464"/>
      <c r="CD21" s="464"/>
      <c r="CE21" s="464"/>
      <c r="CF21" s="464"/>
      <c r="CG21" s="464"/>
      <c r="CH21" s="464"/>
      <c r="CI21" s="464"/>
      <c r="CJ21" s="464"/>
      <c r="CK21" s="464"/>
      <c r="CL21" s="464"/>
      <c r="CM21" s="464"/>
      <c r="CN21" s="464"/>
      <c r="CO21" s="464"/>
      <c r="CP21" s="464"/>
      <c r="CQ21" s="464"/>
      <c r="CR21" s="464"/>
      <c r="CS21" s="464"/>
      <c r="CT21" s="464"/>
      <c r="CU21" s="464"/>
      <c r="CV21" s="464"/>
      <c r="CW21" s="464"/>
      <c r="CX21" s="464"/>
      <c r="CY21" s="464"/>
      <c r="CZ21" s="464"/>
      <c r="DA21" s="464"/>
      <c r="DB21" s="464"/>
      <c r="DC21" s="464"/>
      <c r="DD21" s="464"/>
      <c r="DE21" s="464"/>
      <c r="DF21" s="464"/>
      <c r="DG21" s="464"/>
      <c r="DH21" s="464">
        <v>52800</v>
      </c>
      <c r="DI21" s="464">
        <f>+DH21*E21</f>
        <v>52800</v>
      </c>
      <c r="DJ21" s="464"/>
      <c r="DK21" s="464"/>
      <c r="DL21" s="464"/>
      <c r="DM21" s="464"/>
      <c r="DN21" s="464"/>
      <c r="DO21" s="464"/>
      <c r="DP21" s="464"/>
      <c r="DQ21" s="464"/>
      <c r="DR21" s="464"/>
      <c r="DS21" s="464"/>
      <c r="DT21" s="464"/>
      <c r="DU21" s="464"/>
      <c r="DV21" s="464"/>
      <c r="DW21" s="464"/>
      <c r="DX21" s="464"/>
      <c r="DY21" s="464"/>
      <c r="DZ21" s="464"/>
      <c r="EA21" s="464"/>
      <c r="EB21" s="464"/>
      <c r="EC21" s="464"/>
      <c r="ED21" s="464"/>
      <c r="EE21" s="464"/>
      <c r="EF21" s="464"/>
      <c r="EG21" s="464"/>
      <c r="EH21" s="464"/>
      <c r="EI21" s="464"/>
      <c r="EJ21" s="464"/>
      <c r="EK21" s="464"/>
      <c r="EL21" s="464"/>
      <c r="EM21" s="464"/>
      <c r="EN21" s="464"/>
      <c r="EO21" s="464"/>
      <c r="EP21" s="464"/>
      <c r="EQ21" s="464"/>
      <c r="ER21" s="464"/>
      <c r="ES21" s="464"/>
      <c r="ET21" s="464"/>
      <c r="EU21" s="464"/>
      <c r="EV21" s="464"/>
      <c r="EW21" s="464"/>
      <c r="EX21" s="464"/>
      <c r="EY21" s="464"/>
      <c r="EZ21" s="464"/>
      <c r="FA21" s="464"/>
      <c r="FB21" s="464"/>
      <c r="FC21" s="464"/>
      <c r="FD21" s="464"/>
      <c r="FE21" s="464"/>
      <c r="FF21" s="472">
        <f>MEDIAN(AD21,DH21)</f>
        <v>49990.559999999998</v>
      </c>
      <c r="FG21" s="472">
        <f>AVERAGE(AD21,DH21)</f>
        <v>49990.559999999998</v>
      </c>
      <c r="FH21" s="473">
        <f>STDEV(AD21,DH21)</f>
        <v>3973.1481506734713</v>
      </c>
      <c r="FI21" s="476">
        <f>FH21/FG21</f>
        <v>7.9477968453913528E-2</v>
      </c>
      <c r="FJ21" s="475">
        <f>ROUNDUP(IF(FI21&lt;15%,FG21,FF21),0)</f>
        <v>49991</v>
      </c>
      <c r="FK21" s="469">
        <f>+FJ21*E21</f>
        <v>49991</v>
      </c>
      <c r="FL21" s="467" t="s">
        <v>621</v>
      </c>
      <c r="FM21" s="470"/>
      <c r="FN21" s="457">
        <v>5</v>
      </c>
    </row>
    <row r="22" spans="1:170" s="457" customFormat="1" ht="32.5" customHeight="1" x14ac:dyDescent="0.35">
      <c r="A22" s="458">
        <v>18</v>
      </c>
      <c r="B22" s="459" t="s">
        <v>656</v>
      </c>
      <c r="C22" s="460" t="s">
        <v>657</v>
      </c>
      <c r="D22" s="461" t="s">
        <v>620</v>
      </c>
      <c r="E22" s="458">
        <v>1</v>
      </c>
      <c r="F22" s="463"/>
      <c r="G22" s="463"/>
      <c r="H22" s="463"/>
      <c r="I22" s="463"/>
      <c r="J22" s="463"/>
      <c r="K22" s="463"/>
      <c r="L22" s="464"/>
      <c r="M22" s="464"/>
      <c r="N22" s="464"/>
      <c r="O22" s="464"/>
      <c r="P22" s="464"/>
      <c r="Q22" s="464"/>
      <c r="R22" s="464"/>
      <c r="S22" s="464"/>
      <c r="T22" s="464"/>
      <c r="U22" s="464"/>
      <c r="V22" s="464"/>
      <c r="W22" s="464"/>
      <c r="X22" s="464"/>
      <c r="Y22" s="464"/>
      <c r="Z22" s="464"/>
      <c r="AA22" s="464"/>
      <c r="AB22" s="464"/>
      <c r="AC22" s="464"/>
      <c r="AD22" s="463">
        <v>18382.3822</v>
      </c>
      <c r="AE22" s="464">
        <f>+AD22*E22</f>
        <v>18382.3822</v>
      </c>
      <c r="AF22" s="464"/>
      <c r="AG22" s="464"/>
      <c r="AH22" s="464"/>
      <c r="AI22" s="464"/>
      <c r="AJ22" s="464"/>
      <c r="AK22" s="464"/>
      <c r="AL22" s="464"/>
      <c r="AM22" s="464"/>
      <c r="AN22" s="464"/>
      <c r="AO22" s="464"/>
      <c r="AP22" s="464"/>
      <c r="AQ22" s="464"/>
      <c r="AR22" s="464"/>
      <c r="AS22" s="464"/>
      <c r="AT22" s="464"/>
      <c r="AU22" s="464"/>
      <c r="AV22" s="464"/>
      <c r="AW22" s="464"/>
      <c r="AX22" s="464"/>
      <c r="AY22" s="464"/>
      <c r="AZ22" s="464"/>
      <c r="BA22" s="464"/>
      <c r="BB22" s="464"/>
      <c r="BC22" s="464"/>
      <c r="BD22" s="464"/>
      <c r="BE22" s="464"/>
      <c r="BF22" s="464"/>
      <c r="BG22" s="464"/>
      <c r="BH22" s="464"/>
      <c r="BI22" s="464"/>
      <c r="BJ22" s="464"/>
      <c r="BK22" s="464"/>
      <c r="BL22" s="464"/>
      <c r="BM22" s="464"/>
      <c r="BN22" s="464"/>
      <c r="BO22" s="464"/>
      <c r="BP22" s="464"/>
      <c r="BQ22" s="464"/>
      <c r="BR22" s="464"/>
      <c r="BS22" s="464"/>
      <c r="BT22" s="464"/>
      <c r="BU22" s="464"/>
      <c r="BV22" s="464"/>
      <c r="BW22" s="464"/>
      <c r="BX22" s="464"/>
      <c r="BY22" s="464"/>
      <c r="BZ22" s="464"/>
      <c r="CA22" s="464"/>
      <c r="CB22" s="464"/>
      <c r="CC22" s="464"/>
      <c r="CD22" s="464"/>
      <c r="CE22" s="464"/>
      <c r="CF22" s="464"/>
      <c r="CG22" s="464"/>
      <c r="CH22" s="464"/>
      <c r="CI22" s="464"/>
      <c r="CJ22" s="464"/>
      <c r="CK22" s="464"/>
      <c r="CL22" s="464"/>
      <c r="CM22" s="464"/>
      <c r="CN22" s="464"/>
      <c r="CO22" s="464"/>
      <c r="CP22" s="464"/>
      <c r="CQ22" s="464"/>
      <c r="CR22" s="464">
        <v>15876</v>
      </c>
      <c r="CS22" s="464">
        <f t="shared" ref="CS22" si="11">+CR22*E22</f>
        <v>15876</v>
      </c>
      <c r="CT22" s="464"/>
      <c r="CU22" s="464"/>
      <c r="CV22" s="464"/>
      <c r="CW22" s="464"/>
      <c r="CX22" s="464"/>
      <c r="CY22" s="464"/>
      <c r="CZ22" s="464"/>
      <c r="DA22" s="464"/>
      <c r="DB22" s="464"/>
      <c r="DC22" s="464"/>
      <c r="DD22" s="464"/>
      <c r="DE22" s="464"/>
      <c r="DF22" s="464"/>
      <c r="DG22" s="464"/>
      <c r="DH22" s="464"/>
      <c r="DI22" s="464"/>
      <c r="DJ22" s="464"/>
      <c r="DK22" s="464"/>
      <c r="DL22" s="464"/>
      <c r="DM22" s="464"/>
      <c r="DN22" s="464"/>
      <c r="DO22" s="464"/>
      <c r="DP22" s="464"/>
      <c r="DQ22" s="464"/>
      <c r="DR22" s="464"/>
      <c r="DS22" s="464"/>
      <c r="DT22" s="464"/>
      <c r="DU22" s="464"/>
      <c r="DV22" s="464"/>
      <c r="DW22" s="464"/>
      <c r="DX22" s="464"/>
      <c r="DY22" s="464"/>
      <c r="DZ22" s="464"/>
      <c r="EA22" s="464"/>
      <c r="EB22" s="464"/>
      <c r="EC22" s="464"/>
      <c r="ED22" s="464"/>
      <c r="EE22" s="464"/>
      <c r="EF22" s="464"/>
      <c r="EG22" s="464"/>
      <c r="EH22" s="464"/>
      <c r="EI22" s="464"/>
      <c r="EJ22" s="464"/>
      <c r="EK22" s="464"/>
      <c r="EL22" s="464"/>
      <c r="EM22" s="464"/>
      <c r="EN22" s="464"/>
      <c r="EO22" s="464"/>
      <c r="EP22" s="464"/>
      <c r="EQ22" s="464"/>
      <c r="ER22" s="464"/>
      <c r="ES22" s="464"/>
      <c r="ET22" s="464"/>
      <c r="EU22" s="464"/>
      <c r="EV22" s="464"/>
      <c r="EW22" s="464"/>
      <c r="EX22" s="464"/>
      <c r="EY22" s="464"/>
      <c r="EZ22" s="464"/>
      <c r="FA22" s="464"/>
      <c r="FB22" s="464"/>
      <c r="FC22" s="464"/>
      <c r="FD22" s="464"/>
      <c r="FE22" s="464"/>
      <c r="FF22" s="472">
        <f>MEDIAN(AD22,CR22)</f>
        <v>17129.1911</v>
      </c>
      <c r="FG22" s="472">
        <f>AVERAGE(AD22,CR22)</f>
        <v>17129.1911</v>
      </c>
      <c r="FH22" s="473">
        <f>STDEV(AD22,CR22)</f>
        <v>1772.2798498652576</v>
      </c>
      <c r="FI22" s="476">
        <f t="shared" ref="FI22:FI85" si="12">FH22/FG22</f>
        <v>0.10346547245101712</v>
      </c>
      <c r="FJ22" s="475">
        <f t="shared" ref="FJ22:FJ85" si="13">ROUNDUP(IF(FI22&lt;15%,FG22,FF22),0)</f>
        <v>17130</v>
      </c>
      <c r="FK22" s="469">
        <f>+FJ22*E22</f>
        <v>17130</v>
      </c>
      <c r="FL22" s="467" t="s">
        <v>621</v>
      </c>
      <c r="FM22" s="470"/>
      <c r="FN22" s="457">
        <v>4</v>
      </c>
    </row>
    <row r="23" spans="1:170" s="457" customFormat="1" ht="32.5" customHeight="1" x14ac:dyDescent="0.35">
      <c r="A23" s="458">
        <v>19</v>
      </c>
      <c r="B23" s="484" t="s">
        <v>658</v>
      </c>
      <c r="C23" s="460" t="s">
        <v>659</v>
      </c>
      <c r="D23" s="461" t="s">
        <v>620</v>
      </c>
      <c r="E23" s="458">
        <v>1</v>
      </c>
      <c r="F23" s="463"/>
      <c r="G23" s="463"/>
      <c r="H23" s="463"/>
      <c r="I23" s="463"/>
      <c r="J23" s="463"/>
      <c r="K23" s="463"/>
      <c r="L23" s="464"/>
      <c r="M23" s="464"/>
      <c r="N23" s="464"/>
      <c r="O23" s="464"/>
      <c r="P23" s="464"/>
      <c r="Q23" s="464"/>
      <c r="R23" s="464"/>
      <c r="S23" s="464"/>
      <c r="T23" s="464"/>
      <c r="U23" s="464"/>
      <c r="V23" s="464"/>
      <c r="W23" s="464"/>
      <c r="X23" s="464">
        <v>14000</v>
      </c>
      <c r="Y23" s="464">
        <f t="shared" ref="Y23:Y30" si="14">+X23*E23</f>
        <v>14000</v>
      </c>
      <c r="Z23" s="464"/>
      <c r="AA23" s="464"/>
      <c r="AB23" s="464"/>
      <c r="AC23" s="464"/>
      <c r="AD23" s="463">
        <v>30751.98</v>
      </c>
      <c r="AE23" s="464">
        <f t="shared" ref="AE23:AE32" si="15">+AD23*E23</f>
        <v>30751.98</v>
      </c>
      <c r="AF23" s="464"/>
      <c r="AG23" s="464"/>
      <c r="AH23" s="464"/>
      <c r="AI23" s="464"/>
      <c r="AJ23" s="464">
        <v>10000</v>
      </c>
      <c r="AK23" s="464">
        <f>+AJ23*E23</f>
        <v>10000</v>
      </c>
      <c r="AL23" s="464"/>
      <c r="AM23" s="464"/>
      <c r="AN23" s="464"/>
      <c r="AO23" s="464"/>
      <c r="AP23" s="464"/>
      <c r="AQ23" s="464"/>
      <c r="AR23" s="464"/>
      <c r="AS23" s="464"/>
      <c r="AT23" s="464"/>
      <c r="AU23" s="464"/>
      <c r="AV23" s="464"/>
      <c r="AW23" s="464"/>
      <c r="AX23" s="464"/>
      <c r="AY23" s="464"/>
      <c r="AZ23" s="464"/>
      <c r="BA23" s="464"/>
      <c r="BB23" s="464"/>
      <c r="BC23" s="464"/>
      <c r="BD23" s="464"/>
      <c r="BE23" s="464"/>
      <c r="BF23" s="464"/>
      <c r="BG23" s="464"/>
      <c r="BH23" s="464"/>
      <c r="BI23" s="464"/>
      <c r="BJ23" s="464"/>
      <c r="BK23" s="464"/>
      <c r="BL23" s="464"/>
      <c r="BM23" s="464"/>
      <c r="BN23" s="464"/>
      <c r="BO23" s="464"/>
      <c r="BP23" s="464"/>
      <c r="BQ23" s="464"/>
      <c r="BR23" s="464"/>
      <c r="BS23" s="464"/>
      <c r="BT23" s="464"/>
      <c r="BU23" s="464"/>
      <c r="BV23" s="464"/>
      <c r="BW23" s="464"/>
      <c r="BX23" s="464"/>
      <c r="BY23" s="464"/>
      <c r="BZ23" s="464"/>
      <c r="CA23" s="464"/>
      <c r="CB23" s="464"/>
      <c r="CC23" s="464"/>
      <c r="CD23" s="464"/>
      <c r="CE23" s="464"/>
      <c r="CF23" s="464"/>
      <c r="CG23" s="464"/>
      <c r="CH23" s="464"/>
      <c r="CI23" s="464"/>
      <c r="CJ23" s="464"/>
      <c r="CK23" s="464"/>
      <c r="CL23" s="464"/>
      <c r="CM23" s="464"/>
      <c r="CN23" s="464"/>
      <c r="CO23" s="464"/>
      <c r="CP23" s="464"/>
      <c r="CQ23" s="464"/>
      <c r="CR23" s="464">
        <v>10261</v>
      </c>
      <c r="CS23" s="464">
        <f>+CR23*E23</f>
        <v>10261</v>
      </c>
      <c r="CT23" s="464"/>
      <c r="CU23" s="464"/>
      <c r="CV23" s="464">
        <v>11500</v>
      </c>
      <c r="CW23" s="464">
        <f>+CV23</f>
        <v>11500</v>
      </c>
      <c r="CX23" s="464"/>
      <c r="CY23" s="464"/>
      <c r="CZ23" s="464"/>
      <c r="DA23" s="464"/>
      <c r="DB23" s="464"/>
      <c r="DC23" s="464"/>
      <c r="DD23" s="464"/>
      <c r="DE23" s="464"/>
      <c r="DF23" s="464"/>
      <c r="DG23" s="464"/>
      <c r="DH23" s="464"/>
      <c r="DI23" s="464"/>
      <c r="DJ23" s="464"/>
      <c r="DK23" s="464"/>
      <c r="DL23" s="464"/>
      <c r="DM23" s="464"/>
      <c r="DN23" s="464"/>
      <c r="DO23" s="464"/>
      <c r="DP23" s="464"/>
      <c r="DQ23" s="464"/>
      <c r="DR23" s="464"/>
      <c r="DS23" s="464"/>
      <c r="DT23" s="464"/>
      <c r="DU23" s="464"/>
      <c r="DV23" s="464"/>
      <c r="DW23" s="464"/>
      <c r="DX23" s="464"/>
      <c r="DY23" s="464"/>
      <c r="DZ23" s="464"/>
      <c r="EA23" s="464"/>
      <c r="EB23" s="464"/>
      <c r="EC23" s="464"/>
      <c r="ED23" s="464"/>
      <c r="EE23" s="464"/>
      <c r="EF23" s="464"/>
      <c r="EG23" s="464"/>
      <c r="EH23" s="464"/>
      <c r="EI23" s="464"/>
      <c r="EJ23" s="464">
        <v>17500</v>
      </c>
      <c r="EK23" s="464">
        <f>+EJ23*E23</f>
        <v>17500</v>
      </c>
      <c r="EL23" s="464"/>
      <c r="EM23" s="464"/>
      <c r="EN23" s="464"/>
      <c r="EO23" s="464"/>
      <c r="EP23" s="464"/>
      <c r="EQ23" s="464"/>
      <c r="ER23" s="464"/>
      <c r="ES23" s="464"/>
      <c r="ET23" s="464"/>
      <c r="EU23" s="464"/>
      <c r="EV23" s="464"/>
      <c r="EW23" s="464"/>
      <c r="EX23" s="464"/>
      <c r="EY23" s="464"/>
      <c r="EZ23" s="464"/>
      <c r="FA23" s="464"/>
      <c r="FB23" s="464"/>
      <c r="FC23" s="464"/>
      <c r="FD23" s="464"/>
      <c r="FE23" s="464"/>
      <c r="FF23" s="472">
        <f>MEDIAN(X23,AJ23,CV23)</f>
        <v>11500</v>
      </c>
      <c r="FG23" s="472">
        <f>AVERAGE(X23,AJ23,CV23)</f>
        <v>11833.333333333334</v>
      </c>
      <c r="FH23" s="473">
        <f>STDEV(X23,AJ23,CV23)</f>
        <v>2020.7259421636927</v>
      </c>
      <c r="FI23" s="476">
        <f t="shared" si="12"/>
        <v>0.17076557257721345</v>
      </c>
      <c r="FJ23" s="475">
        <f t="shared" si="13"/>
        <v>11500</v>
      </c>
      <c r="FK23" s="469">
        <f>+FJ23*E23</f>
        <v>11500</v>
      </c>
      <c r="FL23" s="467" t="s">
        <v>632</v>
      </c>
      <c r="FM23" s="470"/>
    </row>
    <row r="24" spans="1:170" s="457" customFormat="1" ht="32.5" customHeight="1" x14ac:dyDescent="0.35">
      <c r="A24" s="458">
        <v>20</v>
      </c>
      <c r="B24" s="459" t="s">
        <v>660</v>
      </c>
      <c r="C24" s="460" t="s">
        <v>661</v>
      </c>
      <c r="D24" s="461" t="s">
        <v>620</v>
      </c>
      <c r="E24" s="458">
        <v>1</v>
      </c>
      <c r="F24" s="463"/>
      <c r="G24" s="463"/>
      <c r="H24" s="463"/>
      <c r="I24" s="463"/>
      <c r="J24" s="463"/>
      <c r="K24" s="463"/>
      <c r="L24" s="464"/>
      <c r="M24" s="464"/>
      <c r="N24" s="464"/>
      <c r="O24" s="464"/>
      <c r="P24" s="464"/>
      <c r="Q24" s="464"/>
      <c r="R24" s="464"/>
      <c r="S24" s="464"/>
      <c r="T24" s="464"/>
      <c r="U24" s="464"/>
      <c r="V24" s="464">
        <v>20000</v>
      </c>
      <c r="W24" s="464">
        <f t="shared" ref="W24:W30" si="16">+V24*E24</f>
        <v>20000</v>
      </c>
      <c r="X24" s="464">
        <v>28000</v>
      </c>
      <c r="Y24" s="464">
        <f t="shared" si="14"/>
        <v>28000</v>
      </c>
      <c r="Z24" s="464"/>
      <c r="AA24" s="464"/>
      <c r="AB24" s="464"/>
      <c r="AC24" s="464"/>
      <c r="AD24" s="463">
        <v>224672</v>
      </c>
      <c r="AE24" s="464">
        <f t="shared" si="15"/>
        <v>224672</v>
      </c>
      <c r="AF24" s="464"/>
      <c r="AG24" s="464"/>
      <c r="AH24" s="464"/>
      <c r="AI24" s="464"/>
      <c r="AJ24" s="464">
        <v>60000</v>
      </c>
      <c r="AK24" s="464">
        <f t="shared" ref="AK24:AK25" si="17">+AJ24*E24</f>
        <v>60000</v>
      </c>
      <c r="AL24" s="464"/>
      <c r="AM24" s="464"/>
      <c r="AN24" s="464"/>
      <c r="AO24" s="464"/>
      <c r="AP24" s="464"/>
      <c r="AQ24" s="464"/>
      <c r="AR24" s="464"/>
      <c r="AS24" s="464"/>
      <c r="AT24" s="464"/>
      <c r="AU24" s="464"/>
      <c r="AV24" s="464"/>
      <c r="AW24" s="464"/>
      <c r="AX24" s="464"/>
      <c r="AY24" s="464"/>
      <c r="AZ24" s="464"/>
      <c r="BA24" s="464"/>
      <c r="BB24" s="464"/>
      <c r="BC24" s="464"/>
      <c r="BD24" s="464"/>
      <c r="BE24" s="464"/>
      <c r="BF24" s="464"/>
      <c r="BG24" s="464"/>
      <c r="BH24" s="464"/>
      <c r="BI24" s="464"/>
      <c r="BJ24" s="464"/>
      <c r="BK24" s="464"/>
      <c r="BL24" s="464"/>
      <c r="BM24" s="464"/>
      <c r="BN24" s="464"/>
      <c r="BO24" s="464"/>
      <c r="BP24" s="464"/>
      <c r="BQ24" s="464"/>
      <c r="BR24" s="464"/>
      <c r="BS24" s="464"/>
      <c r="BT24" s="464">
        <v>45000</v>
      </c>
      <c r="BU24" s="464">
        <f>+BT24*E24</f>
        <v>45000</v>
      </c>
      <c r="BV24" s="464"/>
      <c r="BW24" s="464"/>
      <c r="BX24" s="464"/>
      <c r="BY24" s="464"/>
      <c r="BZ24" s="464"/>
      <c r="CA24" s="464"/>
      <c r="CB24" s="464"/>
      <c r="CC24" s="464"/>
      <c r="CD24" s="464"/>
      <c r="CE24" s="464"/>
      <c r="CF24" s="464"/>
      <c r="CG24" s="464"/>
      <c r="CH24" s="464"/>
      <c r="CI24" s="464"/>
      <c r="CJ24" s="464"/>
      <c r="CK24" s="464"/>
      <c r="CL24" s="464"/>
      <c r="CM24" s="464"/>
      <c r="CN24" s="464"/>
      <c r="CO24" s="464"/>
      <c r="CP24" s="464"/>
      <c r="CQ24" s="464"/>
      <c r="CR24" s="464"/>
      <c r="CS24" s="464"/>
      <c r="CT24" s="464"/>
      <c r="CU24" s="464"/>
      <c r="CV24" s="464"/>
      <c r="CW24" s="464"/>
      <c r="CX24" s="464"/>
      <c r="CY24" s="464"/>
      <c r="CZ24" s="464"/>
      <c r="DA24" s="464"/>
      <c r="DB24" s="464"/>
      <c r="DC24" s="464"/>
      <c r="DD24" s="464"/>
      <c r="DE24" s="464"/>
      <c r="DF24" s="464"/>
      <c r="DG24" s="464"/>
      <c r="DH24" s="464"/>
      <c r="DI24" s="464"/>
      <c r="DJ24" s="464"/>
      <c r="DK24" s="464"/>
      <c r="DL24" s="464"/>
      <c r="DM24" s="464"/>
      <c r="DN24" s="464"/>
      <c r="DO24" s="464"/>
      <c r="DP24" s="464"/>
      <c r="DQ24" s="464"/>
      <c r="DR24" s="464"/>
      <c r="DS24" s="464"/>
      <c r="DT24" s="464"/>
      <c r="DU24" s="464"/>
      <c r="DV24" s="464"/>
      <c r="DW24" s="464"/>
      <c r="DX24" s="464"/>
      <c r="DY24" s="464"/>
      <c r="DZ24" s="464"/>
      <c r="EA24" s="464"/>
      <c r="EB24" s="464"/>
      <c r="EC24" s="464"/>
      <c r="ED24" s="464"/>
      <c r="EE24" s="464"/>
      <c r="EF24" s="464"/>
      <c r="EG24" s="464"/>
      <c r="EH24" s="464"/>
      <c r="EI24" s="464"/>
      <c r="EJ24" s="464"/>
      <c r="EK24" s="464"/>
      <c r="EL24" s="464"/>
      <c r="EM24" s="464"/>
      <c r="EN24" s="464"/>
      <c r="EO24" s="464"/>
      <c r="EP24" s="464"/>
      <c r="EQ24" s="464"/>
      <c r="ER24" s="464"/>
      <c r="ES24" s="464"/>
      <c r="ET24" s="464"/>
      <c r="EU24" s="464"/>
      <c r="EV24" s="464"/>
      <c r="EW24" s="464"/>
      <c r="EX24" s="464"/>
      <c r="EY24" s="464"/>
      <c r="EZ24" s="464"/>
      <c r="FA24" s="464"/>
      <c r="FB24" s="464"/>
      <c r="FC24" s="464"/>
      <c r="FD24" s="464"/>
      <c r="FE24" s="464"/>
      <c r="FF24" s="472">
        <f>MEDIAN(V24,X24,)</f>
        <v>20000</v>
      </c>
      <c r="FG24" s="472">
        <f>AVERAGE(V24,X24)</f>
        <v>24000</v>
      </c>
      <c r="FH24" s="473">
        <f>STDEV(V24,X24)</f>
        <v>5656.8542494923804</v>
      </c>
      <c r="FI24" s="476">
        <f t="shared" si="12"/>
        <v>0.23570226039551584</v>
      </c>
      <c r="FJ24" s="475">
        <f t="shared" si="13"/>
        <v>20000</v>
      </c>
      <c r="FK24" s="469">
        <f t="shared" ref="FK24:FK87" si="18">+FJ24*E24</f>
        <v>20000</v>
      </c>
      <c r="FL24" s="467" t="s">
        <v>632</v>
      </c>
      <c r="FM24" s="470"/>
    </row>
    <row r="25" spans="1:170" s="457" customFormat="1" ht="32.5" customHeight="1" x14ac:dyDescent="0.35">
      <c r="A25" s="458">
        <v>21</v>
      </c>
      <c r="B25" s="459" t="s">
        <v>662</v>
      </c>
      <c r="C25" s="460" t="s">
        <v>663</v>
      </c>
      <c r="D25" s="461" t="s">
        <v>620</v>
      </c>
      <c r="E25" s="458">
        <v>1</v>
      </c>
      <c r="F25" s="463"/>
      <c r="G25" s="463"/>
      <c r="H25" s="463"/>
      <c r="I25" s="463"/>
      <c r="J25" s="463"/>
      <c r="K25" s="463"/>
      <c r="L25" s="464"/>
      <c r="M25" s="464"/>
      <c r="N25" s="464"/>
      <c r="O25" s="464"/>
      <c r="P25" s="464"/>
      <c r="Q25" s="464"/>
      <c r="R25" s="464"/>
      <c r="S25" s="464"/>
      <c r="T25" s="464"/>
      <c r="U25" s="464"/>
      <c r="V25" s="464"/>
      <c r="W25" s="464">
        <f t="shared" si="16"/>
        <v>0</v>
      </c>
      <c r="X25" s="464">
        <v>13000</v>
      </c>
      <c r="Y25" s="464">
        <f t="shared" si="14"/>
        <v>13000</v>
      </c>
      <c r="Z25" s="464"/>
      <c r="AA25" s="464"/>
      <c r="AB25" s="464"/>
      <c r="AC25" s="464"/>
      <c r="AD25" s="463">
        <v>13643.207199999999</v>
      </c>
      <c r="AE25" s="464">
        <f t="shared" si="15"/>
        <v>13643.207199999999</v>
      </c>
      <c r="AF25" s="464"/>
      <c r="AG25" s="464"/>
      <c r="AH25" s="464"/>
      <c r="AI25" s="464"/>
      <c r="AJ25" s="464">
        <v>25000</v>
      </c>
      <c r="AK25" s="464">
        <f t="shared" si="17"/>
        <v>25000</v>
      </c>
      <c r="AL25" s="464"/>
      <c r="AM25" s="464"/>
      <c r="AN25" s="464"/>
      <c r="AO25" s="464"/>
      <c r="AP25" s="464"/>
      <c r="AQ25" s="464"/>
      <c r="AR25" s="464"/>
      <c r="AS25" s="464"/>
      <c r="AT25" s="464"/>
      <c r="AU25" s="464"/>
      <c r="AV25" s="464"/>
      <c r="AW25" s="464"/>
      <c r="AX25" s="464"/>
      <c r="AY25" s="464"/>
      <c r="AZ25" s="464"/>
      <c r="BA25" s="464"/>
      <c r="BB25" s="464"/>
      <c r="BC25" s="464"/>
      <c r="BD25" s="464"/>
      <c r="BE25" s="464"/>
      <c r="BF25" s="464"/>
      <c r="BG25" s="464"/>
      <c r="BH25" s="464"/>
      <c r="BI25" s="464"/>
      <c r="BJ25" s="464"/>
      <c r="BK25" s="464"/>
      <c r="BL25" s="464"/>
      <c r="BM25" s="464"/>
      <c r="BN25" s="464"/>
      <c r="BO25" s="464"/>
      <c r="BP25" s="464"/>
      <c r="BQ25" s="464"/>
      <c r="BR25" s="464"/>
      <c r="BS25" s="464"/>
      <c r="BT25" s="464"/>
      <c r="BU25" s="464"/>
      <c r="BV25" s="464"/>
      <c r="BW25" s="464"/>
      <c r="BX25" s="464"/>
      <c r="BY25" s="464"/>
      <c r="BZ25" s="464"/>
      <c r="CA25" s="464"/>
      <c r="CB25" s="464"/>
      <c r="CC25" s="464"/>
      <c r="CD25" s="464"/>
      <c r="CE25" s="464"/>
      <c r="CF25" s="464"/>
      <c r="CG25" s="464"/>
      <c r="CH25" s="464"/>
      <c r="CI25" s="464"/>
      <c r="CJ25" s="464"/>
      <c r="CK25" s="464"/>
      <c r="CL25" s="464"/>
      <c r="CM25" s="464"/>
      <c r="CN25" s="464"/>
      <c r="CO25" s="464"/>
      <c r="CP25" s="464"/>
      <c r="CQ25" s="464"/>
      <c r="CR25" s="464"/>
      <c r="CS25" s="464"/>
      <c r="CT25" s="464">
        <f>+(15000*8%)+15000</f>
        <v>16200</v>
      </c>
      <c r="CU25" s="464">
        <f>+CT25*E25</f>
        <v>16200</v>
      </c>
      <c r="CV25" s="464"/>
      <c r="CW25" s="464"/>
      <c r="CX25" s="464"/>
      <c r="CY25" s="464"/>
      <c r="CZ25" s="464"/>
      <c r="DA25" s="464"/>
      <c r="DB25" s="464"/>
      <c r="DC25" s="464"/>
      <c r="DD25" s="464"/>
      <c r="DE25" s="464"/>
      <c r="DF25" s="464"/>
      <c r="DG25" s="464"/>
      <c r="DH25" s="464"/>
      <c r="DI25" s="464"/>
      <c r="DJ25" s="464"/>
      <c r="DK25" s="464"/>
      <c r="DL25" s="464"/>
      <c r="DM25" s="464"/>
      <c r="DN25" s="464"/>
      <c r="DO25" s="464"/>
      <c r="DP25" s="464"/>
      <c r="DQ25" s="464"/>
      <c r="DR25" s="464"/>
      <c r="DS25" s="464"/>
      <c r="DT25" s="464"/>
      <c r="DU25" s="464"/>
      <c r="DV25" s="464"/>
      <c r="DW25" s="464"/>
      <c r="DX25" s="464"/>
      <c r="DY25" s="464"/>
      <c r="DZ25" s="464"/>
      <c r="EA25" s="464"/>
      <c r="EB25" s="464"/>
      <c r="EC25" s="464"/>
      <c r="ED25" s="464"/>
      <c r="EE25" s="464"/>
      <c r="EF25" s="464"/>
      <c r="EG25" s="464"/>
      <c r="EH25" s="464"/>
      <c r="EI25" s="464"/>
      <c r="EJ25" s="464">
        <v>30000</v>
      </c>
      <c r="EK25" s="464">
        <f>+EJ25*E25</f>
        <v>30000</v>
      </c>
      <c r="EL25" s="464"/>
      <c r="EM25" s="464"/>
      <c r="EN25" s="464"/>
      <c r="EO25" s="464"/>
      <c r="EP25" s="464"/>
      <c r="EQ25" s="464"/>
      <c r="ER25" s="464"/>
      <c r="ES25" s="464"/>
      <c r="ET25" s="464"/>
      <c r="EU25" s="464"/>
      <c r="EV25" s="464"/>
      <c r="EW25" s="464"/>
      <c r="EX25" s="464"/>
      <c r="EY25" s="464"/>
      <c r="EZ25" s="464"/>
      <c r="FA25" s="464"/>
      <c r="FB25" s="464"/>
      <c r="FC25" s="464"/>
      <c r="FD25" s="464"/>
      <c r="FE25" s="464"/>
      <c r="FF25" s="472">
        <f>MEDIAN(AD25,CT25)</f>
        <v>14921.603599999999</v>
      </c>
      <c r="FG25" s="472">
        <f>AVERAGE(AD25,CT25)</f>
        <v>14921.603599999999</v>
      </c>
      <c r="FH25" s="473">
        <f>STDEV(AD25,CT25)</f>
        <v>1807.9255269689409</v>
      </c>
      <c r="FI25" s="476">
        <f t="shared" si="12"/>
        <v>0.12116161073793309</v>
      </c>
      <c r="FJ25" s="475">
        <f t="shared" si="13"/>
        <v>14922</v>
      </c>
      <c r="FK25" s="469">
        <f t="shared" si="18"/>
        <v>14922</v>
      </c>
      <c r="FL25" s="467" t="s">
        <v>621</v>
      </c>
      <c r="FM25" s="470"/>
    </row>
    <row r="26" spans="1:170" s="457" customFormat="1" ht="32.5" customHeight="1" x14ac:dyDescent="0.35">
      <c r="A26" s="458">
        <v>22</v>
      </c>
      <c r="B26" s="485" t="s">
        <v>662</v>
      </c>
      <c r="C26" s="486" t="s">
        <v>664</v>
      </c>
      <c r="D26" s="487" t="s">
        <v>620</v>
      </c>
      <c r="E26" s="458">
        <v>1</v>
      </c>
      <c r="F26" s="482"/>
      <c r="G26" s="482"/>
      <c r="H26" s="482"/>
      <c r="I26" s="482"/>
      <c r="J26" s="482"/>
      <c r="K26" s="482"/>
      <c r="L26" s="489">
        <v>18000</v>
      </c>
      <c r="M26" s="489">
        <f>+L26*E26</f>
        <v>18000</v>
      </c>
      <c r="N26" s="489"/>
      <c r="O26" s="489"/>
      <c r="P26" s="489"/>
      <c r="Q26" s="489"/>
      <c r="R26" s="489"/>
      <c r="S26" s="489"/>
      <c r="T26" s="489"/>
      <c r="U26" s="489"/>
      <c r="V26" s="489"/>
      <c r="W26" s="464"/>
      <c r="X26" s="464"/>
      <c r="Y26" s="464"/>
      <c r="Z26" s="464"/>
      <c r="AA26" s="464"/>
      <c r="AB26" s="464"/>
      <c r="AC26" s="464"/>
      <c r="AD26" s="482">
        <v>41327.010199999997</v>
      </c>
      <c r="AE26" s="464">
        <f>AD26*E26</f>
        <v>41327.010199999997</v>
      </c>
      <c r="AF26" s="464"/>
      <c r="AG26" s="464"/>
      <c r="AH26" s="464"/>
      <c r="AI26" s="464"/>
      <c r="AJ26" s="464"/>
      <c r="AK26" s="464"/>
      <c r="AL26" s="464"/>
      <c r="AM26" s="464"/>
      <c r="AN26" s="464"/>
      <c r="AO26" s="464"/>
      <c r="AP26" s="464"/>
      <c r="AQ26" s="464"/>
      <c r="AR26" s="464"/>
      <c r="AS26" s="464"/>
      <c r="AT26" s="464"/>
      <c r="AU26" s="464"/>
      <c r="AV26" s="464"/>
      <c r="AW26" s="464"/>
      <c r="AX26" s="464"/>
      <c r="AY26" s="464"/>
      <c r="AZ26" s="464"/>
      <c r="BA26" s="464"/>
      <c r="BB26" s="464"/>
      <c r="BC26" s="464"/>
      <c r="BD26" s="464"/>
      <c r="BE26" s="464"/>
      <c r="BF26" s="464"/>
      <c r="BG26" s="464"/>
      <c r="BH26" s="464"/>
      <c r="BI26" s="464"/>
      <c r="BJ26" s="464"/>
      <c r="BK26" s="464"/>
      <c r="BL26" s="464"/>
      <c r="BM26" s="464"/>
      <c r="BN26" s="464"/>
      <c r="BO26" s="464"/>
      <c r="BP26" s="464"/>
      <c r="BQ26" s="464"/>
      <c r="BR26" s="464"/>
      <c r="BS26" s="464"/>
      <c r="BT26" s="464"/>
      <c r="BU26" s="464"/>
      <c r="BV26" s="464"/>
      <c r="BW26" s="464"/>
      <c r="BX26" s="464"/>
      <c r="BY26" s="464"/>
      <c r="BZ26" s="464"/>
      <c r="CA26" s="464"/>
      <c r="CB26" s="464"/>
      <c r="CC26" s="464"/>
      <c r="CD26" s="464"/>
      <c r="CE26" s="464"/>
      <c r="CF26" s="464"/>
      <c r="CG26" s="464"/>
      <c r="CH26" s="464"/>
      <c r="CI26" s="464"/>
      <c r="CJ26" s="464"/>
      <c r="CK26" s="464"/>
      <c r="CL26" s="464"/>
      <c r="CM26" s="464"/>
      <c r="CN26" s="464"/>
      <c r="CO26" s="464"/>
      <c r="CP26" s="464"/>
      <c r="CQ26" s="464"/>
      <c r="CR26" s="464">
        <v>40307</v>
      </c>
      <c r="CS26" s="464">
        <f>+CR26*E26</f>
        <v>40307</v>
      </c>
      <c r="CT26" s="464"/>
      <c r="CU26" s="464"/>
      <c r="CV26" s="464"/>
      <c r="CW26" s="464"/>
      <c r="CX26" s="464"/>
      <c r="CY26" s="464"/>
      <c r="CZ26" s="464"/>
      <c r="DA26" s="464"/>
      <c r="DB26" s="464"/>
      <c r="DC26" s="464"/>
      <c r="DD26" s="464"/>
      <c r="DE26" s="464"/>
      <c r="DF26" s="464"/>
      <c r="DG26" s="464"/>
      <c r="DH26" s="464"/>
      <c r="DI26" s="464"/>
      <c r="DJ26" s="464"/>
      <c r="DK26" s="464"/>
      <c r="DL26" s="464"/>
      <c r="DM26" s="464"/>
      <c r="DN26" s="464"/>
      <c r="DO26" s="464"/>
      <c r="DP26" s="464"/>
      <c r="DQ26" s="464"/>
      <c r="DR26" s="464"/>
      <c r="DS26" s="464"/>
      <c r="DT26" s="464"/>
      <c r="DU26" s="464"/>
      <c r="DV26" s="464"/>
      <c r="DW26" s="464"/>
      <c r="DX26" s="464"/>
      <c r="DY26" s="464"/>
      <c r="DZ26" s="464"/>
      <c r="EA26" s="464"/>
      <c r="EB26" s="464"/>
      <c r="EC26" s="464"/>
      <c r="ED26" s="464"/>
      <c r="EE26" s="464"/>
      <c r="EF26" s="464"/>
      <c r="EG26" s="464"/>
      <c r="EH26" s="464"/>
      <c r="EI26" s="464"/>
      <c r="EJ26" s="464"/>
      <c r="EK26" s="464"/>
      <c r="EL26" s="464"/>
      <c r="EM26" s="464"/>
      <c r="EN26" s="464"/>
      <c r="EO26" s="464"/>
      <c r="EP26" s="464"/>
      <c r="EQ26" s="464"/>
      <c r="ER26" s="464"/>
      <c r="ES26" s="464"/>
      <c r="ET26" s="464"/>
      <c r="EU26" s="464"/>
      <c r="EV26" s="464"/>
      <c r="EW26" s="464"/>
      <c r="EX26" s="464"/>
      <c r="EY26" s="464"/>
      <c r="EZ26" s="464"/>
      <c r="FA26" s="464"/>
      <c r="FB26" s="464"/>
      <c r="FC26" s="464"/>
      <c r="FD26" s="464"/>
      <c r="FE26" s="464"/>
      <c r="FF26" s="472">
        <f>MEDIAN(AD26,CR26)</f>
        <v>40817.005099999995</v>
      </c>
      <c r="FG26" s="472">
        <f>AVERAGE(AD26,CR26)</f>
        <v>40817.005099999995</v>
      </c>
      <c r="FH26" s="473">
        <f>STDEV(AD26,CR26)</f>
        <v>721.25612929944441</v>
      </c>
      <c r="FI26" s="476">
        <f t="shared" si="12"/>
        <v>1.767048139696669E-2</v>
      </c>
      <c r="FJ26" s="475">
        <f t="shared" si="13"/>
        <v>40818</v>
      </c>
      <c r="FK26" s="469">
        <f t="shared" si="18"/>
        <v>40818</v>
      </c>
      <c r="FL26" s="467" t="s">
        <v>621</v>
      </c>
      <c r="FM26" s="470"/>
    </row>
    <row r="27" spans="1:170" s="457" customFormat="1" ht="32.5" customHeight="1" x14ac:dyDescent="0.35">
      <c r="A27" s="458">
        <v>23</v>
      </c>
      <c r="B27" s="459" t="s">
        <v>665</v>
      </c>
      <c r="C27" s="460" t="s">
        <v>666</v>
      </c>
      <c r="D27" s="461" t="s">
        <v>620</v>
      </c>
      <c r="E27" s="458">
        <v>1</v>
      </c>
      <c r="F27" s="463">
        <v>65000</v>
      </c>
      <c r="G27" s="463">
        <f>+F27*E27</f>
        <v>65000</v>
      </c>
      <c r="H27" s="463"/>
      <c r="I27" s="463"/>
      <c r="J27" s="463"/>
      <c r="K27" s="463"/>
      <c r="L27" s="464"/>
      <c r="M27" s="464"/>
      <c r="N27" s="464"/>
      <c r="O27" s="464"/>
      <c r="P27" s="464"/>
      <c r="Q27" s="464"/>
      <c r="R27" s="464"/>
      <c r="S27" s="464"/>
      <c r="T27" s="464"/>
      <c r="U27" s="464"/>
      <c r="V27" s="464">
        <v>35000</v>
      </c>
      <c r="W27" s="464">
        <f t="shared" si="16"/>
        <v>35000</v>
      </c>
      <c r="X27" s="464">
        <v>26000</v>
      </c>
      <c r="Y27" s="464">
        <f t="shared" si="14"/>
        <v>26000</v>
      </c>
      <c r="Z27" s="464"/>
      <c r="AA27" s="464"/>
      <c r="AB27" s="464"/>
      <c r="AC27" s="464"/>
      <c r="AD27" s="463">
        <v>33700.799999999996</v>
      </c>
      <c r="AE27" s="464">
        <f t="shared" si="15"/>
        <v>33700.799999999996</v>
      </c>
      <c r="AF27" s="464"/>
      <c r="AG27" s="464"/>
      <c r="AH27" s="464"/>
      <c r="AI27" s="464"/>
      <c r="AJ27" s="464"/>
      <c r="AK27" s="464"/>
      <c r="AL27" s="464"/>
      <c r="AM27" s="464"/>
      <c r="AN27" s="464"/>
      <c r="AO27" s="464"/>
      <c r="AP27" s="464"/>
      <c r="AQ27" s="464"/>
      <c r="AR27" s="464"/>
      <c r="AS27" s="464"/>
      <c r="AT27" s="464"/>
      <c r="AU27" s="464"/>
      <c r="AV27" s="464"/>
      <c r="AW27" s="464"/>
      <c r="AX27" s="464"/>
      <c r="AY27" s="464"/>
      <c r="AZ27" s="464"/>
      <c r="BA27" s="464"/>
      <c r="BB27" s="464"/>
      <c r="BC27" s="464"/>
      <c r="BD27" s="464"/>
      <c r="BE27" s="464"/>
      <c r="BF27" s="464"/>
      <c r="BG27" s="464"/>
      <c r="BH27" s="464"/>
      <c r="BI27" s="464"/>
      <c r="BJ27" s="464"/>
      <c r="BK27" s="464"/>
      <c r="BL27" s="464"/>
      <c r="BM27" s="464"/>
      <c r="BN27" s="464"/>
      <c r="BO27" s="464"/>
      <c r="BP27" s="464"/>
      <c r="BQ27" s="464"/>
      <c r="BR27" s="464"/>
      <c r="BS27" s="464"/>
      <c r="BT27" s="464"/>
      <c r="BU27" s="464"/>
      <c r="BV27" s="464"/>
      <c r="BW27" s="464"/>
      <c r="BX27" s="464"/>
      <c r="BY27" s="464"/>
      <c r="BZ27" s="464"/>
      <c r="CA27" s="464"/>
      <c r="CB27" s="464"/>
      <c r="CC27" s="464"/>
      <c r="CD27" s="464"/>
      <c r="CE27" s="464"/>
      <c r="CF27" s="464"/>
      <c r="CG27" s="464"/>
      <c r="CH27" s="464"/>
      <c r="CI27" s="464"/>
      <c r="CJ27" s="464"/>
      <c r="CK27" s="464"/>
      <c r="CL27" s="464"/>
      <c r="CM27" s="464"/>
      <c r="CN27" s="464"/>
      <c r="CO27" s="464"/>
      <c r="CP27" s="464"/>
      <c r="CQ27" s="464"/>
      <c r="CR27" s="464"/>
      <c r="CS27" s="464"/>
      <c r="CT27" s="464"/>
      <c r="CU27" s="464"/>
      <c r="CV27" s="464"/>
      <c r="CW27" s="464"/>
      <c r="CX27" s="464"/>
      <c r="CY27" s="464"/>
      <c r="CZ27" s="464"/>
      <c r="DA27" s="464"/>
      <c r="DB27" s="464"/>
      <c r="DC27" s="464"/>
      <c r="DD27" s="464"/>
      <c r="DE27" s="464"/>
      <c r="DF27" s="464"/>
      <c r="DG27" s="464"/>
      <c r="DH27" s="464"/>
      <c r="DI27" s="464"/>
      <c r="DJ27" s="464"/>
      <c r="DK27" s="464"/>
      <c r="DL27" s="464"/>
      <c r="DM27" s="464"/>
      <c r="DN27" s="464"/>
      <c r="DO27" s="464"/>
      <c r="DP27" s="464"/>
      <c r="DQ27" s="464"/>
      <c r="DR27" s="464"/>
      <c r="DS27" s="464"/>
      <c r="DT27" s="464"/>
      <c r="DU27" s="464"/>
      <c r="DV27" s="464"/>
      <c r="DW27" s="464"/>
      <c r="DX27" s="464"/>
      <c r="DY27" s="464"/>
      <c r="DZ27" s="464"/>
      <c r="EA27" s="464"/>
      <c r="EB27" s="464"/>
      <c r="EC27" s="464"/>
      <c r="ED27" s="464"/>
      <c r="EE27" s="464"/>
      <c r="EF27" s="464"/>
      <c r="EG27" s="464"/>
      <c r="EH27" s="490"/>
      <c r="EI27" s="490"/>
      <c r="EJ27" s="464">
        <v>40000</v>
      </c>
      <c r="EK27" s="464">
        <f>+EJ27*E27</f>
        <v>40000</v>
      </c>
      <c r="EL27" s="464"/>
      <c r="EM27" s="464"/>
      <c r="EN27" s="464"/>
      <c r="EO27" s="464"/>
      <c r="EP27" s="464"/>
      <c r="EQ27" s="464"/>
      <c r="ER27" s="464"/>
      <c r="ES27" s="464"/>
      <c r="ET27" s="464"/>
      <c r="EU27" s="464"/>
      <c r="EV27" s="464"/>
      <c r="EW27" s="464"/>
      <c r="EX27" s="464"/>
      <c r="EY27" s="464"/>
      <c r="EZ27" s="464"/>
      <c r="FA27" s="464"/>
      <c r="FB27" s="464"/>
      <c r="FC27" s="464"/>
      <c r="FD27" s="464"/>
      <c r="FE27" s="464"/>
      <c r="FF27" s="472">
        <f>MEDIAN(V27,X27,EJ27)</f>
        <v>35000</v>
      </c>
      <c r="FG27" s="472">
        <f>AVERAGE(V27,X27,EJ27)</f>
        <v>33666.666666666664</v>
      </c>
      <c r="FH27" s="473">
        <f>STDEV(V27,X27,EJ27)</f>
        <v>7094.5988845975817</v>
      </c>
      <c r="FI27" s="476">
        <f t="shared" si="12"/>
        <v>0.21073065993854204</v>
      </c>
      <c r="FJ27" s="475">
        <f t="shared" si="13"/>
        <v>35000</v>
      </c>
      <c r="FK27" s="469">
        <f t="shared" si="18"/>
        <v>35000</v>
      </c>
      <c r="FL27" s="467" t="s">
        <v>632</v>
      </c>
      <c r="FM27" s="470"/>
    </row>
    <row r="28" spans="1:170" s="457" customFormat="1" ht="32.25" customHeight="1" x14ac:dyDescent="0.35">
      <c r="A28" s="458">
        <v>24</v>
      </c>
      <c r="B28" s="459" t="s">
        <v>667</v>
      </c>
      <c r="C28" s="460" t="s">
        <v>668</v>
      </c>
      <c r="D28" s="461" t="s">
        <v>620</v>
      </c>
      <c r="E28" s="458">
        <v>1</v>
      </c>
      <c r="F28" s="463"/>
      <c r="G28" s="463"/>
      <c r="H28" s="463"/>
      <c r="I28" s="463"/>
      <c r="J28" s="463"/>
      <c r="K28" s="463"/>
      <c r="L28" s="464"/>
      <c r="M28" s="464"/>
      <c r="N28" s="464"/>
      <c r="O28" s="464"/>
      <c r="P28" s="464"/>
      <c r="Q28" s="464"/>
      <c r="R28" s="464"/>
      <c r="S28" s="464"/>
      <c r="T28" s="464"/>
      <c r="U28" s="464"/>
      <c r="V28" s="464">
        <f>12000*6</f>
        <v>72000</v>
      </c>
      <c r="W28" s="464">
        <f t="shared" si="16"/>
        <v>72000</v>
      </c>
      <c r="X28" s="464">
        <f>10000*6</f>
        <v>60000</v>
      </c>
      <c r="Y28" s="464">
        <f t="shared" si="14"/>
        <v>60000</v>
      </c>
      <c r="Z28" s="464"/>
      <c r="AA28" s="464"/>
      <c r="AB28" s="464"/>
      <c r="AC28" s="464"/>
      <c r="AD28" s="463">
        <v>56168</v>
      </c>
      <c r="AE28" s="464">
        <f t="shared" si="15"/>
        <v>56168</v>
      </c>
      <c r="AF28" s="464"/>
      <c r="AG28" s="464"/>
      <c r="AH28" s="464"/>
      <c r="AI28" s="464"/>
      <c r="AJ28" s="464"/>
      <c r="AK28" s="464"/>
      <c r="AL28" s="464"/>
      <c r="AM28" s="464"/>
      <c r="AN28" s="464"/>
      <c r="AO28" s="464"/>
      <c r="AP28" s="464"/>
      <c r="AQ28" s="464"/>
      <c r="AR28" s="464"/>
      <c r="AS28" s="464"/>
      <c r="AT28" s="464"/>
      <c r="AU28" s="464"/>
      <c r="AV28" s="464"/>
      <c r="AW28" s="464"/>
      <c r="AX28" s="464"/>
      <c r="AY28" s="464"/>
      <c r="AZ28" s="464"/>
      <c r="BA28" s="464"/>
      <c r="BB28" s="464"/>
      <c r="BC28" s="464"/>
      <c r="BD28" s="464"/>
      <c r="BE28" s="464"/>
      <c r="BF28" s="464"/>
      <c r="BG28" s="464"/>
      <c r="BH28" s="464"/>
      <c r="BI28" s="464"/>
      <c r="BJ28" s="464"/>
      <c r="BK28" s="464"/>
      <c r="BL28" s="464"/>
      <c r="BM28" s="464"/>
      <c r="BN28" s="464"/>
      <c r="BO28" s="464"/>
      <c r="BP28" s="464"/>
      <c r="BQ28" s="464"/>
      <c r="BR28" s="464"/>
      <c r="BS28" s="464"/>
      <c r="BT28" s="464"/>
      <c r="BU28" s="464"/>
      <c r="BV28" s="464"/>
      <c r="BW28" s="464"/>
      <c r="BX28" s="464"/>
      <c r="BY28" s="464"/>
      <c r="BZ28" s="464"/>
      <c r="CA28" s="464"/>
      <c r="CB28" s="464"/>
      <c r="CC28" s="464"/>
      <c r="CD28" s="464"/>
      <c r="CE28" s="464"/>
      <c r="CF28" s="464"/>
      <c r="CG28" s="464"/>
      <c r="CH28" s="464"/>
      <c r="CI28" s="464"/>
      <c r="CJ28" s="464"/>
      <c r="CK28" s="464"/>
      <c r="CL28" s="464"/>
      <c r="CM28" s="464"/>
      <c r="CN28" s="464"/>
      <c r="CO28" s="464"/>
      <c r="CP28" s="464"/>
      <c r="CQ28" s="464"/>
      <c r="CR28" s="464"/>
      <c r="CS28" s="464"/>
      <c r="CT28" s="464"/>
      <c r="CU28" s="464"/>
      <c r="CV28" s="464"/>
      <c r="CW28" s="464"/>
      <c r="CX28" s="464"/>
      <c r="CY28" s="464"/>
      <c r="CZ28" s="464"/>
      <c r="DA28" s="464"/>
      <c r="DB28" s="464"/>
      <c r="DC28" s="464"/>
      <c r="DD28" s="464"/>
      <c r="DE28" s="464"/>
      <c r="DF28" s="464"/>
      <c r="DG28" s="464"/>
      <c r="DH28" s="464"/>
      <c r="DI28" s="464"/>
      <c r="DJ28" s="464"/>
      <c r="DK28" s="464"/>
      <c r="DL28" s="464"/>
      <c r="DM28" s="464"/>
      <c r="DN28" s="464"/>
      <c r="DO28" s="464"/>
      <c r="DP28" s="464"/>
      <c r="DQ28" s="464"/>
      <c r="DR28" s="464"/>
      <c r="DS28" s="464"/>
      <c r="DT28" s="464"/>
      <c r="DU28" s="464"/>
      <c r="DV28" s="464"/>
      <c r="DW28" s="464"/>
      <c r="DX28" s="464"/>
      <c r="DY28" s="464"/>
      <c r="DZ28" s="464"/>
      <c r="EA28" s="464"/>
      <c r="EB28" s="464"/>
      <c r="EC28" s="464"/>
      <c r="ED28" s="464"/>
      <c r="EE28" s="464"/>
      <c r="EF28" s="464"/>
      <c r="EG28" s="464"/>
      <c r="EH28" s="464"/>
      <c r="EI28" s="464"/>
      <c r="EJ28" s="464">
        <v>45000</v>
      </c>
      <c r="EK28" s="464">
        <f>+EJ28*E28</f>
        <v>45000</v>
      </c>
      <c r="EL28" s="464"/>
      <c r="EM28" s="464"/>
      <c r="EN28" s="464"/>
      <c r="EO28" s="464"/>
      <c r="EP28" s="464"/>
      <c r="EQ28" s="464"/>
      <c r="ER28" s="464"/>
      <c r="ES28" s="464"/>
      <c r="ET28" s="464"/>
      <c r="EU28" s="464"/>
      <c r="EV28" s="464"/>
      <c r="EW28" s="464"/>
      <c r="EX28" s="464"/>
      <c r="EY28" s="464"/>
      <c r="EZ28" s="464"/>
      <c r="FA28" s="464"/>
      <c r="FB28" s="464"/>
      <c r="FC28" s="464"/>
      <c r="FD28" s="464"/>
      <c r="FE28" s="464"/>
      <c r="FF28" s="472">
        <f>MEDIAN(V28,X28,AD28)</f>
        <v>60000</v>
      </c>
      <c r="FG28" s="472">
        <f>AVERAGE(V28,X28,AD28)</f>
        <v>62722.666666666664</v>
      </c>
      <c r="FH28" s="473">
        <f>STDEV(V28,X28,AD28)</f>
        <v>8259.705886612006</v>
      </c>
      <c r="FI28" s="476">
        <f t="shared" si="12"/>
        <v>0.13168614036305865</v>
      </c>
      <c r="FJ28" s="475">
        <f t="shared" si="13"/>
        <v>62723</v>
      </c>
      <c r="FK28" s="469">
        <f t="shared" si="18"/>
        <v>62723</v>
      </c>
      <c r="FL28" s="467" t="s">
        <v>621</v>
      </c>
      <c r="FM28" s="470"/>
    </row>
    <row r="29" spans="1:170" s="457" customFormat="1" ht="32.25" customHeight="1" x14ac:dyDescent="0.35">
      <c r="A29" s="458">
        <v>25</v>
      </c>
      <c r="B29" s="459" t="s">
        <v>669</v>
      </c>
      <c r="C29" s="460" t="s">
        <v>670</v>
      </c>
      <c r="D29" s="461" t="s">
        <v>620</v>
      </c>
      <c r="E29" s="458">
        <v>1</v>
      </c>
      <c r="F29" s="463"/>
      <c r="G29" s="463"/>
      <c r="H29" s="463"/>
      <c r="I29" s="463"/>
      <c r="J29" s="463"/>
      <c r="K29" s="463"/>
      <c r="L29" s="464"/>
      <c r="M29" s="464"/>
      <c r="N29" s="464"/>
      <c r="O29" s="464"/>
      <c r="P29" s="464"/>
      <c r="Q29" s="464"/>
      <c r="R29" s="464"/>
      <c r="S29" s="464"/>
      <c r="T29" s="464"/>
      <c r="U29" s="464"/>
      <c r="V29" s="464"/>
      <c r="W29" s="464">
        <f t="shared" si="16"/>
        <v>0</v>
      </c>
      <c r="X29" s="464">
        <v>7000</v>
      </c>
      <c r="Y29" s="464">
        <f t="shared" si="14"/>
        <v>7000</v>
      </c>
      <c r="Z29" s="464"/>
      <c r="AA29" s="464"/>
      <c r="AB29" s="464"/>
      <c r="AC29" s="464"/>
      <c r="AD29" s="463">
        <v>25275.599999999999</v>
      </c>
      <c r="AE29" s="464">
        <f t="shared" si="15"/>
        <v>25275.599999999999</v>
      </c>
      <c r="AF29" s="464"/>
      <c r="AG29" s="464"/>
      <c r="AH29" s="464"/>
      <c r="AI29" s="464"/>
      <c r="AJ29" s="464">
        <v>13000</v>
      </c>
      <c r="AK29" s="464">
        <f>+AJ29*E29</f>
        <v>13000</v>
      </c>
      <c r="AL29" s="464">
        <v>19000</v>
      </c>
      <c r="AM29" s="464">
        <f>+AL29*E29</f>
        <v>19000</v>
      </c>
      <c r="AN29" s="464">
        <v>20000</v>
      </c>
      <c r="AO29" s="464">
        <f>+AN29*E29</f>
        <v>20000</v>
      </c>
      <c r="AP29" s="464"/>
      <c r="AQ29" s="464"/>
      <c r="AR29" s="464"/>
      <c r="AS29" s="464"/>
      <c r="AT29" s="464"/>
      <c r="AU29" s="464"/>
      <c r="AV29" s="464"/>
      <c r="AW29" s="464"/>
      <c r="AX29" s="464"/>
      <c r="AY29" s="464"/>
      <c r="AZ29" s="464"/>
      <c r="BA29" s="464"/>
      <c r="BB29" s="464"/>
      <c r="BC29" s="464"/>
      <c r="BD29" s="464"/>
      <c r="BE29" s="464"/>
      <c r="BF29" s="464"/>
      <c r="BG29" s="464"/>
      <c r="BH29" s="464"/>
      <c r="BI29" s="464"/>
      <c r="BJ29" s="464"/>
      <c r="BK29" s="464"/>
      <c r="BL29" s="464"/>
      <c r="BM29" s="464"/>
      <c r="BN29" s="464"/>
      <c r="BO29" s="464"/>
      <c r="BP29" s="464"/>
      <c r="BQ29" s="464"/>
      <c r="BR29" s="464"/>
      <c r="BS29" s="464"/>
      <c r="BT29" s="464">
        <v>12000</v>
      </c>
      <c r="BU29" s="464">
        <f>+BT29*E29</f>
        <v>12000</v>
      </c>
      <c r="BV29" s="464"/>
      <c r="BW29" s="464"/>
      <c r="BX29" s="464"/>
      <c r="BY29" s="464"/>
      <c r="BZ29" s="464"/>
      <c r="CA29" s="464"/>
      <c r="CB29" s="464"/>
      <c r="CC29" s="464"/>
      <c r="CD29" s="464"/>
      <c r="CE29" s="464"/>
      <c r="CF29" s="464"/>
      <c r="CG29" s="464"/>
      <c r="CH29" s="464"/>
      <c r="CI29" s="464"/>
      <c r="CJ29" s="464"/>
      <c r="CK29" s="464"/>
      <c r="CL29" s="464"/>
      <c r="CM29" s="464"/>
      <c r="CN29" s="464"/>
      <c r="CO29" s="464"/>
      <c r="CP29" s="464"/>
      <c r="CQ29" s="464"/>
      <c r="CR29" s="464"/>
      <c r="CS29" s="464"/>
      <c r="CT29" s="464"/>
      <c r="CU29" s="464"/>
      <c r="CV29" s="464"/>
      <c r="CW29" s="464"/>
      <c r="CX29" s="464"/>
      <c r="CY29" s="464"/>
      <c r="CZ29" s="464"/>
      <c r="DA29" s="464"/>
      <c r="DB29" s="464"/>
      <c r="DC29" s="464"/>
      <c r="DD29" s="464"/>
      <c r="DE29" s="464"/>
      <c r="DF29" s="464"/>
      <c r="DG29" s="464"/>
      <c r="DH29" s="464"/>
      <c r="DI29" s="464"/>
      <c r="DJ29" s="464"/>
      <c r="DK29" s="464"/>
      <c r="DL29" s="464"/>
      <c r="DM29" s="464"/>
      <c r="DN29" s="464"/>
      <c r="DO29" s="464"/>
      <c r="DP29" s="464"/>
      <c r="DQ29" s="464"/>
      <c r="DR29" s="464"/>
      <c r="DS29" s="464"/>
      <c r="DT29" s="464"/>
      <c r="DU29" s="464"/>
      <c r="DV29" s="464"/>
      <c r="DW29" s="464"/>
      <c r="DX29" s="464"/>
      <c r="DY29" s="464"/>
      <c r="DZ29" s="464"/>
      <c r="EA29" s="464"/>
      <c r="EB29" s="464"/>
      <c r="EC29" s="464"/>
      <c r="ED29" s="464"/>
      <c r="EE29" s="464"/>
      <c r="EF29" s="464"/>
      <c r="EG29" s="464"/>
      <c r="EH29" s="464"/>
      <c r="EI29" s="464"/>
      <c r="EJ29" s="464">
        <v>20000</v>
      </c>
      <c r="EK29" s="464">
        <f t="shared" ref="EK29:EK31" si="19">+EJ29*E29</f>
        <v>20000</v>
      </c>
      <c r="EL29" s="464"/>
      <c r="EM29" s="464"/>
      <c r="EN29" s="464"/>
      <c r="EO29" s="464"/>
      <c r="EP29" s="464"/>
      <c r="EQ29" s="464"/>
      <c r="ER29" s="464"/>
      <c r="ES29" s="464"/>
      <c r="ET29" s="464"/>
      <c r="EU29" s="464"/>
      <c r="EV29" s="464"/>
      <c r="EW29" s="464"/>
      <c r="EX29" s="464"/>
      <c r="EY29" s="464"/>
      <c r="EZ29" s="464"/>
      <c r="FA29" s="464"/>
      <c r="FB29" s="464"/>
      <c r="FC29" s="464"/>
      <c r="FD29" s="464"/>
      <c r="FE29" s="464"/>
      <c r="FF29" s="472">
        <f>MEDIAN(AJ29,BT29)</f>
        <v>12500</v>
      </c>
      <c r="FG29" s="472">
        <f>AVERAGE(AJ29,BT29)</f>
        <v>12500</v>
      </c>
      <c r="FH29" s="473">
        <f>STDEV(AJ29,BT29)</f>
        <v>707.10678118654755</v>
      </c>
      <c r="FI29" s="476">
        <f t="shared" si="12"/>
        <v>5.6568542494923803E-2</v>
      </c>
      <c r="FJ29" s="475">
        <f t="shared" si="13"/>
        <v>12500</v>
      </c>
      <c r="FK29" s="469">
        <f t="shared" si="18"/>
        <v>12500</v>
      </c>
      <c r="FL29" s="467" t="s">
        <v>621</v>
      </c>
      <c r="FM29" s="470"/>
    </row>
    <row r="30" spans="1:170" s="457" customFormat="1" ht="32.25" customHeight="1" x14ac:dyDescent="0.35">
      <c r="A30" s="458">
        <v>26</v>
      </c>
      <c r="B30" s="459" t="s">
        <v>671</v>
      </c>
      <c r="C30" s="460" t="s">
        <v>672</v>
      </c>
      <c r="D30" s="461" t="s">
        <v>620</v>
      </c>
      <c r="E30" s="458">
        <v>1</v>
      </c>
      <c r="F30" s="463"/>
      <c r="G30" s="463"/>
      <c r="H30" s="463"/>
      <c r="I30" s="463"/>
      <c r="J30" s="463"/>
      <c r="K30" s="463"/>
      <c r="L30" s="464"/>
      <c r="M30" s="464"/>
      <c r="N30" s="464"/>
      <c r="O30" s="464"/>
      <c r="P30" s="464"/>
      <c r="Q30" s="464"/>
      <c r="R30" s="464"/>
      <c r="S30" s="464"/>
      <c r="T30" s="464"/>
      <c r="U30" s="464"/>
      <c r="V30" s="464">
        <v>10000</v>
      </c>
      <c r="W30" s="464">
        <f t="shared" si="16"/>
        <v>10000</v>
      </c>
      <c r="X30" s="464">
        <v>8000</v>
      </c>
      <c r="Y30" s="464">
        <f t="shared" si="14"/>
        <v>8000</v>
      </c>
      <c r="Z30" s="464"/>
      <c r="AA30" s="464"/>
      <c r="AB30" s="464"/>
      <c r="AC30" s="464"/>
      <c r="AD30" s="463">
        <v>21063</v>
      </c>
      <c r="AE30" s="464">
        <f t="shared" si="15"/>
        <v>21063</v>
      </c>
      <c r="AF30" s="464"/>
      <c r="AG30" s="464"/>
      <c r="AH30" s="464"/>
      <c r="AI30" s="464"/>
      <c r="AJ30" s="464">
        <v>9000</v>
      </c>
      <c r="AK30" s="464">
        <f>+AJ30*E30</f>
        <v>9000</v>
      </c>
      <c r="AL30" s="464"/>
      <c r="AM30" s="464"/>
      <c r="AN30" s="464"/>
      <c r="AO30" s="464"/>
      <c r="AP30" s="464"/>
      <c r="AQ30" s="464"/>
      <c r="AR30" s="464"/>
      <c r="AS30" s="464"/>
      <c r="AT30" s="464"/>
      <c r="AU30" s="464"/>
      <c r="AV30" s="464"/>
      <c r="AW30" s="464"/>
      <c r="AX30" s="464"/>
      <c r="AY30" s="464"/>
      <c r="AZ30" s="464"/>
      <c r="BA30" s="464"/>
      <c r="BB30" s="464"/>
      <c r="BC30" s="464"/>
      <c r="BD30" s="464"/>
      <c r="BE30" s="464"/>
      <c r="BF30" s="464"/>
      <c r="BG30" s="464"/>
      <c r="BH30" s="464"/>
      <c r="BI30" s="464"/>
      <c r="BJ30" s="464"/>
      <c r="BK30" s="464"/>
      <c r="BL30" s="464"/>
      <c r="BM30" s="464"/>
      <c r="BN30" s="464"/>
      <c r="BO30" s="464"/>
      <c r="BP30" s="464"/>
      <c r="BQ30" s="464"/>
      <c r="BR30" s="464"/>
      <c r="BS30" s="464"/>
      <c r="BT30" s="464"/>
      <c r="BU30" s="464"/>
      <c r="BV30" s="464"/>
      <c r="BW30" s="464"/>
      <c r="BX30" s="464"/>
      <c r="BY30" s="464"/>
      <c r="BZ30" s="464"/>
      <c r="CA30" s="464"/>
      <c r="CB30" s="464"/>
      <c r="CC30" s="464"/>
      <c r="CD30" s="464"/>
      <c r="CE30" s="464"/>
      <c r="CF30" s="464"/>
      <c r="CG30" s="464"/>
      <c r="CH30" s="464"/>
      <c r="CI30" s="464"/>
      <c r="CJ30" s="464"/>
      <c r="CK30" s="464"/>
      <c r="CL30" s="464"/>
      <c r="CM30" s="464"/>
      <c r="CN30" s="464"/>
      <c r="CO30" s="464"/>
      <c r="CP30" s="464"/>
      <c r="CQ30" s="464"/>
      <c r="CR30" s="464"/>
      <c r="CS30" s="464"/>
      <c r="CT30" s="464"/>
      <c r="CU30" s="464"/>
      <c r="CV30" s="464"/>
      <c r="CW30" s="464"/>
      <c r="CX30" s="464"/>
      <c r="CY30" s="464"/>
      <c r="CZ30" s="464"/>
      <c r="DA30" s="464"/>
      <c r="DB30" s="464"/>
      <c r="DC30" s="464"/>
      <c r="DD30" s="464"/>
      <c r="DE30" s="464"/>
      <c r="DF30" s="464"/>
      <c r="DG30" s="464"/>
      <c r="DH30" s="464"/>
      <c r="DI30" s="464"/>
      <c r="DJ30" s="464"/>
      <c r="DK30" s="464"/>
      <c r="DL30" s="464"/>
      <c r="DM30" s="464"/>
      <c r="DN30" s="464"/>
      <c r="DO30" s="464"/>
      <c r="DP30" s="464"/>
      <c r="DQ30" s="464"/>
      <c r="DR30" s="464"/>
      <c r="DS30" s="464"/>
      <c r="DT30" s="464"/>
      <c r="DU30" s="464"/>
      <c r="DV30" s="464"/>
      <c r="DW30" s="464"/>
      <c r="DX30" s="464"/>
      <c r="DY30" s="464"/>
      <c r="DZ30" s="464"/>
      <c r="EA30" s="464"/>
      <c r="EB30" s="464"/>
      <c r="EC30" s="464"/>
      <c r="ED30" s="464"/>
      <c r="EE30" s="464"/>
      <c r="EF30" s="464"/>
      <c r="EG30" s="464"/>
      <c r="EH30" s="464"/>
      <c r="EI30" s="464"/>
      <c r="EJ30" s="464">
        <v>15000</v>
      </c>
      <c r="EK30" s="464">
        <f t="shared" si="19"/>
        <v>15000</v>
      </c>
      <c r="EL30" s="464"/>
      <c r="EM30" s="464"/>
      <c r="EN30" s="464"/>
      <c r="EO30" s="464"/>
      <c r="EP30" s="464"/>
      <c r="EQ30" s="464"/>
      <c r="ER30" s="464"/>
      <c r="ES30" s="464"/>
      <c r="ET30" s="464"/>
      <c r="EU30" s="464"/>
      <c r="EV30" s="464"/>
      <c r="EW30" s="464"/>
      <c r="EX30" s="464"/>
      <c r="EY30" s="464"/>
      <c r="EZ30" s="464"/>
      <c r="FA30" s="464"/>
      <c r="FB30" s="464"/>
      <c r="FC30" s="464"/>
      <c r="FD30" s="464"/>
      <c r="FE30" s="464"/>
      <c r="FF30" s="472">
        <f>MEDIAN(V30,X30,AJ30)</f>
        <v>9000</v>
      </c>
      <c r="FG30" s="472">
        <f>AVERAGE(V30,X30,AJ30)</f>
        <v>9000</v>
      </c>
      <c r="FH30" s="473">
        <f>STDEV(V30,X30,AJ30)</f>
        <v>1000</v>
      </c>
      <c r="FI30" s="476">
        <f t="shared" si="12"/>
        <v>0.1111111111111111</v>
      </c>
      <c r="FJ30" s="475">
        <f t="shared" si="13"/>
        <v>9000</v>
      </c>
      <c r="FK30" s="469">
        <f t="shared" si="18"/>
        <v>9000</v>
      </c>
      <c r="FL30" s="467" t="s">
        <v>621</v>
      </c>
      <c r="FM30" s="470"/>
    </row>
    <row r="31" spans="1:170" s="457" customFormat="1" ht="32.25" customHeight="1" x14ac:dyDescent="0.35">
      <c r="A31" s="458">
        <v>27</v>
      </c>
      <c r="B31" s="459" t="s">
        <v>673</v>
      </c>
      <c r="C31" s="460" t="s">
        <v>674</v>
      </c>
      <c r="D31" s="461" t="s">
        <v>620</v>
      </c>
      <c r="E31" s="458">
        <v>1</v>
      </c>
      <c r="F31" s="463">
        <v>140000</v>
      </c>
      <c r="G31" s="463">
        <f>+F31*E31</f>
        <v>140000</v>
      </c>
      <c r="H31" s="463"/>
      <c r="I31" s="463"/>
      <c r="J31" s="463"/>
      <c r="K31" s="463"/>
      <c r="L31" s="464"/>
      <c r="M31" s="464"/>
      <c r="N31" s="464"/>
      <c r="O31" s="464"/>
      <c r="P31" s="464"/>
      <c r="Q31" s="464"/>
      <c r="R31" s="464"/>
      <c r="S31" s="464"/>
      <c r="T31" s="464"/>
      <c r="U31" s="464"/>
      <c r="V31" s="464"/>
      <c r="W31" s="464"/>
      <c r="X31" s="464"/>
      <c r="Y31" s="464"/>
      <c r="Z31" s="464"/>
      <c r="AA31" s="464"/>
      <c r="AB31" s="464"/>
      <c r="AC31" s="464"/>
      <c r="AD31" s="463">
        <v>42126</v>
      </c>
      <c r="AE31" s="464">
        <f t="shared" si="15"/>
        <v>42126</v>
      </c>
      <c r="AF31" s="464"/>
      <c r="AG31" s="464"/>
      <c r="AH31" s="464"/>
      <c r="AI31" s="464"/>
      <c r="AJ31" s="464"/>
      <c r="AK31" s="464"/>
      <c r="AL31" s="464"/>
      <c r="AM31" s="464"/>
      <c r="AN31" s="464"/>
      <c r="AO31" s="464"/>
      <c r="AP31" s="464"/>
      <c r="AQ31" s="464"/>
      <c r="AR31" s="464"/>
      <c r="AS31" s="464"/>
      <c r="AT31" s="464"/>
      <c r="AU31" s="464"/>
      <c r="AV31" s="464"/>
      <c r="AW31" s="464"/>
      <c r="AX31" s="464"/>
      <c r="AY31" s="464"/>
      <c r="AZ31" s="464"/>
      <c r="BA31" s="464"/>
      <c r="BB31" s="464"/>
      <c r="BC31" s="464"/>
      <c r="BD31" s="464"/>
      <c r="BE31" s="464"/>
      <c r="BF31" s="464"/>
      <c r="BG31" s="464"/>
      <c r="BH31" s="464"/>
      <c r="BI31" s="464"/>
      <c r="BJ31" s="464"/>
      <c r="BK31" s="464"/>
      <c r="BL31" s="464"/>
      <c r="BM31" s="464"/>
      <c r="BN31" s="464"/>
      <c r="BO31" s="464"/>
      <c r="BP31" s="464"/>
      <c r="BQ31" s="464"/>
      <c r="BR31" s="464"/>
      <c r="BS31" s="464"/>
      <c r="BT31" s="464"/>
      <c r="BU31" s="464"/>
      <c r="BV31" s="464"/>
      <c r="BW31" s="464"/>
      <c r="BX31" s="464"/>
      <c r="BY31" s="464"/>
      <c r="BZ31" s="464"/>
      <c r="CA31" s="464"/>
      <c r="CB31" s="464"/>
      <c r="CC31" s="464"/>
      <c r="CD31" s="464"/>
      <c r="CE31" s="464"/>
      <c r="CF31" s="464"/>
      <c r="CG31" s="464"/>
      <c r="CH31" s="464"/>
      <c r="CI31" s="464"/>
      <c r="CJ31" s="464"/>
      <c r="CK31" s="464"/>
      <c r="CL31" s="464"/>
      <c r="CM31" s="464"/>
      <c r="CN31" s="464"/>
      <c r="CO31" s="464"/>
      <c r="CP31" s="464"/>
      <c r="CQ31" s="464"/>
      <c r="CR31" s="464">
        <v>57546</v>
      </c>
      <c r="CS31" s="464">
        <f>+CR31*E31</f>
        <v>57546</v>
      </c>
      <c r="CT31" s="464"/>
      <c r="CU31" s="464"/>
      <c r="CV31" s="464"/>
      <c r="CW31" s="464"/>
      <c r="CX31" s="464"/>
      <c r="CY31" s="464"/>
      <c r="CZ31" s="464"/>
      <c r="DA31" s="464"/>
      <c r="DB31" s="464"/>
      <c r="DC31" s="464"/>
      <c r="DD31" s="464"/>
      <c r="DE31" s="464"/>
      <c r="DF31" s="464"/>
      <c r="DG31" s="464"/>
      <c r="DH31" s="464"/>
      <c r="DI31" s="464"/>
      <c r="DJ31" s="464"/>
      <c r="DK31" s="464"/>
      <c r="DL31" s="464"/>
      <c r="DM31" s="464"/>
      <c r="DN31" s="464"/>
      <c r="DO31" s="464"/>
      <c r="DP31" s="464"/>
      <c r="DQ31" s="464"/>
      <c r="DR31" s="464"/>
      <c r="DS31" s="464"/>
      <c r="DT31" s="464"/>
      <c r="DU31" s="464"/>
      <c r="DV31" s="464"/>
      <c r="DW31" s="464"/>
      <c r="DX31" s="464"/>
      <c r="DY31" s="464"/>
      <c r="DZ31" s="464"/>
      <c r="EA31" s="464"/>
      <c r="EB31" s="464"/>
      <c r="EC31" s="464"/>
      <c r="ED31" s="464"/>
      <c r="EE31" s="464"/>
      <c r="EF31" s="464"/>
      <c r="EG31" s="464"/>
      <c r="EH31" s="464"/>
      <c r="EI31" s="464"/>
      <c r="EJ31" s="464">
        <v>80000</v>
      </c>
      <c r="EK31" s="464">
        <f t="shared" si="19"/>
        <v>80000</v>
      </c>
      <c r="EL31" s="464"/>
      <c r="EM31" s="464"/>
      <c r="EN31" s="464"/>
      <c r="EO31" s="464"/>
      <c r="EP31" s="464"/>
      <c r="EQ31" s="464"/>
      <c r="ER31" s="464"/>
      <c r="ES31" s="464"/>
      <c r="ET31" s="464"/>
      <c r="EU31" s="464"/>
      <c r="EV31" s="464"/>
      <c r="EW31" s="464"/>
      <c r="EX31" s="464"/>
      <c r="EY31" s="464"/>
      <c r="EZ31" s="464"/>
      <c r="FA31" s="464"/>
      <c r="FB31" s="464"/>
      <c r="FC31" s="464"/>
      <c r="FD31" s="464"/>
      <c r="FE31" s="464"/>
      <c r="FF31" s="472">
        <f>MEDIAN(AD31,CR31)</f>
        <v>49836</v>
      </c>
      <c r="FG31" s="472">
        <f>AVERAGE(AD31,CR31)</f>
        <v>49836</v>
      </c>
      <c r="FH31" s="473">
        <f>STDEV(AD31,CR31)</f>
        <v>10903.586565896563</v>
      </c>
      <c r="FI31" s="476">
        <f t="shared" si="12"/>
        <v>0.21878936042010921</v>
      </c>
      <c r="FJ31" s="475">
        <f t="shared" si="13"/>
        <v>49836</v>
      </c>
      <c r="FK31" s="469">
        <f t="shared" si="18"/>
        <v>49836</v>
      </c>
      <c r="FL31" s="467" t="s">
        <v>632</v>
      </c>
      <c r="FM31" s="470"/>
    </row>
    <row r="32" spans="1:170" s="457" customFormat="1" ht="32.25" customHeight="1" x14ac:dyDescent="0.35">
      <c r="A32" s="458">
        <v>28</v>
      </c>
      <c r="B32" s="459" t="s">
        <v>675</v>
      </c>
      <c r="C32" s="460" t="s">
        <v>676</v>
      </c>
      <c r="D32" s="461" t="s">
        <v>620</v>
      </c>
      <c r="E32" s="458">
        <v>1</v>
      </c>
      <c r="F32" s="463"/>
      <c r="G32" s="463"/>
      <c r="H32" s="463"/>
      <c r="I32" s="463"/>
      <c r="J32" s="463"/>
      <c r="K32" s="463"/>
      <c r="L32" s="464"/>
      <c r="M32" s="464"/>
      <c r="N32" s="464"/>
      <c r="O32" s="464"/>
      <c r="P32" s="464"/>
      <c r="Q32" s="464"/>
      <c r="R32" s="464"/>
      <c r="S32" s="464"/>
      <c r="T32" s="464"/>
      <c r="U32" s="464"/>
      <c r="V32" s="464"/>
      <c r="W32" s="464"/>
      <c r="X32" s="464"/>
      <c r="Y32" s="464"/>
      <c r="Z32" s="464"/>
      <c r="AA32" s="464"/>
      <c r="AB32" s="464"/>
      <c r="AC32" s="464"/>
      <c r="AD32" s="463">
        <v>141122.1</v>
      </c>
      <c r="AE32" s="464">
        <f t="shared" si="15"/>
        <v>141122.1</v>
      </c>
      <c r="AF32" s="464"/>
      <c r="AG32" s="464"/>
      <c r="AH32" s="464"/>
      <c r="AI32" s="464"/>
      <c r="AJ32" s="464"/>
      <c r="AK32" s="464"/>
      <c r="AL32" s="464"/>
      <c r="AM32" s="464"/>
      <c r="AN32" s="464"/>
      <c r="AO32" s="464"/>
      <c r="AP32" s="464"/>
      <c r="AQ32" s="464"/>
      <c r="AR32" s="464"/>
      <c r="AS32" s="464"/>
      <c r="AT32" s="464"/>
      <c r="AU32" s="464"/>
      <c r="AV32" s="464"/>
      <c r="AW32" s="464"/>
      <c r="AX32" s="464"/>
      <c r="AY32" s="464"/>
      <c r="AZ32" s="464"/>
      <c r="BA32" s="464"/>
      <c r="BB32" s="464"/>
      <c r="BC32" s="464"/>
      <c r="BD32" s="464"/>
      <c r="BE32" s="464"/>
      <c r="BF32" s="464"/>
      <c r="BG32" s="464"/>
      <c r="BH32" s="464"/>
      <c r="BI32" s="464"/>
      <c r="BJ32" s="464"/>
      <c r="BK32" s="464"/>
      <c r="BL32" s="464"/>
      <c r="BM32" s="464"/>
      <c r="BN32" s="464"/>
      <c r="BO32" s="464"/>
      <c r="BP32" s="464"/>
      <c r="BQ32" s="464"/>
      <c r="BR32" s="464"/>
      <c r="BS32" s="464"/>
      <c r="BT32" s="464"/>
      <c r="BU32" s="464"/>
      <c r="BV32" s="464"/>
      <c r="BW32" s="464"/>
      <c r="BX32" s="464"/>
      <c r="BY32" s="464"/>
      <c r="BZ32" s="464"/>
      <c r="CA32" s="464"/>
      <c r="CB32" s="464">
        <v>150000</v>
      </c>
      <c r="CC32" s="464">
        <f>+CB32*E32</f>
        <v>150000</v>
      </c>
      <c r="CD32" s="464">
        <v>135000</v>
      </c>
      <c r="CE32" s="464">
        <f>+CD32*E32</f>
        <v>135000</v>
      </c>
      <c r="CF32" s="464"/>
      <c r="CG32" s="464"/>
      <c r="CH32" s="464"/>
      <c r="CI32" s="464"/>
      <c r="CJ32" s="464"/>
      <c r="CK32" s="464"/>
      <c r="CL32" s="464"/>
      <c r="CM32" s="464"/>
      <c r="CN32" s="464"/>
      <c r="CO32" s="464"/>
      <c r="CP32" s="464"/>
      <c r="CQ32" s="464"/>
      <c r="CR32" s="464"/>
      <c r="CS32" s="464"/>
      <c r="CT32" s="464"/>
      <c r="CU32" s="464"/>
      <c r="CV32" s="464"/>
      <c r="CW32" s="464"/>
      <c r="CX32" s="464"/>
      <c r="CY32" s="464"/>
      <c r="CZ32" s="464"/>
      <c r="DA32" s="464"/>
      <c r="DB32" s="464"/>
      <c r="DC32" s="464"/>
      <c r="DD32" s="464"/>
      <c r="DE32" s="464"/>
      <c r="DF32" s="464"/>
      <c r="DG32" s="464"/>
      <c r="DH32" s="464"/>
      <c r="DI32" s="464"/>
      <c r="DJ32" s="464"/>
      <c r="DK32" s="464"/>
      <c r="DL32" s="464"/>
      <c r="DM32" s="464"/>
      <c r="DN32" s="464"/>
      <c r="DO32" s="464"/>
      <c r="DP32" s="464"/>
      <c r="DQ32" s="464"/>
      <c r="DR32" s="464"/>
      <c r="DS32" s="464"/>
      <c r="DT32" s="464"/>
      <c r="DU32" s="464"/>
      <c r="DV32" s="464"/>
      <c r="DW32" s="464"/>
      <c r="DX32" s="464"/>
      <c r="DY32" s="464"/>
      <c r="DZ32" s="464"/>
      <c r="EA32" s="464"/>
      <c r="EB32" s="464"/>
      <c r="EC32" s="464"/>
      <c r="ED32" s="464"/>
      <c r="EE32" s="464"/>
      <c r="EF32" s="464"/>
      <c r="EG32" s="464"/>
      <c r="EH32" s="464"/>
      <c r="EI32" s="464"/>
      <c r="EJ32" s="464"/>
      <c r="EK32" s="464"/>
      <c r="EL32" s="464"/>
      <c r="EM32" s="464"/>
      <c r="EN32" s="464"/>
      <c r="EO32" s="464"/>
      <c r="EP32" s="464"/>
      <c r="EQ32" s="464"/>
      <c r="ER32" s="464"/>
      <c r="ES32" s="464"/>
      <c r="ET32" s="464"/>
      <c r="EU32" s="464"/>
      <c r="EV32" s="464"/>
      <c r="EW32" s="464"/>
      <c r="EX32" s="464"/>
      <c r="EY32" s="464"/>
      <c r="EZ32" s="464"/>
      <c r="FA32" s="464"/>
      <c r="FB32" s="464"/>
      <c r="FC32" s="464"/>
      <c r="FD32" s="464"/>
      <c r="FE32" s="464"/>
      <c r="FF32" s="472">
        <f>MEDIAN(CB32,CD32)</f>
        <v>142500</v>
      </c>
      <c r="FG32" s="472">
        <f>AVERAGE(CB32,CD32)</f>
        <v>142500</v>
      </c>
      <c r="FH32" s="473">
        <f>STDEV(CB32,CD32)</f>
        <v>10606.601717798212</v>
      </c>
      <c r="FI32" s="476">
        <f t="shared" si="12"/>
        <v>7.4432292756478682E-2</v>
      </c>
      <c r="FJ32" s="475">
        <f t="shared" si="13"/>
        <v>142500</v>
      </c>
      <c r="FK32" s="469">
        <f t="shared" si="18"/>
        <v>142500</v>
      </c>
      <c r="FL32" s="467" t="s">
        <v>621</v>
      </c>
      <c r="FM32" s="470"/>
    </row>
    <row r="33" spans="1:169" s="457" customFormat="1" ht="32.25" customHeight="1" x14ac:dyDescent="0.35">
      <c r="A33" s="458">
        <v>29</v>
      </c>
      <c r="B33" s="459" t="s">
        <v>677</v>
      </c>
      <c r="C33" s="460" t="s">
        <v>678</v>
      </c>
      <c r="D33" s="461" t="s">
        <v>620</v>
      </c>
      <c r="E33" s="458">
        <v>1</v>
      </c>
      <c r="F33" s="463"/>
      <c r="G33" s="463"/>
      <c r="H33" s="463"/>
      <c r="I33" s="463"/>
      <c r="J33" s="463"/>
      <c r="K33" s="463"/>
      <c r="L33" s="464"/>
      <c r="M33" s="464"/>
      <c r="N33" s="464"/>
      <c r="O33" s="464"/>
      <c r="P33" s="464"/>
      <c r="Q33" s="464"/>
      <c r="R33" s="464"/>
      <c r="S33" s="464"/>
      <c r="T33" s="464"/>
      <c r="U33" s="464"/>
      <c r="V33" s="464"/>
      <c r="W33" s="464"/>
      <c r="X33" s="464"/>
      <c r="Y33" s="464"/>
      <c r="Z33" s="464"/>
      <c r="AA33" s="464"/>
      <c r="AB33" s="464"/>
      <c r="AC33" s="464"/>
      <c r="AD33" s="463"/>
      <c r="AE33" s="464"/>
      <c r="AF33" s="464"/>
      <c r="AG33" s="464"/>
      <c r="AH33" s="464"/>
      <c r="AI33" s="464"/>
      <c r="AJ33" s="464"/>
      <c r="AK33" s="464"/>
      <c r="AL33" s="464"/>
      <c r="AM33" s="464"/>
      <c r="AN33" s="464"/>
      <c r="AO33" s="464"/>
      <c r="AP33" s="464"/>
      <c r="AQ33" s="464"/>
      <c r="AR33" s="464"/>
      <c r="AS33" s="464"/>
      <c r="AT33" s="464"/>
      <c r="AU33" s="464"/>
      <c r="AV33" s="464"/>
      <c r="AW33" s="464"/>
      <c r="AX33" s="464"/>
      <c r="AY33" s="464"/>
      <c r="AZ33" s="464"/>
      <c r="BA33" s="464"/>
      <c r="BB33" s="464"/>
      <c r="BC33" s="464"/>
      <c r="BD33" s="464"/>
      <c r="BE33" s="464"/>
      <c r="BF33" s="464"/>
      <c r="BG33" s="464"/>
      <c r="BH33" s="464"/>
      <c r="BI33" s="464"/>
      <c r="BJ33" s="464"/>
      <c r="BK33" s="464"/>
      <c r="BL33" s="464"/>
      <c r="BM33" s="464"/>
      <c r="BN33" s="464"/>
      <c r="BO33" s="464"/>
      <c r="BP33" s="464"/>
      <c r="BQ33" s="464"/>
      <c r="BR33" s="464"/>
      <c r="BS33" s="464"/>
      <c r="BT33" s="464"/>
      <c r="BU33" s="464"/>
      <c r="BV33" s="464"/>
      <c r="BW33" s="464"/>
      <c r="BX33" s="464"/>
      <c r="BY33" s="464"/>
      <c r="BZ33" s="464"/>
      <c r="CA33" s="464"/>
      <c r="CB33" s="464"/>
      <c r="CC33" s="464"/>
      <c r="CD33" s="464"/>
      <c r="CE33" s="464"/>
      <c r="CF33" s="464"/>
      <c r="CG33" s="464"/>
      <c r="CH33" s="464"/>
      <c r="CI33" s="464"/>
      <c r="CJ33" s="464"/>
      <c r="CK33" s="464"/>
      <c r="CL33" s="464"/>
      <c r="CM33" s="464"/>
      <c r="CN33" s="464"/>
      <c r="CO33" s="464"/>
      <c r="CP33" s="464"/>
      <c r="CQ33" s="464"/>
      <c r="CR33" s="464"/>
      <c r="CS33" s="464"/>
      <c r="CT33" s="464"/>
      <c r="CU33" s="464"/>
      <c r="CV33" s="464"/>
      <c r="CW33" s="464"/>
      <c r="CX33" s="464"/>
      <c r="CY33" s="464"/>
      <c r="CZ33" s="464">
        <v>289900</v>
      </c>
      <c r="DA33" s="464">
        <f>+CZ33*E33</f>
        <v>289900</v>
      </c>
      <c r="DB33" s="464">
        <v>200000</v>
      </c>
      <c r="DC33" s="464">
        <f>+DB33*E33</f>
        <v>200000</v>
      </c>
      <c r="DD33" s="464">
        <v>200000</v>
      </c>
      <c r="DE33" s="464">
        <f>+DD33*E33</f>
        <v>200000</v>
      </c>
      <c r="DF33" s="464"/>
      <c r="DG33" s="464"/>
      <c r="DH33" s="464"/>
      <c r="DI33" s="464"/>
      <c r="DJ33" s="464"/>
      <c r="DK33" s="464"/>
      <c r="DL33" s="464"/>
      <c r="DM33" s="464"/>
      <c r="DN33" s="464"/>
      <c r="DO33" s="464"/>
      <c r="DP33" s="464"/>
      <c r="DQ33" s="464"/>
      <c r="DR33" s="464"/>
      <c r="DS33" s="464"/>
      <c r="DT33" s="464"/>
      <c r="DU33" s="464"/>
      <c r="DV33" s="464"/>
      <c r="DW33" s="464"/>
      <c r="DX33" s="464"/>
      <c r="DY33" s="464"/>
      <c r="DZ33" s="464"/>
      <c r="EA33" s="464"/>
      <c r="EB33" s="464"/>
      <c r="EC33" s="464"/>
      <c r="ED33" s="464"/>
      <c r="EE33" s="464"/>
      <c r="EF33" s="464"/>
      <c r="EG33" s="464"/>
      <c r="EH33" s="464"/>
      <c r="EI33" s="464"/>
      <c r="EJ33" s="464"/>
      <c r="EK33" s="464"/>
      <c r="EL33" s="464"/>
      <c r="EM33" s="464"/>
      <c r="EN33" s="464"/>
      <c r="EO33" s="464"/>
      <c r="EP33" s="464"/>
      <c r="EQ33" s="464"/>
      <c r="ER33" s="464"/>
      <c r="ES33" s="464"/>
      <c r="ET33" s="464"/>
      <c r="EU33" s="464"/>
      <c r="EV33" s="464"/>
      <c r="EW33" s="464"/>
      <c r="EX33" s="464"/>
      <c r="EY33" s="464"/>
      <c r="EZ33" s="464"/>
      <c r="FA33" s="464"/>
      <c r="FB33" s="464"/>
      <c r="FC33" s="464"/>
      <c r="FD33" s="464"/>
      <c r="FE33" s="464"/>
      <c r="FF33" s="472">
        <f>MEDIAN(DB33,DD33)</f>
        <v>200000</v>
      </c>
      <c r="FG33" s="472">
        <f>AVERAGE(DB33,DD33)</f>
        <v>200000</v>
      </c>
      <c r="FH33" s="473">
        <f>STDEV(DB33,DD33)</f>
        <v>0</v>
      </c>
      <c r="FI33" s="476">
        <f t="shared" si="12"/>
        <v>0</v>
      </c>
      <c r="FJ33" s="475">
        <f t="shared" si="13"/>
        <v>200000</v>
      </c>
      <c r="FK33" s="469">
        <f t="shared" si="18"/>
        <v>200000</v>
      </c>
      <c r="FL33" s="467" t="s">
        <v>632</v>
      </c>
      <c r="FM33" s="470"/>
    </row>
    <row r="34" spans="1:169" s="457" customFormat="1" ht="32.5" customHeight="1" x14ac:dyDescent="0.35">
      <c r="A34" s="458">
        <v>30</v>
      </c>
      <c r="B34" s="459" t="s">
        <v>679</v>
      </c>
      <c r="C34" s="460" t="s">
        <v>680</v>
      </c>
      <c r="D34" s="461" t="s">
        <v>620</v>
      </c>
      <c r="E34" s="458">
        <v>1</v>
      </c>
      <c r="F34" s="463"/>
      <c r="G34" s="463"/>
      <c r="H34" s="463"/>
      <c r="I34" s="463"/>
      <c r="J34" s="463"/>
      <c r="K34" s="463"/>
      <c r="L34" s="464"/>
      <c r="M34" s="464"/>
      <c r="N34" s="464"/>
      <c r="O34" s="464"/>
      <c r="P34" s="464"/>
      <c r="Q34" s="464"/>
      <c r="R34" s="464"/>
      <c r="S34" s="464"/>
      <c r="T34" s="464"/>
      <c r="U34" s="464"/>
      <c r="V34" s="464"/>
      <c r="W34" s="464"/>
      <c r="X34" s="464"/>
      <c r="Y34" s="464"/>
      <c r="Z34" s="464"/>
      <c r="AA34" s="464"/>
      <c r="AB34" s="464"/>
      <c r="AC34" s="464"/>
      <c r="AD34" s="463">
        <v>53938.130399999995</v>
      </c>
      <c r="AE34" s="464">
        <f t="shared" ref="AE34:AE35" si="20">+AD34*E34</f>
        <v>53938.130399999995</v>
      </c>
      <c r="AF34" s="464"/>
      <c r="AG34" s="464"/>
      <c r="AH34" s="464"/>
      <c r="AI34" s="464"/>
      <c r="AJ34" s="464"/>
      <c r="AK34" s="464"/>
      <c r="AL34" s="464"/>
      <c r="AM34" s="464"/>
      <c r="AN34" s="464"/>
      <c r="AO34" s="464"/>
      <c r="AP34" s="464"/>
      <c r="AQ34" s="464"/>
      <c r="AR34" s="464"/>
      <c r="AS34" s="464"/>
      <c r="AT34" s="464"/>
      <c r="AU34" s="464"/>
      <c r="AV34" s="464"/>
      <c r="AW34" s="464"/>
      <c r="AX34" s="464"/>
      <c r="AY34" s="464"/>
      <c r="AZ34" s="464"/>
      <c r="BA34" s="464"/>
      <c r="BB34" s="464"/>
      <c r="BC34" s="464"/>
      <c r="BD34" s="464"/>
      <c r="BE34" s="464"/>
      <c r="BF34" s="464"/>
      <c r="BG34" s="464"/>
      <c r="BH34" s="464"/>
      <c r="BI34" s="464"/>
      <c r="BJ34" s="464"/>
      <c r="BK34" s="464"/>
      <c r="BL34" s="464"/>
      <c r="BM34" s="464"/>
      <c r="BN34" s="464"/>
      <c r="BO34" s="464"/>
      <c r="BP34" s="464"/>
      <c r="BQ34" s="464"/>
      <c r="BR34" s="464"/>
      <c r="BS34" s="464"/>
      <c r="BT34" s="464"/>
      <c r="BU34" s="464"/>
      <c r="BV34" s="464"/>
      <c r="BW34" s="464"/>
      <c r="BX34" s="464">
        <v>70000</v>
      </c>
      <c r="BY34" s="464">
        <f>+BX34*E34</f>
        <v>70000</v>
      </c>
      <c r="BZ34" s="464"/>
      <c r="CA34" s="464"/>
      <c r="CB34" s="464"/>
      <c r="CC34" s="464"/>
      <c r="CD34" s="464"/>
      <c r="CE34" s="464"/>
      <c r="CF34" s="464">
        <v>85000</v>
      </c>
      <c r="CG34" s="464">
        <f>+CF34*E34</f>
        <v>85000</v>
      </c>
      <c r="CH34" s="464"/>
      <c r="CI34" s="464"/>
      <c r="CJ34" s="464"/>
      <c r="CK34" s="464"/>
      <c r="CL34" s="464"/>
      <c r="CM34" s="464"/>
      <c r="CN34" s="464"/>
      <c r="CO34" s="464"/>
      <c r="CP34" s="464"/>
      <c r="CQ34" s="464"/>
      <c r="CR34" s="464"/>
      <c r="CS34" s="464"/>
      <c r="CT34" s="464"/>
      <c r="CU34" s="464"/>
      <c r="CV34" s="464"/>
      <c r="CW34" s="464"/>
      <c r="CX34" s="464"/>
      <c r="CY34" s="464"/>
      <c r="CZ34" s="464"/>
      <c r="DA34" s="464"/>
      <c r="DB34" s="464"/>
      <c r="DC34" s="464"/>
      <c r="DD34" s="464"/>
      <c r="DE34" s="464"/>
      <c r="DF34" s="464"/>
      <c r="DG34" s="464"/>
      <c r="DH34" s="464"/>
      <c r="DI34" s="464"/>
      <c r="DJ34" s="464"/>
      <c r="DK34" s="464"/>
      <c r="DL34" s="464"/>
      <c r="DM34" s="464"/>
      <c r="DN34" s="464"/>
      <c r="DO34" s="464"/>
      <c r="DP34" s="464"/>
      <c r="DQ34" s="464"/>
      <c r="DR34" s="464"/>
      <c r="DS34" s="464"/>
      <c r="DT34" s="464"/>
      <c r="DU34" s="464"/>
      <c r="DV34" s="464"/>
      <c r="DW34" s="464"/>
      <c r="DX34" s="464"/>
      <c r="DY34" s="464"/>
      <c r="DZ34" s="464"/>
      <c r="EA34" s="464"/>
      <c r="EB34" s="464"/>
      <c r="EC34" s="464"/>
      <c r="ED34" s="464"/>
      <c r="EE34" s="464"/>
      <c r="EF34" s="464"/>
      <c r="EG34" s="464"/>
      <c r="EH34" s="464"/>
      <c r="EI34" s="464"/>
      <c r="EJ34" s="464"/>
      <c r="EK34" s="464"/>
      <c r="EL34" s="464"/>
      <c r="EM34" s="464"/>
      <c r="EN34" s="464"/>
      <c r="EO34" s="464"/>
      <c r="EP34" s="464"/>
      <c r="EQ34" s="464"/>
      <c r="ER34" s="464"/>
      <c r="ES34" s="464"/>
      <c r="ET34" s="464"/>
      <c r="EU34" s="464"/>
      <c r="EV34" s="464"/>
      <c r="EW34" s="464"/>
      <c r="EX34" s="464"/>
      <c r="EY34" s="464"/>
      <c r="EZ34" s="464"/>
      <c r="FA34" s="464"/>
      <c r="FB34" s="464"/>
      <c r="FC34" s="464"/>
      <c r="FD34" s="464"/>
      <c r="FE34" s="464"/>
      <c r="FF34" s="472">
        <f>MEDIAN(BX34,CF34)</f>
        <v>77500</v>
      </c>
      <c r="FG34" s="472">
        <f>AVERAGE(BX34,CF34)</f>
        <v>77500</v>
      </c>
      <c r="FH34" s="473">
        <f>STDEV(BX34,CF34)</f>
        <v>10606.601717798212</v>
      </c>
      <c r="FI34" s="476">
        <f t="shared" si="12"/>
        <v>0.1368593770038479</v>
      </c>
      <c r="FJ34" s="475">
        <f t="shared" si="13"/>
        <v>77500</v>
      </c>
      <c r="FK34" s="469">
        <f t="shared" si="18"/>
        <v>77500</v>
      </c>
      <c r="FL34" s="467" t="s">
        <v>621</v>
      </c>
      <c r="FM34" s="470"/>
    </row>
    <row r="35" spans="1:169" s="457" customFormat="1" ht="32.5" customHeight="1" x14ac:dyDescent="0.35">
      <c r="A35" s="458">
        <v>31</v>
      </c>
      <c r="B35" s="459" t="s">
        <v>681</v>
      </c>
      <c r="C35" s="460" t="s">
        <v>682</v>
      </c>
      <c r="D35" s="461" t="s">
        <v>620</v>
      </c>
      <c r="E35" s="458">
        <v>1</v>
      </c>
      <c r="F35" s="463"/>
      <c r="G35" s="463"/>
      <c r="H35" s="463"/>
      <c r="I35" s="463"/>
      <c r="J35" s="463"/>
      <c r="K35" s="463"/>
      <c r="L35" s="464"/>
      <c r="M35" s="464"/>
      <c r="N35" s="464"/>
      <c r="O35" s="464"/>
      <c r="P35" s="464"/>
      <c r="Q35" s="464"/>
      <c r="R35" s="464"/>
      <c r="S35" s="464"/>
      <c r="T35" s="464"/>
      <c r="U35" s="464"/>
      <c r="V35" s="464"/>
      <c r="W35" s="464"/>
      <c r="X35" s="464"/>
      <c r="Y35" s="464"/>
      <c r="Z35" s="464"/>
      <c r="AA35" s="464"/>
      <c r="AB35" s="464"/>
      <c r="AC35" s="464"/>
      <c r="AD35" s="463">
        <v>99557.78</v>
      </c>
      <c r="AE35" s="464">
        <f t="shared" si="20"/>
        <v>99557.78</v>
      </c>
      <c r="AF35" s="464"/>
      <c r="AG35" s="464"/>
      <c r="AH35" s="464"/>
      <c r="AI35" s="464"/>
      <c r="AJ35" s="464"/>
      <c r="AK35" s="464"/>
      <c r="AL35" s="464"/>
      <c r="AM35" s="464"/>
      <c r="AN35" s="464"/>
      <c r="AO35" s="464"/>
      <c r="AP35" s="464"/>
      <c r="AQ35" s="464"/>
      <c r="AR35" s="464"/>
      <c r="AS35" s="464"/>
      <c r="AT35" s="464"/>
      <c r="AU35" s="464"/>
      <c r="AV35" s="464"/>
      <c r="AW35" s="464"/>
      <c r="AX35" s="464"/>
      <c r="AY35" s="464"/>
      <c r="AZ35" s="464"/>
      <c r="BA35" s="464"/>
      <c r="BB35" s="464"/>
      <c r="BC35" s="464"/>
      <c r="BD35" s="464"/>
      <c r="BE35" s="464"/>
      <c r="BF35" s="464"/>
      <c r="BG35" s="464"/>
      <c r="BH35" s="464">
        <v>6000</v>
      </c>
      <c r="BI35" s="464">
        <f>+BH35*E35</f>
        <v>6000</v>
      </c>
      <c r="BJ35" s="464"/>
      <c r="BK35" s="464"/>
      <c r="BL35" s="464"/>
      <c r="BM35" s="464"/>
      <c r="BN35" s="464"/>
      <c r="BO35" s="464"/>
      <c r="BP35" s="464"/>
      <c r="BQ35" s="464"/>
      <c r="BR35" s="464"/>
      <c r="BS35" s="464"/>
      <c r="BT35" s="464"/>
      <c r="BU35" s="464"/>
      <c r="BV35" s="464"/>
      <c r="BW35" s="464"/>
      <c r="BX35" s="464"/>
      <c r="BY35" s="464"/>
      <c r="BZ35" s="464">
        <v>17000</v>
      </c>
      <c r="CA35" s="464">
        <f>+BZ35*E35</f>
        <v>17000</v>
      </c>
      <c r="CB35" s="464"/>
      <c r="CC35" s="464"/>
      <c r="CD35" s="464"/>
      <c r="CE35" s="464"/>
      <c r="CF35" s="464"/>
      <c r="CG35" s="464"/>
      <c r="CH35" s="464"/>
      <c r="CI35" s="464"/>
      <c r="CJ35" s="464"/>
      <c r="CK35" s="464"/>
      <c r="CL35" s="464"/>
      <c r="CM35" s="464"/>
      <c r="CN35" s="464">
        <v>20000</v>
      </c>
      <c r="CO35" s="464">
        <f>+CN35*E35</f>
        <v>20000</v>
      </c>
      <c r="CP35" s="464"/>
      <c r="CQ35" s="464"/>
      <c r="CR35" s="464"/>
      <c r="CS35" s="464"/>
      <c r="CT35" s="464"/>
      <c r="CU35" s="464"/>
      <c r="CV35" s="464"/>
      <c r="CW35" s="464"/>
      <c r="CX35" s="464"/>
      <c r="CY35" s="464"/>
      <c r="CZ35" s="464"/>
      <c r="DA35" s="464"/>
      <c r="DB35" s="464"/>
      <c r="DC35" s="464"/>
      <c r="DD35" s="464"/>
      <c r="DE35" s="464"/>
      <c r="DF35" s="464"/>
      <c r="DG35" s="464"/>
      <c r="DH35" s="464"/>
      <c r="DI35" s="464"/>
      <c r="DJ35" s="464"/>
      <c r="DK35" s="464"/>
      <c r="DL35" s="464"/>
      <c r="DM35" s="464"/>
      <c r="DN35" s="464"/>
      <c r="DO35" s="464"/>
      <c r="DP35" s="464"/>
      <c r="DQ35" s="464"/>
      <c r="DR35" s="464"/>
      <c r="DS35" s="464"/>
      <c r="DT35" s="464"/>
      <c r="DU35" s="464"/>
      <c r="DV35" s="464"/>
      <c r="DW35" s="464"/>
      <c r="DX35" s="464"/>
      <c r="DY35" s="464"/>
      <c r="DZ35" s="464"/>
      <c r="EA35" s="464"/>
      <c r="EB35" s="464"/>
      <c r="EC35" s="464"/>
      <c r="ED35" s="464"/>
      <c r="EE35" s="464"/>
      <c r="EF35" s="464"/>
      <c r="EG35" s="464"/>
      <c r="EH35" s="464"/>
      <c r="EI35" s="464"/>
      <c r="EJ35" s="464"/>
      <c r="EK35" s="464"/>
      <c r="EL35" s="464"/>
      <c r="EM35" s="464"/>
      <c r="EN35" s="464"/>
      <c r="EO35" s="464"/>
      <c r="EP35" s="464"/>
      <c r="EQ35" s="464"/>
      <c r="ER35" s="464"/>
      <c r="ES35" s="464"/>
      <c r="ET35" s="464"/>
      <c r="EU35" s="464"/>
      <c r="EV35" s="464"/>
      <c r="EW35" s="464"/>
      <c r="EX35" s="464"/>
      <c r="EY35" s="464"/>
      <c r="EZ35" s="464"/>
      <c r="FA35" s="464"/>
      <c r="FB35" s="464"/>
      <c r="FC35" s="464"/>
      <c r="FD35" s="464"/>
      <c r="FE35" s="464"/>
      <c r="FF35" s="472">
        <f>MEDIAN(BZ35,CN35)</f>
        <v>18500</v>
      </c>
      <c r="FG35" s="472">
        <f>AVERAGE(BZ35,CN35)</f>
        <v>18500</v>
      </c>
      <c r="FH35" s="473">
        <f>STDEV(BZ35,CN35)</f>
        <v>2121.3203435596424</v>
      </c>
      <c r="FI35" s="476">
        <f t="shared" si="12"/>
        <v>0.11466596451673743</v>
      </c>
      <c r="FJ35" s="475">
        <f t="shared" si="13"/>
        <v>18500</v>
      </c>
      <c r="FK35" s="469">
        <f t="shared" si="18"/>
        <v>18500</v>
      </c>
      <c r="FL35" s="467" t="s">
        <v>621</v>
      </c>
      <c r="FM35" s="470"/>
    </row>
    <row r="36" spans="1:169" s="457" customFormat="1" ht="32.5" customHeight="1" x14ac:dyDescent="0.35">
      <c r="A36" s="458">
        <v>32</v>
      </c>
      <c r="B36" s="459" t="s">
        <v>683</v>
      </c>
      <c r="C36" s="460" t="s">
        <v>684</v>
      </c>
      <c r="D36" s="461" t="s">
        <v>620</v>
      </c>
      <c r="E36" s="458">
        <v>1</v>
      </c>
      <c r="F36" s="463"/>
      <c r="G36" s="463"/>
      <c r="H36" s="463"/>
      <c r="I36" s="463"/>
      <c r="J36" s="463"/>
      <c r="K36" s="463"/>
      <c r="L36" s="464"/>
      <c r="M36" s="464"/>
      <c r="N36" s="464"/>
      <c r="O36" s="464"/>
      <c r="P36" s="464"/>
      <c r="Q36" s="464"/>
      <c r="R36" s="464"/>
      <c r="S36" s="464"/>
      <c r="T36" s="464"/>
      <c r="U36" s="464"/>
      <c r="V36" s="464"/>
      <c r="W36" s="464"/>
      <c r="X36" s="464"/>
      <c r="Y36" s="464"/>
      <c r="Z36" s="464"/>
      <c r="AA36" s="464"/>
      <c r="AB36" s="464"/>
      <c r="AC36" s="464"/>
      <c r="AD36" s="463"/>
      <c r="AE36" s="464"/>
      <c r="AF36" s="464"/>
      <c r="AG36" s="464"/>
      <c r="AH36" s="464"/>
      <c r="AI36" s="464"/>
      <c r="AJ36" s="464"/>
      <c r="AK36" s="464"/>
      <c r="AL36" s="464"/>
      <c r="AM36" s="464"/>
      <c r="AN36" s="464"/>
      <c r="AO36" s="464"/>
      <c r="AP36" s="464"/>
      <c r="AQ36" s="464"/>
      <c r="AR36" s="464"/>
      <c r="AS36" s="464"/>
      <c r="AT36" s="464"/>
      <c r="AU36" s="464"/>
      <c r="AV36" s="464"/>
      <c r="AW36" s="464"/>
      <c r="AX36" s="464"/>
      <c r="AY36" s="464"/>
      <c r="AZ36" s="464"/>
      <c r="BA36" s="464"/>
      <c r="BB36" s="464"/>
      <c r="BC36" s="464"/>
      <c r="BD36" s="464"/>
      <c r="BE36" s="464"/>
      <c r="BF36" s="464"/>
      <c r="BG36" s="464"/>
      <c r="BH36" s="464">
        <v>18000</v>
      </c>
      <c r="BI36" s="464">
        <f t="shared" ref="BI36:BI37" si="21">+BH36*E36</f>
        <v>18000</v>
      </c>
      <c r="BJ36" s="464"/>
      <c r="BK36" s="464"/>
      <c r="BL36" s="464"/>
      <c r="BM36" s="464"/>
      <c r="BN36" s="464"/>
      <c r="BO36" s="464"/>
      <c r="BP36" s="464"/>
      <c r="BQ36" s="464"/>
      <c r="BR36" s="464"/>
      <c r="BS36" s="464"/>
      <c r="BT36" s="464"/>
      <c r="BU36" s="464"/>
      <c r="BV36" s="464"/>
      <c r="BW36" s="464"/>
      <c r="BX36" s="464"/>
      <c r="BY36" s="464"/>
      <c r="BZ36" s="464"/>
      <c r="CA36" s="464"/>
      <c r="CB36" s="464"/>
      <c r="CC36" s="464"/>
      <c r="CD36" s="464"/>
      <c r="CE36" s="464"/>
      <c r="CF36" s="464"/>
      <c r="CG36" s="464"/>
      <c r="CH36" s="464"/>
      <c r="CI36" s="464"/>
      <c r="CJ36" s="464">
        <v>240000</v>
      </c>
      <c r="CK36" s="464">
        <f>+CJ36*E36</f>
        <v>240000</v>
      </c>
      <c r="CL36" s="464"/>
      <c r="CM36" s="464"/>
      <c r="CN36" s="464"/>
      <c r="CO36" s="464"/>
      <c r="CP36" s="464">
        <v>200000</v>
      </c>
      <c r="CQ36" s="464">
        <f>+CP36*E36</f>
        <v>200000</v>
      </c>
      <c r="CR36" s="464"/>
      <c r="CS36" s="464"/>
      <c r="CT36" s="464"/>
      <c r="CU36" s="464"/>
      <c r="CV36" s="464"/>
      <c r="CW36" s="464"/>
      <c r="CX36" s="464"/>
      <c r="CY36" s="464"/>
      <c r="CZ36" s="464"/>
      <c r="DA36" s="464"/>
      <c r="DB36" s="464"/>
      <c r="DC36" s="464"/>
      <c r="DD36" s="464"/>
      <c r="DE36" s="464"/>
      <c r="DF36" s="464"/>
      <c r="DG36" s="464"/>
      <c r="DH36" s="464"/>
      <c r="DI36" s="464"/>
      <c r="DJ36" s="464"/>
      <c r="DK36" s="464"/>
      <c r="DL36" s="464"/>
      <c r="DM36" s="464"/>
      <c r="DN36" s="464"/>
      <c r="DO36" s="464"/>
      <c r="DP36" s="464"/>
      <c r="DQ36" s="464"/>
      <c r="DR36" s="464"/>
      <c r="DS36" s="464"/>
      <c r="DT36" s="464"/>
      <c r="DU36" s="464"/>
      <c r="DV36" s="464"/>
      <c r="DW36" s="464"/>
      <c r="DX36" s="464"/>
      <c r="DY36" s="464"/>
      <c r="DZ36" s="464"/>
      <c r="EA36" s="464"/>
      <c r="EB36" s="464"/>
      <c r="EC36" s="464"/>
      <c r="ED36" s="464"/>
      <c r="EE36" s="464"/>
      <c r="EF36" s="464"/>
      <c r="EG36" s="464"/>
      <c r="EH36" s="464"/>
      <c r="EI36" s="464"/>
      <c r="EJ36" s="464"/>
      <c r="EK36" s="464"/>
      <c r="EL36" s="464"/>
      <c r="EM36" s="464"/>
      <c r="EN36" s="464"/>
      <c r="EO36" s="464"/>
      <c r="EP36" s="464"/>
      <c r="EQ36" s="464"/>
      <c r="ER36" s="464"/>
      <c r="ES36" s="464"/>
      <c r="ET36" s="464"/>
      <c r="EU36" s="464"/>
      <c r="EV36" s="464"/>
      <c r="EW36" s="464"/>
      <c r="EX36" s="464"/>
      <c r="EY36" s="464"/>
      <c r="EZ36" s="464"/>
      <c r="FA36" s="464"/>
      <c r="FB36" s="464"/>
      <c r="FC36" s="464"/>
      <c r="FD36" s="464"/>
      <c r="FE36" s="464"/>
      <c r="FF36" s="472">
        <f>MEDIAN(CJ36,CP36)</f>
        <v>220000</v>
      </c>
      <c r="FG36" s="472">
        <f>AVERAGE(CJ36,CP36)</f>
        <v>220000</v>
      </c>
      <c r="FH36" s="473">
        <f>STDEV(CJ36,CP36)</f>
        <v>28284.2712474619</v>
      </c>
      <c r="FI36" s="476">
        <f t="shared" si="12"/>
        <v>0.12856486930664501</v>
      </c>
      <c r="FJ36" s="475">
        <f t="shared" si="13"/>
        <v>220000</v>
      </c>
      <c r="FK36" s="469">
        <f t="shared" si="18"/>
        <v>220000</v>
      </c>
      <c r="FL36" s="467" t="s">
        <v>621</v>
      </c>
      <c r="FM36" s="470"/>
    </row>
    <row r="37" spans="1:169" s="457" customFormat="1" ht="32.5" customHeight="1" x14ac:dyDescent="0.35">
      <c r="A37" s="458">
        <v>33</v>
      </c>
      <c r="B37" s="459" t="s">
        <v>685</v>
      </c>
      <c r="C37" s="460" t="s">
        <v>686</v>
      </c>
      <c r="D37" s="461" t="s">
        <v>620</v>
      </c>
      <c r="E37" s="458">
        <v>1</v>
      </c>
      <c r="F37" s="463"/>
      <c r="G37" s="463"/>
      <c r="H37" s="463"/>
      <c r="I37" s="463"/>
      <c r="J37" s="463"/>
      <c r="K37" s="463"/>
      <c r="L37" s="464"/>
      <c r="M37" s="464"/>
      <c r="N37" s="464"/>
      <c r="O37" s="464"/>
      <c r="P37" s="464"/>
      <c r="Q37" s="464"/>
      <c r="R37" s="464"/>
      <c r="S37" s="464"/>
      <c r="T37" s="464"/>
      <c r="U37" s="464"/>
      <c r="V37" s="464"/>
      <c r="W37" s="464"/>
      <c r="X37" s="464"/>
      <c r="Y37" s="464"/>
      <c r="Z37" s="464"/>
      <c r="AA37" s="464"/>
      <c r="AB37" s="464"/>
      <c r="AC37" s="464"/>
      <c r="AD37" s="463">
        <v>33981.64</v>
      </c>
      <c r="AE37" s="464">
        <f t="shared" ref="AE37" si="22">+AD37*E37</f>
        <v>33981.64</v>
      </c>
      <c r="AF37" s="464"/>
      <c r="AG37" s="464"/>
      <c r="AH37" s="464"/>
      <c r="AI37" s="464"/>
      <c r="AJ37" s="464"/>
      <c r="AK37" s="464"/>
      <c r="AL37" s="464"/>
      <c r="AM37" s="464"/>
      <c r="AN37" s="464"/>
      <c r="AO37" s="464"/>
      <c r="AP37" s="464"/>
      <c r="AQ37" s="464"/>
      <c r="AR37" s="464"/>
      <c r="AS37" s="464"/>
      <c r="AT37" s="464"/>
      <c r="AU37" s="464"/>
      <c r="AV37" s="464"/>
      <c r="AW37" s="464"/>
      <c r="AX37" s="464"/>
      <c r="AY37" s="464"/>
      <c r="AZ37" s="464"/>
      <c r="BA37" s="464"/>
      <c r="BB37" s="464"/>
      <c r="BC37" s="464"/>
      <c r="BD37" s="464"/>
      <c r="BE37" s="464"/>
      <c r="BF37" s="464"/>
      <c r="BG37" s="464"/>
      <c r="BH37" s="464">
        <v>18000</v>
      </c>
      <c r="BI37" s="464">
        <f t="shared" si="21"/>
        <v>18000</v>
      </c>
      <c r="BJ37" s="464">
        <v>15000</v>
      </c>
      <c r="BK37" s="464">
        <f>+BJ37*E37</f>
        <v>15000</v>
      </c>
      <c r="BL37" s="464">
        <v>25000</v>
      </c>
      <c r="BM37" s="464">
        <f>+BL37*E37</f>
        <v>25000</v>
      </c>
      <c r="BN37" s="464"/>
      <c r="BO37" s="464"/>
      <c r="BP37" s="464"/>
      <c r="BQ37" s="464"/>
      <c r="BR37" s="464"/>
      <c r="BS37" s="464"/>
      <c r="BT37" s="464"/>
      <c r="BU37" s="464"/>
      <c r="BV37" s="464"/>
      <c r="BW37" s="464"/>
      <c r="BX37" s="464"/>
      <c r="BY37" s="464"/>
      <c r="BZ37" s="464"/>
      <c r="CA37" s="464"/>
      <c r="CB37" s="464"/>
      <c r="CC37" s="464"/>
      <c r="CD37" s="464"/>
      <c r="CE37" s="464"/>
      <c r="CF37" s="464"/>
      <c r="CG37" s="464"/>
      <c r="CH37" s="464">
        <v>300000</v>
      </c>
      <c r="CI37" s="464">
        <f>+CH37*E37</f>
        <v>300000</v>
      </c>
      <c r="CJ37" s="464"/>
      <c r="CK37" s="464"/>
      <c r="CL37" s="464">
        <v>300000</v>
      </c>
      <c r="CM37" s="464">
        <f>+CL37*E37</f>
        <v>300000</v>
      </c>
      <c r="CN37" s="464"/>
      <c r="CO37" s="464"/>
      <c r="CP37" s="464"/>
      <c r="CQ37" s="464"/>
      <c r="CR37" s="464"/>
      <c r="CS37" s="464"/>
      <c r="CT37" s="464"/>
      <c r="CU37" s="464"/>
      <c r="CV37" s="464"/>
      <c r="CW37" s="464"/>
      <c r="CX37" s="464"/>
      <c r="CY37" s="464"/>
      <c r="CZ37" s="464"/>
      <c r="DA37" s="464"/>
      <c r="DB37" s="464"/>
      <c r="DC37" s="464"/>
      <c r="DD37" s="464"/>
      <c r="DE37" s="464"/>
      <c r="DF37" s="464"/>
      <c r="DG37" s="464"/>
      <c r="DH37" s="464"/>
      <c r="DI37" s="464"/>
      <c r="DJ37" s="464"/>
      <c r="DK37" s="464"/>
      <c r="DL37" s="464"/>
      <c r="DM37" s="464"/>
      <c r="DN37" s="464"/>
      <c r="DO37" s="464"/>
      <c r="DP37" s="464"/>
      <c r="DQ37" s="464"/>
      <c r="DR37" s="464"/>
      <c r="DS37" s="464"/>
      <c r="DT37" s="464"/>
      <c r="DU37" s="464"/>
      <c r="DV37" s="464"/>
      <c r="DW37" s="464"/>
      <c r="DX37" s="464"/>
      <c r="DY37" s="464"/>
      <c r="DZ37" s="464"/>
      <c r="EA37" s="464"/>
      <c r="EB37" s="464"/>
      <c r="EC37" s="464"/>
      <c r="ED37" s="464"/>
      <c r="EE37" s="464"/>
      <c r="EF37" s="464"/>
      <c r="EG37" s="464"/>
      <c r="EH37" s="464"/>
      <c r="EI37" s="464"/>
      <c r="EJ37" s="464"/>
      <c r="EK37" s="464"/>
      <c r="EL37" s="464"/>
      <c r="EM37" s="464"/>
      <c r="EN37" s="464"/>
      <c r="EO37" s="464"/>
      <c r="EP37" s="464"/>
      <c r="EQ37" s="464"/>
      <c r="ER37" s="464"/>
      <c r="ES37" s="464"/>
      <c r="ET37" s="464"/>
      <c r="EU37" s="464"/>
      <c r="EV37" s="464"/>
      <c r="EW37" s="464"/>
      <c r="EX37" s="464"/>
      <c r="EY37" s="464"/>
      <c r="EZ37" s="464"/>
      <c r="FA37" s="464"/>
      <c r="FB37" s="464"/>
      <c r="FC37" s="464"/>
      <c r="FD37" s="464"/>
      <c r="FE37" s="464"/>
      <c r="FF37" s="472">
        <f>MEDIAN(CH37,CL37)</f>
        <v>300000</v>
      </c>
      <c r="FG37" s="472">
        <f>AVERAGE(CH37,CL37)</f>
        <v>300000</v>
      </c>
      <c r="FH37" s="473">
        <f>STDEV(CH37,CL37)</f>
        <v>0</v>
      </c>
      <c r="FI37" s="476">
        <f t="shared" si="12"/>
        <v>0</v>
      </c>
      <c r="FJ37" s="475">
        <f t="shared" si="13"/>
        <v>300000</v>
      </c>
      <c r="FK37" s="469">
        <f t="shared" si="18"/>
        <v>300000</v>
      </c>
      <c r="FL37" s="467" t="s">
        <v>621</v>
      </c>
      <c r="FM37" s="470"/>
    </row>
    <row r="38" spans="1:169" s="457" customFormat="1" ht="32.5" customHeight="1" x14ac:dyDescent="0.35">
      <c r="A38" s="458">
        <v>34</v>
      </c>
      <c r="B38" s="459" t="s">
        <v>687</v>
      </c>
      <c r="C38" s="460" t="s">
        <v>688</v>
      </c>
      <c r="D38" s="461" t="s">
        <v>620</v>
      </c>
      <c r="E38" s="458">
        <v>1</v>
      </c>
      <c r="F38" s="463"/>
      <c r="G38" s="463"/>
      <c r="H38" s="463"/>
      <c r="I38" s="463"/>
      <c r="J38" s="463"/>
      <c r="K38" s="463"/>
      <c r="L38" s="464"/>
      <c r="M38" s="464"/>
      <c r="N38" s="464"/>
      <c r="O38" s="464"/>
      <c r="P38" s="464"/>
      <c r="Q38" s="464"/>
      <c r="R38" s="464"/>
      <c r="S38" s="464"/>
      <c r="T38" s="464"/>
      <c r="U38" s="464"/>
      <c r="V38" s="464">
        <v>6000</v>
      </c>
      <c r="W38" s="464">
        <f t="shared" ref="W38" si="23">+V38*E38</f>
        <v>6000</v>
      </c>
      <c r="X38" s="464"/>
      <c r="Y38" s="464"/>
      <c r="Z38" s="464"/>
      <c r="AA38" s="464"/>
      <c r="AB38" s="464"/>
      <c r="AC38" s="464"/>
      <c r="AD38" s="463"/>
      <c r="AE38" s="464"/>
      <c r="AF38" s="464"/>
      <c r="AG38" s="464"/>
      <c r="AH38" s="464"/>
      <c r="AI38" s="464"/>
      <c r="AJ38" s="464"/>
      <c r="AK38" s="464"/>
      <c r="AL38" s="464"/>
      <c r="AM38" s="464"/>
      <c r="AN38" s="464"/>
      <c r="AO38" s="464"/>
      <c r="AP38" s="464"/>
      <c r="AQ38" s="464"/>
      <c r="AR38" s="464"/>
      <c r="AS38" s="464"/>
      <c r="AT38" s="464"/>
      <c r="AU38" s="464"/>
      <c r="AV38" s="464"/>
      <c r="AW38" s="464"/>
      <c r="AX38" s="464"/>
      <c r="AY38" s="464"/>
      <c r="AZ38" s="464"/>
      <c r="BA38" s="464"/>
      <c r="BB38" s="464"/>
      <c r="BC38" s="464"/>
      <c r="BD38" s="464"/>
      <c r="BE38" s="464"/>
      <c r="BF38" s="464"/>
      <c r="BG38" s="464"/>
      <c r="BH38" s="464"/>
      <c r="BI38" s="464"/>
      <c r="BJ38" s="464"/>
      <c r="BK38" s="464"/>
      <c r="BL38" s="464"/>
      <c r="BM38" s="464"/>
      <c r="BN38" s="464"/>
      <c r="BO38" s="464"/>
      <c r="BP38" s="464">
        <v>6000</v>
      </c>
      <c r="BQ38" s="464">
        <f>+BP38*E38</f>
        <v>6000</v>
      </c>
      <c r="BR38" s="464"/>
      <c r="BS38" s="464"/>
      <c r="BT38" s="464"/>
      <c r="BU38" s="464"/>
      <c r="BV38" s="464"/>
      <c r="BW38" s="464"/>
      <c r="BX38" s="464"/>
      <c r="BY38" s="464"/>
      <c r="BZ38" s="464"/>
      <c r="CA38" s="464"/>
      <c r="CB38" s="464"/>
      <c r="CC38" s="464"/>
      <c r="CD38" s="464"/>
      <c r="CE38" s="464"/>
      <c r="CF38" s="464"/>
      <c r="CG38" s="464"/>
      <c r="CH38" s="464"/>
      <c r="CI38" s="464"/>
      <c r="CJ38" s="464"/>
      <c r="CK38" s="464"/>
      <c r="CL38" s="464"/>
      <c r="CM38" s="464"/>
      <c r="CN38" s="464"/>
      <c r="CO38" s="464"/>
      <c r="CP38" s="464"/>
      <c r="CQ38" s="464"/>
      <c r="CR38" s="464">
        <v>15120</v>
      </c>
      <c r="CS38" s="464"/>
      <c r="CT38" s="464"/>
      <c r="CU38" s="464"/>
      <c r="CV38" s="464"/>
      <c r="CW38" s="464"/>
      <c r="CX38" s="464"/>
      <c r="CY38" s="464"/>
      <c r="CZ38" s="464"/>
      <c r="DA38" s="464"/>
      <c r="DB38" s="464"/>
      <c r="DC38" s="464"/>
      <c r="DD38" s="464"/>
      <c r="DE38" s="464"/>
      <c r="DF38" s="464"/>
      <c r="DG38" s="464"/>
      <c r="DH38" s="464"/>
      <c r="DI38" s="464"/>
      <c r="DJ38" s="464"/>
      <c r="DK38" s="464"/>
      <c r="DL38" s="464"/>
      <c r="DM38" s="464"/>
      <c r="DN38" s="464"/>
      <c r="DO38" s="464"/>
      <c r="DP38" s="464"/>
      <c r="DQ38" s="464"/>
      <c r="DR38" s="464"/>
      <c r="DS38" s="464"/>
      <c r="DT38" s="464"/>
      <c r="DU38" s="464"/>
      <c r="DV38" s="464"/>
      <c r="DW38" s="464"/>
      <c r="DX38" s="464"/>
      <c r="DY38" s="464"/>
      <c r="DZ38" s="464"/>
      <c r="EA38" s="464"/>
      <c r="EB38" s="464"/>
      <c r="EC38" s="464"/>
      <c r="ED38" s="464"/>
      <c r="EE38" s="464"/>
      <c r="EF38" s="464"/>
      <c r="EG38" s="464"/>
      <c r="EH38" s="464"/>
      <c r="EI38" s="464"/>
      <c r="EJ38" s="464"/>
      <c r="EK38" s="464"/>
      <c r="EL38" s="464"/>
      <c r="EM38" s="464"/>
      <c r="EN38" s="464"/>
      <c r="EO38" s="464"/>
      <c r="EP38" s="464"/>
      <c r="EQ38" s="464"/>
      <c r="ER38" s="464"/>
      <c r="ES38" s="464"/>
      <c r="ET38" s="464"/>
      <c r="EU38" s="464"/>
      <c r="EV38" s="464"/>
      <c r="EW38" s="464"/>
      <c r="EX38" s="464"/>
      <c r="EY38" s="464"/>
      <c r="EZ38" s="464"/>
      <c r="FA38" s="464"/>
      <c r="FB38" s="464"/>
      <c r="FC38" s="464"/>
      <c r="FD38" s="464"/>
      <c r="FE38" s="464"/>
      <c r="FF38" s="472">
        <f>MEDIAN(V38,BP38)</f>
        <v>6000</v>
      </c>
      <c r="FG38" s="472">
        <f>AVERAGE(V38,BP38)</f>
        <v>6000</v>
      </c>
      <c r="FH38" s="473">
        <f>STDEV(V38,BP38)</f>
        <v>0</v>
      </c>
      <c r="FI38" s="476">
        <f t="shared" si="12"/>
        <v>0</v>
      </c>
      <c r="FJ38" s="475">
        <f t="shared" si="13"/>
        <v>6000</v>
      </c>
      <c r="FK38" s="469">
        <f t="shared" si="18"/>
        <v>6000</v>
      </c>
      <c r="FL38" s="467" t="s">
        <v>621</v>
      </c>
      <c r="FM38" s="470"/>
    </row>
    <row r="39" spans="1:169" s="457" customFormat="1" ht="32.5" customHeight="1" x14ac:dyDescent="0.35">
      <c r="A39" s="458">
        <v>35</v>
      </c>
      <c r="B39" s="459" t="s">
        <v>689</v>
      </c>
      <c r="C39" s="460" t="s">
        <v>690</v>
      </c>
      <c r="D39" s="461" t="s">
        <v>620</v>
      </c>
      <c r="E39" s="458">
        <v>1</v>
      </c>
      <c r="F39" s="463"/>
      <c r="G39" s="463"/>
      <c r="H39" s="463"/>
      <c r="I39" s="463"/>
      <c r="J39" s="463"/>
      <c r="K39" s="463"/>
      <c r="L39" s="464">
        <f>24000/12</f>
        <v>2000</v>
      </c>
      <c r="M39" s="464">
        <f>+L39*E39</f>
        <v>2000</v>
      </c>
      <c r="N39" s="464"/>
      <c r="O39" s="464"/>
      <c r="P39" s="464"/>
      <c r="Q39" s="464"/>
      <c r="R39" s="464"/>
      <c r="S39" s="464"/>
      <c r="T39" s="464"/>
      <c r="U39" s="464"/>
      <c r="V39" s="464"/>
      <c r="W39" s="464"/>
      <c r="X39" s="464"/>
      <c r="Y39" s="464"/>
      <c r="Z39" s="464"/>
      <c r="AA39" s="464"/>
      <c r="AB39" s="464"/>
      <c r="AC39" s="464"/>
      <c r="AD39" s="463">
        <v>20543.445999999996</v>
      </c>
      <c r="AE39" s="464">
        <f t="shared" ref="AE39" si="24">+AD39*E39</f>
        <v>20543.445999999996</v>
      </c>
      <c r="AF39" s="464"/>
      <c r="AG39" s="464"/>
      <c r="AH39" s="464"/>
      <c r="AI39" s="464"/>
      <c r="AJ39" s="464"/>
      <c r="AK39" s="464"/>
      <c r="AL39" s="464"/>
      <c r="AM39" s="464"/>
      <c r="AN39" s="464"/>
      <c r="AO39" s="464"/>
      <c r="AP39" s="464"/>
      <c r="AQ39" s="464"/>
      <c r="AR39" s="464"/>
      <c r="AS39" s="464"/>
      <c r="AT39" s="464"/>
      <c r="AU39" s="464"/>
      <c r="AV39" s="464"/>
      <c r="AW39" s="464"/>
      <c r="AX39" s="464"/>
      <c r="AY39" s="464"/>
      <c r="AZ39" s="464"/>
      <c r="BA39" s="464"/>
      <c r="BB39" s="464"/>
      <c r="BC39" s="464"/>
      <c r="BD39" s="464"/>
      <c r="BE39" s="464"/>
      <c r="BF39" s="464"/>
      <c r="BG39" s="464"/>
      <c r="BH39" s="464"/>
      <c r="BI39" s="464"/>
      <c r="BJ39" s="464"/>
      <c r="BK39" s="464"/>
      <c r="BL39" s="464"/>
      <c r="BM39" s="464"/>
      <c r="BN39" s="464"/>
      <c r="BO39" s="464"/>
      <c r="BP39" s="464"/>
      <c r="BQ39" s="464"/>
      <c r="BR39" s="464"/>
      <c r="BS39" s="464"/>
      <c r="BT39" s="464"/>
      <c r="BU39" s="464"/>
      <c r="BV39" s="464"/>
      <c r="BW39" s="464"/>
      <c r="BX39" s="464"/>
      <c r="BY39" s="464"/>
      <c r="BZ39" s="464"/>
      <c r="CA39" s="464"/>
      <c r="CB39" s="464"/>
      <c r="CC39" s="464"/>
      <c r="CD39" s="464"/>
      <c r="CE39" s="464"/>
      <c r="CF39" s="464"/>
      <c r="CG39" s="464"/>
      <c r="CH39" s="464"/>
      <c r="CI39" s="464"/>
      <c r="CJ39" s="464"/>
      <c r="CK39" s="464"/>
      <c r="CL39" s="464"/>
      <c r="CM39" s="464"/>
      <c r="CN39" s="464"/>
      <c r="CO39" s="464"/>
      <c r="CP39" s="464"/>
      <c r="CQ39" s="464"/>
      <c r="CR39" s="464"/>
      <c r="CS39" s="464"/>
      <c r="CT39" s="491">
        <v>2200</v>
      </c>
      <c r="CU39" s="491">
        <f>+CT39*E39</f>
        <v>2200</v>
      </c>
      <c r="CV39" s="491">
        <v>2528</v>
      </c>
      <c r="CW39" s="464">
        <f>+CV39*E39</f>
        <v>2528</v>
      </c>
      <c r="CX39" s="464"/>
      <c r="CY39" s="464"/>
      <c r="CZ39" s="464"/>
      <c r="DA39" s="464"/>
      <c r="DB39" s="464"/>
      <c r="DC39" s="464"/>
      <c r="DD39" s="464"/>
      <c r="DE39" s="464"/>
      <c r="DF39" s="464"/>
      <c r="DG39" s="464"/>
      <c r="DH39" s="464"/>
      <c r="DI39" s="464"/>
      <c r="DJ39" s="464"/>
      <c r="DK39" s="464"/>
      <c r="DL39" s="464"/>
      <c r="DM39" s="464"/>
      <c r="DN39" s="464"/>
      <c r="DO39" s="464"/>
      <c r="DP39" s="464"/>
      <c r="DQ39" s="464"/>
      <c r="DR39" s="464"/>
      <c r="DS39" s="464"/>
      <c r="DT39" s="464"/>
      <c r="DU39" s="464"/>
      <c r="DV39" s="464"/>
      <c r="DW39" s="464"/>
      <c r="DX39" s="464"/>
      <c r="DY39" s="464"/>
      <c r="DZ39" s="464"/>
      <c r="EA39" s="464"/>
      <c r="EB39" s="464"/>
      <c r="EC39" s="464"/>
      <c r="ED39" s="464"/>
      <c r="EE39" s="464"/>
      <c r="EF39" s="464"/>
      <c r="EG39" s="464"/>
      <c r="EH39" s="464"/>
      <c r="EI39" s="464"/>
      <c r="EJ39" s="464"/>
      <c r="EK39" s="464"/>
      <c r="EL39" s="464"/>
      <c r="EM39" s="464"/>
      <c r="EN39" s="464"/>
      <c r="EO39" s="464"/>
      <c r="EP39" s="464"/>
      <c r="EQ39" s="464"/>
      <c r="ER39" s="464"/>
      <c r="ES39" s="464"/>
      <c r="ET39" s="464"/>
      <c r="EU39" s="464"/>
      <c r="EV39" s="464"/>
      <c r="EW39" s="464"/>
      <c r="EX39" s="464"/>
      <c r="EY39" s="464"/>
      <c r="EZ39" s="464"/>
      <c r="FA39" s="464"/>
      <c r="FB39" s="464"/>
      <c r="FC39" s="464"/>
      <c r="FD39" s="464"/>
      <c r="FE39" s="464"/>
      <c r="FF39" s="472">
        <f>MEDIAN(L39,CT39,CV39)</f>
        <v>2200</v>
      </c>
      <c r="FG39" s="472">
        <f>AVERAGE(L39,CT39,CV39)</f>
        <v>2242.6666666666665</v>
      </c>
      <c r="FH39" s="473">
        <f>STDEV(L39,CT39,CV39)</f>
        <v>266.57331699428084</v>
      </c>
      <c r="FI39" s="476">
        <f t="shared" si="12"/>
        <v>0.11886443980125484</v>
      </c>
      <c r="FJ39" s="475">
        <f t="shared" si="13"/>
        <v>2243</v>
      </c>
      <c r="FK39" s="469">
        <f t="shared" si="18"/>
        <v>2243</v>
      </c>
      <c r="FL39" s="467" t="s">
        <v>621</v>
      </c>
      <c r="FM39" s="470"/>
    </row>
    <row r="40" spans="1:169" s="457" customFormat="1" ht="84.75" customHeight="1" x14ac:dyDescent="0.35">
      <c r="A40" s="458">
        <v>36</v>
      </c>
      <c r="B40" s="459" t="s">
        <v>691</v>
      </c>
      <c r="C40" s="460" t="s">
        <v>692</v>
      </c>
      <c r="D40" s="461" t="s">
        <v>620</v>
      </c>
      <c r="E40" s="458">
        <v>1</v>
      </c>
      <c r="F40" s="463"/>
      <c r="G40" s="463"/>
      <c r="H40" s="463"/>
      <c r="I40" s="463"/>
      <c r="J40" s="463"/>
      <c r="K40" s="463"/>
      <c r="L40" s="464"/>
      <c r="M40" s="464"/>
      <c r="N40" s="464"/>
      <c r="O40" s="464"/>
      <c r="P40" s="464"/>
      <c r="Q40" s="464"/>
      <c r="R40" s="464"/>
      <c r="S40" s="464"/>
      <c r="T40" s="464"/>
      <c r="U40" s="464"/>
      <c r="V40" s="464"/>
      <c r="W40" s="464"/>
      <c r="X40" s="464"/>
      <c r="Y40" s="464"/>
      <c r="Z40" s="464"/>
      <c r="AA40" s="464"/>
      <c r="AB40" s="464"/>
      <c r="AC40" s="464"/>
      <c r="AD40" s="463"/>
      <c r="AE40" s="464"/>
      <c r="AF40" s="464"/>
      <c r="AG40" s="464"/>
      <c r="AH40" s="464"/>
      <c r="AI40" s="464"/>
      <c r="AJ40" s="464"/>
      <c r="AK40" s="464"/>
      <c r="AL40" s="464"/>
      <c r="AM40" s="464"/>
      <c r="AN40" s="464"/>
      <c r="AO40" s="464"/>
      <c r="AP40" s="464"/>
      <c r="AQ40" s="464"/>
      <c r="AR40" s="464"/>
      <c r="AS40" s="464"/>
      <c r="AT40" s="464"/>
      <c r="AU40" s="464"/>
      <c r="AV40" s="464"/>
      <c r="AW40" s="464"/>
      <c r="AX40" s="464"/>
      <c r="AY40" s="464"/>
      <c r="AZ40" s="464"/>
      <c r="BA40" s="464"/>
      <c r="BB40" s="464"/>
      <c r="BC40" s="464"/>
      <c r="BD40" s="464"/>
      <c r="BE40" s="464"/>
      <c r="BF40" s="464"/>
      <c r="BG40" s="464"/>
      <c r="BH40" s="464"/>
      <c r="BI40" s="464"/>
      <c r="BJ40" s="464"/>
      <c r="BK40" s="464"/>
      <c r="BL40" s="464"/>
      <c r="BM40" s="464"/>
      <c r="BN40" s="464"/>
      <c r="BO40" s="464"/>
      <c r="BP40" s="464"/>
      <c r="BQ40" s="464"/>
      <c r="BR40" s="464"/>
      <c r="BS40" s="464"/>
      <c r="BT40" s="464"/>
      <c r="BU40" s="464"/>
      <c r="BV40" s="464"/>
      <c r="BW40" s="464"/>
      <c r="BX40" s="464"/>
      <c r="BY40" s="464"/>
      <c r="BZ40" s="464"/>
      <c r="CA40" s="464"/>
      <c r="CB40" s="464"/>
      <c r="CC40" s="464"/>
      <c r="CD40" s="464"/>
      <c r="CE40" s="464"/>
      <c r="CF40" s="464"/>
      <c r="CG40" s="464"/>
      <c r="CH40" s="464"/>
      <c r="CI40" s="464"/>
      <c r="CJ40" s="464"/>
      <c r="CK40" s="464"/>
      <c r="CL40" s="464"/>
      <c r="CM40" s="464"/>
      <c r="CN40" s="464"/>
      <c r="CO40" s="464"/>
      <c r="CP40" s="464"/>
      <c r="CQ40" s="464"/>
      <c r="CR40" s="464"/>
      <c r="CS40" s="464"/>
      <c r="CT40" s="491"/>
      <c r="CU40" s="491"/>
      <c r="CV40" s="491"/>
      <c r="CW40" s="464"/>
      <c r="CX40" s="464"/>
      <c r="CY40" s="464"/>
      <c r="CZ40" s="464"/>
      <c r="DA40" s="464"/>
      <c r="DB40" s="464"/>
      <c r="DC40" s="464"/>
      <c r="DD40" s="464"/>
      <c r="DE40" s="464"/>
      <c r="DF40" s="464"/>
      <c r="DG40" s="464"/>
      <c r="DH40" s="464"/>
      <c r="DI40" s="464"/>
      <c r="DJ40" s="464"/>
      <c r="DK40" s="464"/>
      <c r="DL40" s="464"/>
      <c r="DM40" s="464"/>
      <c r="DN40" s="464"/>
      <c r="DO40" s="464"/>
      <c r="DP40" s="464"/>
      <c r="DQ40" s="464"/>
      <c r="DR40" s="464"/>
      <c r="DS40" s="464"/>
      <c r="DT40" s="464"/>
      <c r="DU40" s="464"/>
      <c r="DV40" s="464"/>
      <c r="DW40" s="464"/>
      <c r="DX40" s="464"/>
      <c r="DY40" s="464"/>
      <c r="DZ40" s="464"/>
      <c r="EA40" s="464"/>
      <c r="EB40" s="464"/>
      <c r="EC40" s="464"/>
      <c r="ED40" s="464"/>
      <c r="EE40" s="464"/>
      <c r="EF40" s="464"/>
      <c r="EG40" s="464"/>
      <c r="EH40" s="464"/>
      <c r="EI40" s="464"/>
      <c r="EJ40" s="464"/>
      <c r="EK40" s="464"/>
      <c r="EL40" s="464">
        <v>75900</v>
      </c>
      <c r="EM40" s="464">
        <f>+EL40*E40</f>
        <v>75900</v>
      </c>
      <c r="EN40" s="464">
        <v>84006</v>
      </c>
      <c r="EO40" s="464">
        <f>+EN40*E40</f>
        <v>84006</v>
      </c>
      <c r="EP40" s="464"/>
      <c r="EQ40" s="464"/>
      <c r="ER40" s="464"/>
      <c r="ES40" s="464"/>
      <c r="ET40" s="464"/>
      <c r="EU40" s="464"/>
      <c r="EV40" s="464"/>
      <c r="EW40" s="464"/>
      <c r="EX40" s="464"/>
      <c r="EY40" s="464"/>
      <c r="EZ40" s="464"/>
      <c r="FA40" s="464"/>
      <c r="FB40" s="464"/>
      <c r="FC40" s="464"/>
      <c r="FD40" s="464"/>
      <c r="FE40" s="464"/>
      <c r="FF40" s="472">
        <f>MEDIAN(EL40,EN40)</f>
        <v>79953</v>
      </c>
      <c r="FG40" s="472">
        <f>AVERAGE(EL40,EN40)</f>
        <v>79953</v>
      </c>
      <c r="FH40" s="473">
        <f>STDEV(EL40,EN40)</f>
        <v>5731.8075682981544</v>
      </c>
      <c r="FI40" s="476">
        <f t="shared" si="12"/>
        <v>7.1689712309708886E-2</v>
      </c>
      <c r="FJ40" s="475">
        <f t="shared" si="13"/>
        <v>79953</v>
      </c>
      <c r="FK40" s="469">
        <f t="shared" si="18"/>
        <v>79953</v>
      </c>
      <c r="FL40" s="467" t="s">
        <v>621</v>
      </c>
      <c r="FM40" s="470"/>
    </row>
    <row r="41" spans="1:169" s="457" customFormat="1" ht="32.5" customHeight="1" x14ac:dyDescent="0.35">
      <c r="A41" s="458">
        <v>37</v>
      </c>
      <c r="B41" s="459" t="s">
        <v>693</v>
      </c>
      <c r="C41" s="460" t="s">
        <v>694</v>
      </c>
      <c r="D41" s="461" t="s">
        <v>620</v>
      </c>
      <c r="E41" s="458">
        <v>1</v>
      </c>
      <c r="F41" s="463"/>
      <c r="G41" s="463"/>
      <c r="H41" s="463"/>
      <c r="I41" s="463"/>
      <c r="J41" s="463"/>
      <c r="K41" s="463"/>
      <c r="L41" s="464"/>
      <c r="M41" s="464"/>
      <c r="N41" s="464"/>
      <c r="O41" s="464"/>
      <c r="P41" s="464"/>
      <c r="Q41" s="464"/>
      <c r="R41" s="464"/>
      <c r="S41" s="464"/>
      <c r="T41" s="464">
        <v>30000</v>
      </c>
      <c r="U41" s="464">
        <f>+T41*E41</f>
        <v>30000</v>
      </c>
      <c r="V41" s="464"/>
      <c r="W41" s="464"/>
      <c r="X41" s="464"/>
      <c r="Y41" s="464"/>
      <c r="Z41" s="464"/>
      <c r="AA41" s="464"/>
      <c r="AB41" s="464"/>
      <c r="AC41" s="464"/>
      <c r="AD41" s="463">
        <v>42126</v>
      </c>
      <c r="AE41" s="464">
        <f t="shared" ref="AE41:AE50" si="25">+AD41*E41</f>
        <v>42126</v>
      </c>
      <c r="AF41" s="464">
        <v>160000</v>
      </c>
      <c r="AG41" s="464">
        <f>+AF41*E41</f>
        <v>160000</v>
      </c>
      <c r="AH41" s="464"/>
      <c r="AI41" s="464"/>
      <c r="AJ41" s="464"/>
      <c r="AK41" s="464"/>
      <c r="AL41" s="464"/>
      <c r="AM41" s="464"/>
      <c r="AN41" s="464"/>
      <c r="AO41" s="464"/>
      <c r="AP41" s="464"/>
      <c r="AQ41" s="464"/>
      <c r="AR41" s="464"/>
      <c r="AS41" s="464"/>
      <c r="AT41" s="464"/>
      <c r="AU41" s="464"/>
      <c r="AV41" s="464"/>
      <c r="AW41" s="464"/>
      <c r="AX41" s="464"/>
      <c r="AY41" s="464"/>
      <c r="AZ41" s="464"/>
      <c r="BA41" s="464"/>
      <c r="BB41" s="464"/>
      <c r="BC41" s="464"/>
      <c r="BD41" s="464"/>
      <c r="BE41" s="464"/>
      <c r="BF41" s="464"/>
      <c r="BG41" s="464"/>
      <c r="BH41" s="464"/>
      <c r="BI41" s="464"/>
      <c r="BJ41" s="464"/>
      <c r="BK41" s="464"/>
      <c r="BL41" s="464"/>
      <c r="BM41" s="464"/>
      <c r="BN41" s="464"/>
      <c r="BO41" s="464"/>
      <c r="BP41" s="464"/>
      <c r="BQ41" s="464"/>
      <c r="BR41" s="464"/>
      <c r="BS41" s="464"/>
      <c r="BT41" s="464"/>
      <c r="BU41" s="464"/>
      <c r="BV41" s="464"/>
      <c r="BW41" s="464"/>
      <c r="BX41" s="464"/>
      <c r="BY41" s="464"/>
      <c r="BZ41" s="464"/>
      <c r="CA41" s="464"/>
      <c r="CB41" s="464"/>
      <c r="CC41" s="464"/>
      <c r="CD41" s="464"/>
      <c r="CE41" s="464"/>
      <c r="CF41" s="464"/>
      <c r="CG41" s="464"/>
      <c r="CH41" s="464"/>
      <c r="CI41" s="464"/>
      <c r="CJ41" s="464"/>
      <c r="CK41" s="464"/>
      <c r="CL41" s="464"/>
      <c r="CM41" s="464"/>
      <c r="CN41" s="464"/>
      <c r="CO41" s="464"/>
      <c r="CP41" s="464"/>
      <c r="CQ41" s="464"/>
      <c r="CR41" s="464"/>
      <c r="CS41" s="464"/>
      <c r="CT41" s="464"/>
      <c r="CU41" s="464"/>
      <c r="CV41" s="464"/>
      <c r="CW41" s="464"/>
      <c r="CX41" s="464"/>
      <c r="CY41" s="464"/>
      <c r="CZ41" s="464"/>
      <c r="DA41" s="464"/>
      <c r="DB41" s="464"/>
      <c r="DC41" s="464"/>
      <c r="DD41" s="464"/>
      <c r="DE41" s="464"/>
      <c r="DF41" s="464"/>
      <c r="DG41" s="464"/>
      <c r="DH41" s="464"/>
      <c r="DI41" s="464"/>
      <c r="DJ41" s="464"/>
      <c r="DK41" s="464"/>
      <c r="DL41" s="464"/>
      <c r="DM41" s="464"/>
      <c r="DN41" s="464"/>
      <c r="DO41" s="464"/>
      <c r="DP41" s="464"/>
      <c r="DQ41" s="464"/>
      <c r="DR41" s="464"/>
      <c r="DS41" s="464"/>
      <c r="DT41" s="464"/>
      <c r="DU41" s="464"/>
      <c r="DV41" s="464"/>
      <c r="DW41" s="464"/>
      <c r="DX41" s="464"/>
      <c r="DY41" s="464"/>
      <c r="DZ41" s="464"/>
      <c r="EA41" s="464"/>
      <c r="EB41" s="464"/>
      <c r="EC41" s="464"/>
      <c r="ED41" s="464"/>
      <c r="EE41" s="464"/>
      <c r="EF41" s="464"/>
      <c r="EG41" s="464"/>
      <c r="EH41" s="464"/>
      <c r="EI41" s="464"/>
      <c r="EJ41" s="464"/>
      <c r="EK41" s="464"/>
      <c r="EL41" s="464"/>
      <c r="EM41" s="464"/>
      <c r="EN41" s="464"/>
      <c r="EO41" s="464"/>
      <c r="EP41" s="464"/>
      <c r="EQ41" s="464"/>
      <c r="ER41" s="464"/>
      <c r="ES41" s="464"/>
      <c r="ET41" s="464"/>
      <c r="EU41" s="464"/>
      <c r="EV41" s="464"/>
      <c r="EW41" s="464"/>
      <c r="EX41" s="464"/>
      <c r="EY41" s="464"/>
      <c r="EZ41" s="464"/>
      <c r="FA41" s="464"/>
      <c r="FB41" s="464"/>
      <c r="FC41" s="464"/>
      <c r="FD41" s="464"/>
      <c r="FE41" s="464"/>
      <c r="FF41" s="472">
        <f>MEDIAN(T41,AD41)</f>
        <v>36063</v>
      </c>
      <c r="FG41" s="472">
        <f>AVERAGE(T41,AD41)</f>
        <v>36063</v>
      </c>
      <c r="FH41" s="473">
        <f>STDEV(T41,AD41)</f>
        <v>8574.3768286680752</v>
      </c>
      <c r="FI41" s="476">
        <f t="shared" si="12"/>
        <v>0.23776105228816447</v>
      </c>
      <c r="FJ41" s="475">
        <f t="shared" si="13"/>
        <v>36063</v>
      </c>
      <c r="FK41" s="469">
        <f t="shared" si="18"/>
        <v>36063</v>
      </c>
      <c r="FL41" s="467" t="s">
        <v>632</v>
      </c>
      <c r="FM41" s="470"/>
    </row>
    <row r="42" spans="1:169" s="457" customFormat="1" ht="32.5" customHeight="1" x14ac:dyDescent="0.35">
      <c r="A42" s="458">
        <v>38</v>
      </c>
      <c r="B42" s="459" t="s">
        <v>695</v>
      </c>
      <c r="C42" s="460" t="s">
        <v>696</v>
      </c>
      <c r="D42" s="461" t="s">
        <v>620</v>
      </c>
      <c r="E42" s="458">
        <v>1</v>
      </c>
      <c r="F42" s="463"/>
      <c r="G42" s="463"/>
      <c r="H42" s="463"/>
      <c r="I42" s="463"/>
      <c r="J42" s="463"/>
      <c r="K42" s="463"/>
      <c r="L42" s="464"/>
      <c r="M42" s="464"/>
      <c r="N42" s="464"/>
      <c r="O42" s="464"/>
      <c r="P42" s="464"/>
      <c r="Q42" s="464"/>
      <c r="R42" s="464"/>
      <c r="S42" s="464"/>
      <c r="T42" s="464">
        <v>45000</v>
      </c>
      <c r="U42" s="464">
        <f>+T42*E42</f>
        <v>45000</v>
      </c>
      <c r="V42" s="464"/>
      <c r="W42" s="464"/>
      <c r="X42" s="464"/>
      <c r="Y42" s="464"/>
      <c r="Z42" s="464"/>
      <c r="AA42" s="464"/>
      <c r="AB42" s="464"/>
      <c r="AC42" s="464"/>
      <c r="AD42" s="463">
        <v>27943.579999999998</v>
      </c>
      <c r="AE42" s="464">
        <f t="shared" si="25"/>
        <v>27943.579999999998</v>
      </c>
      <c r="AF42" s="464">
        <v>50000</v>
      </c>
      <c r="AG42" s="464">
        <f t="shared" ref="AG42:AG50" si="26">+AF42*E42</f>
        <v>50000</v>
      </c>
      <c r="AH42" s="464"/>
      <c r="AI42" s="464"/>
      <c r="AJ42" s="464"/>
      <c r="AK42" s="464"/>
      <c r="AL42" s="464"/>
      <c r="AM42" s="464"/>
      <c r="AN42" s="464"/>
      <c r="AO42" s="464"/>
      <c r="AP42" s="464"/>
      <c r="AQ42" s="464"/>
      <c r="AR42" s="464"/>
      <c r="AS42" s="464"/>
      <c r="AT42" s="464"/>
      <c r="AU42" s="464"/>
      <c r="AV42" s="464"/>
      <c r="AW42" s="464"/>
      <c r="AX42" s="464"/>
      <c r="AY42" s="464"/>
      <c r="AZ42" s="464"/>
      <c r="BA42" s="464"/>
      <c r="BB42" s="464"/>
      <c r="BC42" s="464"/>
      <c r="BD42" s="464"/>
      <c r="BE42" s="464"/>
      <c r="BF42" s="464"/>
      <c r="BG42" s="464"/>
      <c r="BH42" s="464"/>
      <c r="BI42" s="464"/>
      <c r="BJ42" s="464"/>
      <c r="BK42" s="464"/>
      <c r="BL42" s="464"/>
      <c r="BM42" s="464"/>
      <c r="BN42" s="464"/>
      <c r="BO42" s="464"/>
      <c r="BP42" s="464"/>
      <c r="BQ42" s="464"/>
      <c r="BR42" s="464"/>
      <c r="BS42" s="464"/>
      <c r="BT42" s="464"/>
      <c r="BU42" s="464"/>
      <c r="BV42" s="464"/>
      <c r="BW42" s="464"/>
      <c r="BX42" s="464"/>
      <c r="BY42" s="464"/>
      <c r="BZ42" s="464"/>
      <c r="CA42" s="464"/>
      <c r="CB42" s="464"/>
      <c r="CC42" s="464"/>
      <c r="CD42" s="464"/>
      <c r="CE42" s="464"/>
      <c r="CF42" s="464"/>
      <c r="CG42" s="464"/>
      <c r="CH42" s="464"/>
      <c r="CI42" s="464"/>
      <c r="CJ42" s="464"/>
      <c r="CK42" s="464"/>
      <c r="CL42" s="464"/>
      <c r="CM42" s="464"/>
      <c r="CN42" s="464"/>
      <c r="CO42" s="464"/>
      <c r="CP42" s="464"/>
      <c r="CQ42" s="464"/>
      <c r="CR42" s="464"/>
      <c r="CS42" s="464"/>
      <c r="CT42" s="464"/>
      <c r="CU42" s="464"/>
      <c r="CV42" s="464"/>
      <c r="CW42" s="464"/>
      <c r="CX42" s="464"/>
      <c r="CY42" s="464"/>
      <c r="CZ42" s="464"/>
      <c r="DA42" s="464"/>
      <c r="DB42" s="464"/>
      <c r="DC42" s="464"/>
      <c r="DD42" s="464"/>
      <c r="DE42" s="464"/>
      <c r="DF42" s="464"/>
      <c r="DG42" s="464"/>
      <c r="DH42" s="464"/>
      <c r="DI42" s="464"/>
      <c r="DJ42" s="464"/>
      <c r="DK42" s="464"/>
      <c r="DL42" s="464"/>
      <c r="DM42" s="464"/>
      <c r="DN42" s="464"/>
      <c r="DO42" s="464"/>
      <c r="DP42" s="464"/>
      <c r="DQ42" s="464"/>
      <c r="DR42" s="464"/>
      <c r="DS42" s="464"/>
      <c r="DT42" s="464"/>
      <c r="DU42" s="464"/>
      <c r="DV42" s="464"/>
      <c r="DW42" s="464"/>
      <c r="DX42" s="464"/>
      <c r="DY42" s="464"/>
      <c r="DZ42" s="464"/>
      <c r="EA42" s="464"/>
      <c r="EB42" s="464"/>
      <c r="EC42" s="464"/>
      <c r="ED42" s="464"/>
      <c r="EE42" s="464"/>
      <c r="EF42" s="464"/>
      <c r="EG42" s="464"/>
      <c r="EH42" s="464"/>
      <c r="EI42" s="464"/>
      <c r="EJ42" s="464"/>
      <c r="EK42" s="464"/>
      <c r="EL42" s="464"/>
      <c r="EM42" s="464"/>
      <c r="EN42" s="464"/>
      <c r="EO42" s="464"/>
      <c r="EP42" s="464"/>
      <c r="EQ42" s="464"/>
      <c r="ER42" s="464"/>
      <c r="ES42" s="464"/>
      <c r="ET42" s="464"/>
      <c r="EU42" s="464"/>
      <c r="EV42" s="464"/>
      <c r="EW42" s="464"/>
      <c r="EX42" s="464"/>
      <c r="EY42" s="464"/>
      <c r="EZ42" s="464"/>
      <c r="FA42" s="464"/>
      <c r="FB42" s="464"/>
      <c r="FC42" s="464"/>
      <c r="FD42" s="464"/>
      <c r="FE42" s="464"/>
      <c r="FF42" s="472">
        <f>MEDIAN(T42,AF42)</f>
        <v>47500</v>
      </c>
      <c r="FG42" s="472">
        <f>AVERAGE(T42,AF42)</f>
        <v>47500</v>
      </c>
      <c r="FH42" s="473">
        <f>STDEV(T42,AF42)</f>
        <v>3535.5339059327375</v>
      </c>
      <c r="FI42" s="476">
        <f t="shared" si="12"/>
        <v>7.4432292756478682E-2</v>
      </c>
      <c r="FJ42" s="475">
        <f t="shared" si="13"/>
        <v>47500</v>
      </c>
      <c r="FK42" s="469">
        <f t="shared" si="18"/>
        <v>47500</v>
      </c>
      <c r="FL42" s="467" t="s">
        <v>621</v>
      </c>
      <c r="FM42" s="470"/>
    </row>
    <row r="43" spans="1:169" s="457" customFormat="1" ht="32.5" customHeight="1" x14ac:dyDescent="0.35">
      <c r="A43" s="458">
        <v>39</v>
      </c>
      <c r="B43" s="459" t="s">
        <v>697</v>
      </c>
      <c r="C43" s="460" t="s">
        <v>698</v>
      </c>
      <c r="D43" s="461" t="s">
        <v>620</v>
      </c>
      <c r="E43" s="458">
        <v>1</v>
      </c>
      <c r="F43" s="463"/>
      <c r="G43" s="463"/>
      <c r="H43" s="463"/>
      <c r="I43" s="463"/>
      <c r="J43" s="463"/>
      <c r="K43" s="463"/>
      <c r="L43" s="464"/>
      <c r="M43" s="464"/>
      <c r="N43" s="464"/>
      <c r="O43" s="464"/>
      <c r="P43" s="464"/>
      <c r="Q43" s="464"/>
      <c r="R43" s="464"/>
      <c r="S43" s="464"/>
      <c r="T43" s="464">
        <v>17000</v>
      </c>
      <c r="U43" s="464">
        <f t="shared" ref="U43:U50" si="27">+T43*E43</f>
        <v>17000</v>
      </c>
      <c r="V43" s="464"/>
      <c r="W43" s="464"/>
      <c r="X43" s="464"/>
      <c r="Y43" s="464"/>
      <c r="Z43" s="464"/>
      <c r="AA43" s="464"/>
      <c r="AB43" s="464"/>
      <c r="AC43" s="464"/>
      <c r="AD43" s="463">
        <v>21063</v>
      </c>
      <c r="AE43" s="464">
        <f t="shared" si="25"/>
        <v>21063</v>
      </c>
      <c r="AF43" s="464">
        <v>35000</v>
      </c>
      <c r="AG43" s="464">
        <f t="shared" si="26"/>
        <v>35000</v>
      </c>
      <c r="AH43" s="464"/>
      <c r="AI43" s="464"/>
      <c r="AJ43" s="464"/>
      <c r="AK43" s="464"/>
      <c r="AL43" s="464"/>
      <c r="AM43" s="464"/>
      <c r="AN43" s="464"/>
      <c r="AO43" s="464"/>
      <c r="AP43" s="464"/>
      <c r="AQ43" s="464"/>
      <c r="AR43" s="464"/>
      <c r="AS43" s="464"/>
      <c r="AT43" s="464"/>
      <c r="AU43" s="464"/>
      <c r="AV43" s="464"/>
      <c r="AW43" s="464"/>
      <c r="AX43" s="464"/>
      <c r="AY43" s="464"/>
      <c r="AZ43" s="464"/>
      <c r="BA43" s="464"/>
      <c r="BB43" s="464"/>
      <c r="BC43" s="464"/>
      <c r="BD43" s="464"/>
      <c r="BE43" s="464"/>
      <c r="BF43" s="464"/>
      <c r="BG43" s="464"/>
      <c r="BH43" s="464"/>
      <c r="BI43" s="464"/>
      <c r="BJ43" s="464"/>
      <c r="BK43" s="464"/>
      <c r="BL43" s="464"/>
      <c r="BM43" s="464"/>
      <c r="BN43" s="464"/>
      <c r="BO43" s="464"/>
      <c r="BP43" s="464"/>
      <c r="BQ43" s="464"/>
      <c r="BR43" s="464"/>
      <c r="BS43" s="464"/>
      <c r="BT43" s="464"/>
      <c r="BU43" s="464"/>
      <c r="BV43" s="464"/>
      <c r="BW43" s="464"/>
      <c r="BX43" s="464"/>
      <c r="BY43" s="464"/>
      <c r="BZ43" s="464"/>
      <c r="CA43" s="464"/>
      <c r="CB43" s="464"/>
      <c r="CC43" s="464"/>
      <c r="CD43" s="464"/>
      <c r="CE43" s="464"/>
      <c r="CF43" s="464"/>
      <c r="CG43" s="464"/>
      <c r="CH43" s="464"/>
      <c r="CI43" s="464"/>
      <c r="CJ43" s="464"/>
      <c r="CK43" s="464"/>
      <c r="CL43" s="464"/>
      <c r="CM43" s="464"/>
      <c r="CN43" s="464"/>
      <c r="CO43" s="464"/>
      <c r="CP43" s="464"/>
      <c r="CQ43" s="464"/>
      <c r="CR43" s="464"/>
      <c r="CS43" s="464"/>
      <c r="CT43" s="464"/>
      <c r="CU43" s="464"/>
      <c r="CV43" s="464"/>
      <c r="CW43" s="464"/>
      <c r="CX43" s="464"/>
      <c r="CY43" s="464"/>
      <c r="CZ43" s="464"/>
      <c r="DA43" s="464"/>
      <c r="DB43" s="464"/>
      <c r="DC43" s="464"/>
      <c r="DD43" s="464"/>
      <c r="DE43" s="464"/>
      <c r="DF43" s="464"/>
      <c r="DG43" s="464"/>
      <c r="DH43" s="464"/>
      <c r="DI43" s="464"/>
      <c r="DJ43" s="464"/>
      <c r="DK43" s="464"/>
      <c r="DL43" s="464"/>
      <c r="DM43" s="464"/>
      <c r="DN43" s="464"/>
      <c r="DO43" s="464"/>
      <c r="DP43" s="464"/>
      <c r="DQ43" s="464"/>
      <c r="DR43" s="464"/>
      <c r="DS43" s="464"/>
      <c r="DT43" s="464"/>
      <c r="DU43" s="464"/>
      <c r="DV43" s="464"/>
      <c r="DW43" s="464"/>
      <c r="DX43" s="464"/>
      <c r="DY43" s="464"/>
      <c r="DZ43" s="464"/>
      <c r="EA43" s="464"/>
      <c r="EB43" s="464"/>
      <c r="EC43" s="464"/>
      <c r="ED43" s="464"/>
      <c r="EE43" s="464"/>
      <c r="EF43" s="464"/>
      <c r="EG43" s="464"/>
      <c r="EH43" s="464"/>
      <c r="EI43" s="464"/>
      <c r="EJ43" s="464"/>
      <c r="EK43" s="464"/>
      <c r="EL43" s="464"/>
      <c r="EM43" s="464"/>
      <c r="EN43" s="464"/>
      <c r="EO43" s="464"/>
      <c r="EP43" s="464"/>
      <c r="EQ43" s="464"/>
      <c r="ER43" s="464"/>
      <c r="ES43" s="464"/>
      <c r="ET43" s="464"/>
      <c r="EU43" s="464"/>
      <c r="EV43" s="464"/>
      <c r="EW43" s="464"/>
      <c r="EX43" s="464"/>
      <c r="EY43" s="464"/>
      <c r="EZ43" s="464"/>
      <c r="FA43" s="464"/>
      <c r="FB43" s="464"/>
      <c r="FC43" s="464"/>
      <c r="FD43" s="464"/>
      <c r="FE43" s="464"/>
      <c r="FF43" s="472">
        <f>MEDIAN(T43,AD43)</f>
        <v>19031.5</v>
      </c>
      <c r="FG43" s="472">
        <f>AVERAGE(T43,AD43)</f>
        <v>19031.5</v>
      </c>
      <c r="FH43" s="473">
        <f>STDEV(T43,AD43)</f>
        <v>2872.9748519609425</v>
      </c>
      <c r="FI43" s="476">
        <f t="shared" si="12"/>
        <v>0.15095892872137995</v>
      </c>
      <c r="FJ43" s="475">
        <f t="shared" si="13"/>
        <v>19032</v>
      </c>
      <c r="FK43" s="469">
        <f t="shared" si="18"/>
        <v>19032</v>
      </c>
      <c r="FL43" s="467" t="s">
        <v>621</v>
      </c>
      <c r="FM43" s="470"/>
    </row>
    <row r="44" spans="1:169" s="457" customFormat="1" ht="60" customHeight="1" x14ac:dyDescent="0.35">
      <c r="A44" s="458">
        <v>40</v>
      </c>
      <c r="B44" s="459" t="s">
        <v>699</v>
      </c>
      <c r="C44" s="460" t="s">
        <v>700</v>
      </c>
      <c r="D44" s="461" t="s">
        <v>620</v>
      </c>
      <c r="E44" s="458">
        <v>1</v>
      </c>
      <c r="F44" s="463"/>
      <c r="G44" s="463"/>
      <c r="H44" s="463"/>
      <c r="I44" s="463"/>
      <c r="J44" s="463"/>
      <c r="K44" s="463"/>
      <c r="L44" s="464"/>
      <c r="M44" s="464"/>
      <c r="N44" s="464"/>
      <c r="O44" s="464"/>
      <c r="P44" s="464"/>
      <c r="Q44" s="464"/>
      <c r="R44" s="464"/>
      <c r="S44" s="464"/>
      <c r="T44" s="464">
        <v>150000</v>
      </c>
      <c r="U44" s="464">
        <f t="shared" si="27"/>
        <v>150000</v>
      </c>
      <c r="V44" s="464"/>
      <c r="W44" s="464"/>
      <c r="X44" s="464"/>
      <c r="Y44" s="464"/>
      <c r="Z44" s="464"/>
      <c r="AA44" s="464"/>
      <c r="AB44" s="464"/>
      <c r="AC44" s="464"/>
      <c r="AD44" s="463">
        <v>245735</v>
      </c>
      <c r="AE44" s="464">
        <f t="shared" si="25"/>
        <v>245735</v>
      </c>
      <c r="AF44" s="464">
        <v>350000</v>
      </c>
      <c r="AG44" s="464">
        <f t="shared" si="26"/>
        <v>350000</v>
      </c>
      <c r="AH44" s="464"/>
      <c r="AI44" s="464"/>
      <c r="AJ44" s="464"/>
      <c r="AK44" s="464"/>
      <c r="AL44" s="464"/>
      <c r="AM44" s="464"/>
      <c r="AN44" s="464"/>
      <c r="AO44" s="464"/>
      <c r="AP44" s="464"/>
      <c r="AQ44" s="464"/>
      <c r="AR44" s="464"/>
      <c r="AS44" s="464"/>
      <c r="AT44" s="464"/>
      <c r="AU44" s="464"/>
      <c r="AV44" s="464"/>
      <c r="AW44" s="464"/>
      <c r="AX44" s="464"/>
      <c r="AY44" s="464"/>
      <c r="AZ44" s="464"/>
      <c r="BA44" s="464"/>
      <c r="BB44" s="464"/>
      <c r="BC44" s="464"/>
      <c r="BD44" s="464"/>
      <c r="BE44" s="464"/>
      <c r="BF44" s="464"/>
      <c r="BG44" s="464"/>
      <c r="BH44" s="464"/>
      <c r="BI44" s="464"/>
      <c r="BJ44" s="464"/>
      <c r="BK44" s="464"/>
      <c r="BL44" s="464"/>
      <c r="BM44" s="464"/>
      <c r="BN44" s="464"/>
      <c r="BO44" s="464"/>
      <c r="BP44" s="464"/>
      <c r="BQ44" s="464"/>
      <c r="BR44" s="464"/>
      <c r="BS44" s="464"/>
      <c r="BT44" s="464"/>
      <c r="BU44" s="464"/>
      <c r="BV44" s="464"/>
      <c r="BW44" s="464"/>
      <c r="BX44" s="464"/>
      <c r="BY44" s="464"/>
      <c r="BZ44" s="464"/>
      <c r="CA44" s="464"/>
      <c r="CB44" s="464"/>
      <c r="CC44" s="464"/>
      <c r="CD44" s="464"/>
      <c r="CE44" s="464"/>
      <c r="CF44" s="464"/>
      <c r="CG44" s="464"/>
      <c r="CH44" s="464"/>
      <c r="CI44" s="464"/>
      <c r="CJ44" s="464"/>
      <c r="CK44" s="464"/>
      <c r="CL44" s="464"/>
      <c r="CM44" s="464"/>
      <c r="CN44" s="464"/>
      <c r="CO44" s="464"/>
      <c r="CP44" s="464"/>
      <c r="CQ44" s="464"/>
      <c r="CR44" s="464"/>
      <c r="CS44" s="464"/>
      <c r="CT44" s="464"/>
      <c r="CU44" s="464"/>
      <c r="CV44" s="464"/>
      <c r="CW44" s="464"/>
      <c r="CX44" s="464"/>
      <c r="CY44" s="464"/>
      <c r="CZ44" s="464"/>
      <c r="DA44" s="464"/>
      <c r="DB44" s="464"/>
      <c r="DC44" s="464"/>
      <c r="DD44" s="464"/>
      <c r="DE44" s="464"/>
      <c r="DF44" s="464"/>
      <c r="DG44" s="464"/>
      <c r="DH44" s="464"/>
      <c r="DI44" s="464"/>
      <c r="DJ44" s="464"/>
      <c r="DK44" s="464"/>
      <c r="DL44" s="464"/>
      <c r="DM44" s="464"/>
      <c r="DN44" s="464"/>
      <c r="DO44" s="464"/>
      <c r="DP44" s="464"/>
      <c r="DQ44" s="464"/>
      <c r="DR44" s="464"/>
      <c r="DS44" s="464"/>
      <c r="DT44" s="464"/>
      <c r="DU44" s="464"/>
      <c r="DV44" s="464"/>
      <c r="DW44" s="464"/>
      <c r="DX44" s="464"/>
      <c r="DY44" s="464"/>
      <c r="DZ44" s="464"/>
      <c r="EA44" s="464"/>
      <c r="EB44" s="464"/>
      <c r="EC44" s="464"/>
      <c r="ED44" s="464"/>
      <c r="EE44" s="464"/>
      <c r="EF44" s="464"/>
      <c r="EG44" s="464"/>
      <c r="EH44" s="464"/>
      <c r="EI44" s="464"/>
      <c r="EJ44" s="464"/>
      <c r="EK44" s="464"/>
      <c r="EL44" s="464"/>
      <c r="EM44" s="464"/>
      <c r="EN44" s="464"/>
      <c r="EO44" s="464"/>
      <c r="EP44" s="464"/>
      <c r="EQ44" s="464"/>
      <c r="ER44" s="464"/>
      <c r="ES44" s="464"/>
      <c r="ET44" s="464"/>
      <c r="EU44" s="464"/>
      <c r="EV44" s="464"/>
      <c r="EW44" s="464"/>
      <c r="EX44" s="464"/>
      <c r="EY44" s="464"/>
      <c r="EZ44" s="464"/>
      <c r="FA44" s="464"/>
      <c r="FB44" s="464"/>
      <c r="FC44" s="464"/>
      <c r="FD44" s="464"/>
      <c r="FE44" s="464"/>
      <c r="FF44" s="472">
        <f>MEDIAN(AD44,AF44)</f>
        <v>297867.5</v>
      </c>
      <c r="FG44" s="472">
        <f>AVERAGE(AD44,AF44)</f>
        <v>297867.5</v>
      </c>
      <c r="FH44" s="473">
        <f>STDEV(AD44,AF44)</f>
        <v>73726.488540415376</v>
      </c>
      <c r="FI44" s="476">
        <f t="shared" si="12"/>
        <v>0.24751437649429822</v>
      </c>
      <c r="FJ44" s="475">
        <f t="shared" si="13"/>
        <v>297868</v>
      </c>
      <c r="FK44" s="469">
        <f t="shared" si="18"/>
        <v>297868</v>
      </c>
      <c r="FL44" s="467" t="s">
        <v>632</v>
      </c>
      <c r="FM44" s="470"/>
    </row>
    <row r="45" spans="1:169" s="457" customFormat="1" ht="190.5" customHeight="1" x14ac:dyDescent="0.35">
      <c r="A45" s="458">
        <v>41</v>
      </c>
      <c r="B45" s="459" t="s">
        <v>701</v>
      </c>
      <c r="C45" s="460" t="s">
        <v>702</v>
      </c>
      <c r="D45" s="461" t="s">
        <v>620</v>
      </c>
      <c r="E45" s="458">
        <v>1</v>
      </c>
      <c r="F45" s="463"/>
      <c r="G45" s="463"/>
      <c r="H45" s="463"/>
      <c r="I45" s="463"/>
      <c r="J45" s="463"/>
      <c r="K45" s="463"/>
      <c r="L45" s="464"/>
      <c r="M45" s="464"/>
      <c r="N45" s="464"/>
      <c r="O45" s="464"/>
      <c r="P45" s="464"/>
      <c r="Q45" s="464"/>
      <c r="R45" s="464"/>
      <c r="S45" s="464"/>
      <c r="T45" s="464">
        <v>750000</v>
      </c>
      <c r="U45" s="464">
        <f t="shared" si="27"/>
        <v>750000</v>
      </c>
      <c r="V45" s="464"/>
      <c r="W45" s="464"/>
      <c r="X45" s="464"/>
      <c r="Y45" s="464"/>
      <c r="Z45" s="464"/>
      <c r="AA45" s="464"/>
      <c r="AB45" s="464"/>
      <c r="AC45" s="464"/>
      <c r="AD45" s="463">
        <v>884646</v>
      </c>
      <c r="AE45" s="464">
        <f t="shared" si="25"/>
        <v>884646</v>
      </c>
      <c r="AF45" s="464">
        <v>500000</v>
      </c>
      <c r="AG45" s="464">
        <f t="shared" si="26"/>
        <v>500000</v>
      </c>
      <c r="AH45" s="464"/>
      <c r="AI45" s="464"/>
      <c r="AJ45" s="464"/>
      <c r="AK45" s="464"/>
      <c r="AL45" s="464"/>
      <c r="AM45" s="464"/>
      <c r="AN45" s="464"/>
      <c r="AO45" s="464"/>
      <c r="AP45" s="464"/>
      <c r="AQ45" s="464"/>
      <c r="AR45" s="464"/>
      <c r="AS45" s="464"/>
      <c r="AT45" s="464"/>
      <c r="AU45" s="464"/>
      <c r="AV45" s="464"/>
      <c r="AW45" s="464"/>
      <c r="AX45" s="464"/>
      <c r="AY45" s="464"/>
      <c r="AZ45" s="464"/>
      <c r="BA45" s="464"/>
      <c r="BB45" s="464"/>
      <c r="BC45" s="464"/>
      <c r="BD45" s="464"/>
      <c r="BE45" s="464"/>
      <c r="BF45" s="464"/>
      <c r="BG45" s="464"/>
      <c r="BH45" s="464"/>
      <c r="BI45" s="464"/>
      <c r="BJ45" s="464"/>
      <c r="BK45" s="464"/>
      <c r="BL45" s="464"/>
      <c r="BM45" s="464"/>
      <c r="BN45" s="464"/>
      <c r="BO45" s="464"/>
      <c r="BP45" s="464"/>
      <c r="BQ45" s="464"/>
      <c r="BR45" s="464"/>
      <c r="BS45" s="464"/>
      <c r="BT45" s="464"/>
      <c r="BU45" s="464"/>
      <c r="BV45" s="464"/>
      <c r="BW45" s="464"/>
      <c r="BX45" s="464"/>
      <c r="BY45" s="464"/>
      <c r="BZ45" s="464"/>
      <c r="CA45" s="464"/>
      <c r="CB45" s="464"/>
      <c r="CC45" s="464"/>
      <c r="CD45" s="464"/>
      <c r="CE45" s="464"/>
      <c r="CF45" s="464"/>
      <c r="CG45" s="464"/>
      <c r="CH45" s="464"/>
      <c r="CI45" s="464"/>
      <c r="CJ45" s="464"/>
      <c r="CK45" s="464"/>
      <c r="CL45" s="464"/>
      <c r="CM45" s="464"/>
      <c r="CN45" s="464"/>
      <c r="CO45" s="464"/>
      <c r="CP45" s="464"/>
      <c r="CQ45" s="464"/>
      <c r="CR45" s="464"/>
      <c r="CS45" s="464"/>
      <c r="CT45" s="464"/>
      <c r="CU45" s="464"/>
      <c r="CV45" s="464"/>
      <c r="CW45" s="464"/>
      <c r="CX45" s="464"/>
      <c r="CY45" s="464"/>
      <c r="CZ45" s="464"/>
      <c r="DA45" s="464"/>
      <c r="DB45" s="464"/>
      <c r="DC45" s="464"/>
      <c r="DD45" s="464"/>
      <c r="DE45" s="464"/>
      <c r="DF45" s="464"/>
      <c r="DG45" s="464"/>
      <c r="DH45" s="464"/>
      <c r="DI45" s="464"/>
      <c r="DJ45" s="464"/>
      <c r="DK45" s="464"/>
      <c r="DL45" s="464"/>
      <c r="DM45" s="464"/>
      <c r="DN45" s="464"/>
      <c r="DO45" s="464"/>
      <c r="DP45" s="464"/>
      <c r="DQ45" s="464"/>
      <c r="DR45" s="464"/>
      <c r="DS45" s="464"/>
      <c r="DT45" s="464"/>
      <c r="DU45" s="464"/>
      <c r="DV45" s="464"/>
      <c r="DW45" s="464"/>
      <c r="DX45" s="464"/>
      <c r="DY45" s="464"/>
      <c r="DZ45" s="464"/>
      <c r="EA45" s="464"/>
      <c r="EB45" s="464"/>
      <c r="EC45" s="464"/>
      <c r="ED45" s="464"/>
      <c r="EE45" s="464"/>
      <c r="EF45" s="464"/>
      <c r="EG45" s="464"/>
      <c r="EH45" s="464"/>
      <c r="EI45" s="464"/>
      <c r="EJ45" s="464"/>
      <c r="EK45" s="464"/>
      <c r="EL45" s="464"/>
      <c r="EM45" s="464"/>
      <c r="EN45" s="464"/>
      <c r="EO45" s="464"/>
      <c r="EP45" s="464"/>
      <c r="EQ45" s="464"/>
      <c r="ER45" s="464"/>
      <c r="ES45" s="464"/>
      <c r="ET45" s="464"/>
      <c r="EU45" s="464"/>
      <c r="EV45" s="464"/>
      <c r="EW45" s="464"/>
      <c r="EX45" s="464"/>
      <c r="EY45" s="464"/>
      <c r="EZ45" s="464"/>
      <c r="FA45" s="464"/>
      <c r="FB45" s="464"/>
      <c r="FC45" s="464"/>
      <c r="FD45" s="464"/>
      <c r="FE45" s="464"/>
      <c r="FF45" s="472">
        <f>MEDIAN(T45,AD45)</f>
        <v>817323</v>
      </c>
      <c r="FG45" s="472">
        <f>AVERAGE(T45,AD45)</f>
        <v>817323</v>
      </c>
      <c r="FH45" s="473">
        <f>STDEV(T45,AD45)</f>
        <v>95209.099659643878</v>
      </c>
      <c r="FI45" s="476">
        <f t="shared" si="12"/>
        <v>0.11648895193166457</v>
      </c>
      <c r="FJ45" s="475">
        <f t="shared" si="13"/>
        <v>817323</v>
      </c>
      <c r="FK45" s="469">
        <f t="shared" si="18"/>
        <v>817323</v>
      </c>
      <c r="FL45" s="467" t="s">
        <v>621</v>
      </c>
      <c r="FM45" s="470"/>
    </row>
    <row r="46" spans="1:169" s="457" customFormat="1" ht="99.75" customHeight="1" x14ac:dyDescent="0.35">
      <c r="A46" s="458">
        <v>42</v>
      </c>
      <c r="B46" s="459" t="s">
        <v>703</v>
      </c>
      <c r="C46" s="460" t="s">
        <v>704</v>
      </c>
      <c r="D46" s="461" t="s">
        <v>620</v>
      </c>
      <c r="E46" s="458">
        <v>1</v>
      </c>
      <c r="F46" s="463"/>
      <c r="G46" s="463"/>
      <c r="H46" s="463"/>
      <c r="I46" s="463"/>
      <c r="J46" s="463"/>
      <c r="K46" s="463"/>
      <c r="L46" s="464"/>
      <c r="M46" s="464"/>
      <c r="N46" s="464"/>
      <c r="O46" s="464"/>
      <c r="P46" s="464"/>
      <c r="Q46" s="464"/>
      <c r="R46" s="464"/>
      <c r="S46" s="464"/>
      <c r="T46" s="464"/>
      <c r="U46" s="464">
        <f t="shared" si="27"/>
        <v>0</v>
      </c>
      <c r="V46" s="464"/>
      <c r="W46" s="464"/>
      <c r="X46" s="464"/>
      <c r="Y46" s="464"/>
      <c r="Z46" s="464"/>
      <c r="AA46" s="464"/>
      <c r="AB46" s="464"/>
      <c r="AC46" s="464"/>
      <c r="AD46" s="463">
        <v>2019239.5999999999</v>
      </c>
      <c r="AE46" s="464">
        <f t="shared" si="25"/>
        <v>2019239.5999999999</v>
      </c>
      <c r="AF46" s="464">
        <v>2330000</v>
      </c>
      <c r="AG46" s="464">
        <f t="shared" si="26"/>
        <v>2330000</v>
      </c>
      <c r="AH46" s="464"/>
      <c r="AI46" s="464"/>
      <c r="AJ46" s="464"/>
      <c r="AK46" s="464"/>
      <c r="AL46" s="464"/>
      <c r="AM46" s="464"/>
      <c r="AN46" s="464"/>
      <c r="AO46" s="464"/>
      <c r="AP46" s="464"/>
      <c r="AQ46" s="464"/>
      <c r="AR46" s="464"/>
      <c r="AS46" s="464"/>
      <c r="AT46" s="464"/>
      <c r="AU46" s="464"/>
      <c r="AV46" s="464"/>
      <c r="AW46" s="464"/>
      <c r="AX46" s="464"/>
      <c r="AY46" s="464"/>
      <c r="AZ46" s="464"/>
      <c r="BA46" s="464"/>
      <c r="BB46" s="464"/>
      <c r="BC46" s="464"/>
      <c r="BD46" s="464"/>
      <c r="BE46" s="464"/>
      <c r="BF46" s="464"/>
      <c r="BG46" s="464"/>
      <c r="BH46" s="464"/>
      <c r="BI46" s="464"/>
      <c r="BJ46" s="464"/>
      <c r="BK46" s="464"/>
      <c r="BL46" s="464"/>
      <c r="BM46" s="464"/>
      <c r="BN46" s="464"/>
      <c r="BO46" s="464"/>
      <c r="BP46" s="464"/>
      <c r="BQ46" s="464"/>
      <c r="BR46" s="464"/>
      <c r="BS46" s="464"/>
      <c r="BT46" s="464"/>
      <c r="BU46" s="464"/>
      <c r="BV46" s="464"/>
      <c r="BW46" s="464"/>
      <c r="BX46" s="464"/>
      <c r="BY46" s="464"/>
      <c r="BZ46" s="464"/>
      <c r="CA46" s="464"/>
      <c r="CB46" s="464"/>
      <c r="CC46" s="464"/>
      <c r="CD46" s="464"/>
      <c r="CE46" s="464"/>
      <c r="CF46" s="464"/>
      <c r="CG46" s="464"/>
      <c r="CH46" s="464"/>
      <c r="CI46" s="464"/>
      <c r="CJ46" s="464"/>
      <c r="CK46" s="464"/>
      <c r="CL46" s="464"/>
      <c r="CM46" s="464"/>
      <c r="CN46" s="464"/>
      <c r="CO46" s="464"/>
      <c r="CP46" s="464"/>
      <c r="CQ46" s="464"/>
      <c r="CR46" s="464"/>
      <c r="CS46" s="464"/>
      <c r="CT46" s="464"/>
      <c r="CU46" s="464"/>
      <c r="CV46" s="464"/>
      <c r="CW46" s="464"/>
      <c r="CX46" s="464"/>
      <c r="CY46" s="464"/>
      <c r="CZ46" s="464"/>
      <c r="DA46" s="464"/>
      <c r="DB46" s="464"/>
      <c r="DC46" s="464"/>
      <c r="DD46" s="464"/>
      <c r="DE46" s="464"/>
      <c r="DF46" s="464"/>
      <c r="DG46" s="464"/>
      <c r="DH46" s="464"/>
      <c r="DI46" s="464"/>
      <c r="DJ46" s="464"/>
      <c r="DK46" s="464"/>
      <c r="DL46" s="464"/>
      <c r="DM46" s="464"/>
      <c r="DN46" s="464"/>
      <c r="DO46" s="464"/>
      <c r="DP46" s="464"/>
      <c r="DQ46" s="464"/>
      <c r="DR46" s="464"/>
      <c r="DS46" s="464"/>
      <c r="DT46" s="464"/>
      <c r="DU46" s="464"/>
      <c r="DV46" s="464"/>
      <c r="DW46" s="464"/>
      <c r="DX46" s="464"/>
      <c r="DY46" s="464"/>
      <c r="DZ46" s="464"/>
      <c r="EA46" s="464"/>
      <c r="EB46" s="464"/>
      <c r="EC46" s="464"/>
      <c r="ED46" s="464"/>
      <c r="EE46" s="464"/>
      <c r="EF46" s="464"/>
      <c r="EG46" s="464"/>
      <c r="EH46" s="464"/>
      <c r="EI46" s="464"/>
      <c r="EJ46" s="464"/>
      <c r="EK46" s="464"/>
      <c r="EL46" s="464"/>
      <c r="EM46" s="464"/>
      <c r="EN46" s="464"/>
      <c r="EO46" s="464"/>
      <c r="EP46" s="464"/>
      <c r="EQ46" s="464"/>
      <c r="ER46" s="464"/>
      <c r="ES46" s="464"/>
      <c r="ET46" s="464"/>
      <c r="EU46" s="464"/>
      <c r="EV46" s="464"/>
      <c r="EW46" s="464"/>
      <c r="EX46" s="464"/>
      <c r="EY46" s="464"/>
      <c r="EZ46" s="464"/>
      <c r="FA46" s="464"/>
      <c r="FB46" s="464"/>
      <c r="FC46" s="464"/>
      <c r="FD46" s="464"/>
      <c r="FE46" s="464"/>
      <c r="FF46" s="472">
        <f>MEDIAN(AD46,AF46)</f>
        <v>2174619.7999999998</v>
      </c>
      <c r="FG46" s="472">
        <f>AVERAGE(AD46,AF46)</f>
        <v>2174619.7999999998</v>
      </c>
      <c r="FH46" s="473">
        <f>STDEV(AD46,AF46)</f>
        <v>219740.78616424408</v>
      </c>
      <c r="FI46" s="476">
        <f t="shared" si="12"/>
        <v>0.10104791015157873</v>
      </c>
      <c r="FJ46" s="475">
        <f t="shared" si="13"/>
        <v>2174620</v>
      </c>
      <c r="FK46" s="469">
        <f t="shared" si="18"/>
        <v>2174620</v>
      </c>
      <c r="FL46" s="467" t="s">
        <v>621</v>
      </c>
      <c r="FM46" s="470"/>
    </row>
    <row r="47" spans="1:169" s="457" customFormat="1" ht="102.75" customHeight="1" x14ac:dyDescent="0.35">
      <c r="A47" s="458">
        <v>43</v>
      </c>
      <c r="B47" s="459" t="s">
        <v>705</v>
      </c>
      <c r="C47" s="460" t="s">
        <v>706</v>
      </c>
      <c r="D47" s="461" t="s">
        <v>620</v>
      </c>
      <c r="E47" s="458">
        <v>1</v>
      </c>
      <c r="F47" s="463"/>
      <c r="G47" s="463"/>
      <c r="H47" s="463"/>
      <c r="I47" s="463"/>
      <c r="J47" s="463"/>
      <c r="K47" s="463"/>
      <c r="L47" s="464"/>
      <c r="M47" s="464"/>
      <c r="N47" s="464"/>
      <c r="O47" s="464"/>
      <c r="P47" s="464"/>
      <c r="Q47" s="464"/>
      <c r="R47" s="464"/>
      <c r="S47" s="464"/>
      <c r="T47" s="464">
        <v>780000</v>
      </c>
      <c r="U47" s="464">
        <f t="shared" si="27"/>
        <v>780000</v>
      </c>
      <c r="V47" s="464"/>
      <c r="W47" s="464"/>
      <c r="X47" s="464"/>
      <c r="Y47" s="464"/>
      <c r="Z47" s="464"/>
      <c r="AA47" s="464"/>
      <c r="AB47" s="464"/>
      <c r="AC47" s="464"/>
      <c r="AD47" s="463">
        <v>1079829.8</v>
      </c>
      <c r="AE47" s="464">
        <f t="shared" si="25"/>
        <v>1079829.8</v>
      </c>
      <c r="AF47" s="464">
        <v>1250000</v>
      </c>
      <c r="AG47" s="464">
        <f t="shared" si="26"/>
        <v>1250000</v>
      </c>
      <c r="AH47" s="464"/>
      <c r="AI47" s="464"/>
      <c r="AJ47" s="464"/>
      <c r="AK47" s="464"/>
      <c r="AL47" s="464"/>
      <c r="AM47" s="464"/>
      <c r="AN47" s="464"/>
      <c r="AO47" s="464"/>
      <c r="AP47" s="464"/>
      <c r="AQ47" s="464"/>
      <c r="AR47" s="464"/>
      <c r="AS47" s="464"/>
      <c r="AT47" s="464"/>
      <c r="AU47" s="464"/>
      <c r="AV47" s="464"/>
      <c r="AW47" s="464"/>
      <c r="AX47" s="464"/>
      <c r="AY47" s="464"/>
      <c r="AZ47" s="464"/>
      <c r="BA47" s="464"/>
      <c r="BB47" s="464"/>
      <c r="BC47" s="464"/>
      <c r="BD47" s="464"/>
      <c r="BE47" s="464"/>
      <c r="BF47" s="464"/>
      <c r="BG47" s="464"/>
      <c r="BH47" s="464"/>
      <c r="BI47" s="464"/>
      <c r="BJ47" s="464"/>
      <c r="BK47" s="464"/>
      <c r="BL47" s="464"/>
      <c r="BM47" s="464"/>
      <c r="BN47" s="464"/>
      <c r="BO47" s="464"/>
      <c r="BP47" s="464"/>
      <c r="BQ47" s="464"/>
      <c r="BR47" s="464"/>
      <c r="BS47" s="464"/>
      <c r="BT47" s="464"/>
      <c r="BU47" s="464"/>
      <c r="BV47" s="464"/>
      <c r="BW47" s="464"/>
      <c r="BX47" s="464"/>
      <c r="BY47" s="464"/>
      <c r="BZ47" s="464"/>
      <c r="CA47" s="464"/>
      <c r="CB47" s="464"/>
      <c r="CC47" s="464"/>
      <c r="CD47" s="464"/>
      <c r="CE47" s="464"/>
      <c r="CF47" s="464"/>
      <c r="CG47" s="464"/>
      <c r="CH47" s="464"/>
      <c r="CI47" s="464"/>
      <c r="CJ47" s="464"/>
      <c r="CK47" s="464"/>
      <c r="CL47" s="464"/>
      <c r="CM47" s="464"/>
      <c r="CN47" s="464"/>
      <c r="CO47" s="464"/>
      <c r="CP47" s="464"/>
      <c r="CQ47" s="464"/>
      <c r="CR47" s="464"/>
      <c r="CS47" s="464"/>
      <c r="CT47" s="464"/>
      <c r="CU47" s="464"/>
      <c r="CV47" s="464"/>
      <c r="CW47" s="464"/>
      <c r="CX47" s="464"/>
      <c r="CY47" s="464"/>
      <c r="CZ47" s="464"/>
      <c r="DA47" s="464"/>
      <c r="DB47" s="464"/>
      <c r="DC47" s="464"/>
      <c r="DD47" s="464"/>
      <c r="DE47" s="464"/>
      <c r="DF47" s="464"/>
      <c r="DG47" s="464"/>
      <c r="DH47" s="464"/>
      <c r="DI47" s="464"/>
      <c r="DJ47" s="464"/>
      <c r="DK47" s="464"/>
      <c r="DL47" s="464"/>
      <c r="DM47" s="464"/>
      <c r="DN47" s="464"/>
      <c r="DO47" s="464"/>
      <c r="DP47" s="464"/>
      <c r="DQ47" s="464"/>
      <c r="DR47" s="464"/>
      <c r="DS47" s="464"/>
      <c r="DT47" s="464"/>
      <c r="DU47" s="464"/>
      <c r="DV47" s="464"/>
      <c r="DW47" s="464"/>
      <c r="DX47" s="464"/>
      <c r="DY47" s="464"/>
      <c r="DZ47" s="464"/>
      <c r="EA47" s="464"/>
      <c r="EB47" s="464"/>
      <c r="EC47" s="464"/>
      <c r="ED47" s="464"/>
      <c r="EE47" s="464"/>
      <c r="EF47" s="464"/>
      <c r="EG47" s="464"/>
      <c r="EH47" s="464"/>
      <c r="EI47" s="464"/>
      <c r="EJ47" s="464"/>
      <c r="EK47" s="464"/>
      <c r="EL47" s="464"/>
      <c r="EM47" s="464"/>
      <c r="EN47" s="464"/>
      <c r="EO47" s="464"/>
      <c r="EP47" s="464"/>
      <c r="EQ47" s="464"/>
      <c r="ER47" s="464"/>
      <c r="ES47" s="464"/>
      <c r="ET47" s="464"/>
      <c r="EU47" s="464"/>
      <c r="EV47" s="464"/>
      <c r="EW47" s="464"/>
      <c r="EX47" s="464"/>
      <c r="EY47" s="464"/>
      <c r="EZ47" s="464"/>
      <c r="FA47" s="464"/>
      <c r="FB47" s="464"/>
      <c r="FC47" s="464"/>
      <c r="FD47" s="464"/>
      <c r="FE47" s="464"/>
      <c r="FF47" s="472">
        <f>MEDIAN(AD47,AF47)</f>
        <v>1164914.8999999999</v>
      </c>
      <c r="FG47" s="472">
        <f>AVERAGE(AD47,AF47)</f>
        <v>1164914.8999999999</v>
      </c>
      <c r="FH47" s="473">
        <f>STDEV(AD47,AF47)</f>
        <v>120328.502375871</v>
      </c>
      <c r="FI47" s="476">
        <f t="shared" si="12"/>
        <v>0.1032938134587093</v>
      </c>
      <c r="FJ47" s="475">
        <f t="shared" si="13"/>
        <v>1164915</v>
      </c>
      <c r="FK47" s="469">
        <f t="shared" si="18"/>
        <v>1164915</v>
      </c>
      <c r="FL47" s="467" t="s">
        <v>621</v>
      </c>
      <c r="FM47" s="470"/>
    </row>
    <row r="48" spans="1:169" s="457" customFormat="1" ht="67.5" customHeight="1" x14ac:dyDescent="0.35">
      <c r="A48" s="458">
        <v>44</v>
      </c>
      <c r="B48" s="459" t="s">
        <v>707</v>
      </c>
      <c r="C48" s="460" t="s">
        <v>708</v>
      </c>
      <c r="D48" s="461" t="s">
        <v>620</v>
      </c>
      <c r="E48" s="458">
        <v>1</v>
      </c>
      <c r="F48" s="463"/>
      <c r="G48" s="463"/>
      <c r="H48" s="463"/>
      <c r="I48" s="463"/>
      <c r="J48" s="463"/>
      <c r="K48" s="463"/>
      <c r="L48" s="464"/>
      <c r="M48" s="464"/>
      <c r="N48" s="464"/>
      <c r="O48" s="464"/>
      <c r="P48" s="464"/>
      <c r="Q48" s="464"/>
      <c r="R48" s="464"/>
      <c r="S48" s="464"/>
      <c r="T48" s="464"/>
      <c r="U48" s="464">
        <f t="shared" si="27"/>
        <v>0</v>
      </c>
      <c r="V48" s="464"/>
      <c r="W48" s="464"/>
      <c r="X48" s="464"/>
      <c r="Y48" s="464"/>
      <c r="Z48" s="464"/>
      <c r="AA48" s="464"/>
      <c r="AB48" s="464"/>
      <c r="AC48" s="464"/>
      <c r="AD48" s="463">
        <v>647336.19999999995</v>
      </c>
      <c r="AE48" s="464">
        <f t="shared" si="25"/>
        <v>647336.19999999995</v>
      </c>
      <c r="AF48" s="464">
        <v>1250000</v>
      </c>
      <c r="AG48" s="464">
        <f t="shared" si="26"/>
        <v>1250000</v>
      </c>
      <c r="AH48" s="464"/>
      <c r="AI48" s="464"/>
      <c r="AJ48" s="464"/>
      <c r="AK48" s="464"/>
      <c r="AL48" s="464"/>
      <c r="AM48" s="464"/>
      <c r="AN48" s="464"/>
      <c r="AO48" s="464"/>
      <c r="AP48" s="464">
        <f>+(799900*26%)+799900</f>
        <v>1007874</v>
      </c>
      <c r="AQ48" s="464"/>
      <c r="AR48" s="464"/>
      <c r="AS48" s="464"/>
      <c r="AT48" s="464"/>
      <c r="AU48" s="464"/>
      <c r="AV48" s="464"/>
      <c r="AW48" s="464"/>
      <c r="AX48" s="464"/>
      <c r="AY48" s="464"/>
      <c r="AZ48" s="464"/>
      <c r="BA48" s="464"/>
      <c r="BB48" s="464"/>
      <c r="BC48" s="464"/>
      <c r="BD48" s="464"/>
      <c r="BE48" s="464"/>
      <c r="BF48" s="464"/>
      <c r="BG48" s="464"/>
      <c r="BH48" s="464"/>
      <c r="BI48" s="464"/>
      <c r="BJ48" s="464"/>
      <c r="BK48" s="464"/>
      <c r="BL48" s="464"/>
      <c r="BM48" s="464"/>
      <c r="BN48" s="464"/>
      <c r="BO48" s="464"/>
      <c r="BP48" s="464"/>
      <c r="BQ48" s="464"/>
      <c r="BR48" s="464"/>
      <c r="BS48" s="464"/>
      <c r="BT48" s="464"/>
      <c r="BU48" s="464"/>
      <c r="BV48" s="464"/>
      <c r="BW48" s="464"/>
      <c r="BX48" s="464"/>
      <c r="BY48" s="464"/>
      <c r="BZ48" s="464"/>
      <c r="CA48" s="464"/>
      <c r="CB48" s="464"/>
      <c r="CC48" s="464"/>
      <c r="CD48" s="464"/>
      <c r="CE48" s="464"/>
      <c r="CF48" s="464"/>
      <c r="CG48" s="464"/>
      <c r="CH48" s="464"/>
      <c r="CI48" s="464"/>
      <c r="CJ48" s="464"/>
      <c r="CK48" s="464"/>
      <c r="CL48" s="464"/>
      <c r="CM48" s="464"/>
      <c r="CN48" s="464"/>
      <c r="CO48" s="464"/>
      <c r="CP48" s="464"/>
      <c r="CQ48" s="464"/>
      <c r="CR48" s="464"/>
      <c r="CS48" s="464"/>
      <c r="CT48" s="464"/>
      <c r="CU48" s="464"/>
      <c r="CV48" s="464"/>
      <c r="CW48" s="464"/>
      <c r="CX48" s="464"/>
      <c r="CY48" s="464"/>
      <c r="CZ48" s="464"/>
      <c r="DA48" s="464"/>
      <c r="DB48" s="464"/>
      <c r="DC48" s="464"/>
      <c r="DD48" s="464"/>
      <c r="DE48" s="464"/>
      <c r="DF48" s="464"/>
      <c r="DG48" s="464"/>
      <c r="DH48" s="464"/>
      <c r="DI48" s="464"/>
      <c r="DJ48" s="464"/>
      <c r="DK48" s="464"/>
      <c r="DL48" s="464"/>
      <c r="DM48" s="464"/>
      <c r="DN48" s="464"/>
      <c r="DO48" s="464"/>
      <c r="DP48" s="464"/>
      <c r="DQ48" s="464"/>
      <c r="DR48" s="464"/>
      <c r="DS48" s="464"/>
      <c r="DT48" s="464"/>
      <c r="DU48" s="464"/>
      <c r="DV48" s="464"/>
      <c r="DW48" s="464"/>
      <c r="DX48" s="464"/>
      <c r="DY48" s="464"/>
      <c r="DZ48" s="464"/>
      <c r="EA48" s="464"/>
      <c r="EB48" s="464"/>
      <c r="EC48" s="464"/>
      <c r="ED48" s="464"/>
      <c r="EE48" s="464"/>
      <c r="EF48" s="464"/>
      <c r="EG48" s="464"/>
      <c r="EH48" s="464"/>
      <c r="EI48" s="464"/>
      <c r="EJ48" s="464"/>
      <c r="EK48" s="464"/>
      <c r="EL48" s="464"/>
      <c r="EM48" s="464"/>
      <c r="EN48" s="464"/>
      <c r="EO48" s="464"/>
      <c r="EP48" s="464"/>
      <c r="EQ48" s="464"/>
      <c r="ER48" s="464"/>
      <c r="ES48" s="464"/>
      <c r="ET48" s="464"/>
      <c r="EU48" s="464"/>
      <c r="EV48" s="464"/>
      <c r="EW48" s="464"/>
      <c r="EX48" s="464"/>
      <c r="EY48" s="464"/>
      <c r="EZ48" s="464"/>
      <c r="FA48" s="464"/>
      <c r="FB48" s="464"/>
      <c r="FC48" s="464"/>
      <c r="FD48" s="464"/>
      <c r="FE48" s="464"/>
      <c r="FF48" s="472">
        <f>MEDIAN(AF48,AP48)</f>
        <v>1128937</v>
      </c>
      <c r="FG48" s="472">
        <f>AVERAGE(AF48,AP48)</f>
        <v>1128937</v>
      </c>
      <c r="FH48" s="473">
        <f>STDEV(AF48,AP48)</f>
        <v>171208.936501574</v>
      </c>
      <c r="FI48" s="476">
        <f t="shared" si="12"/>
        <v>0.15165499625007772</v>
      </c>
      <c r="FJ48" s="475">
        <f t="shared" si="13"/>
        <v>1128937</v>
      </c>
      <c r="FK48" s="469">
        <f t="shared" si="18"/>
        <v>1128937</v>
      </c>
      <c r="FL48" s="467" t="s">
        <v>621</v>
      </c>
      <c r="FM48" s="470"/>
    </row>
    <row r="49" spans="1:169" s="457" customFormat="1" ht="141.75" customHeight="1" x14ac:dyDescent="0.35">
      <c r="A49" s="458">
        <v>45</v>
      </c>
      <c r="B49" s="459" t="s">
        <v>709</v>
      </c>
      <c r="C49" s="460" t="s">
        <v>710</v>
      </c>
      <c r="D49" s="461" t="s">
        <v>620</v>
      </c>
      <c r="E49" s="458">
        <v>1</v>
      </c>
      <c r="F49" s="463"/>
      <c r="G49" s="463"/>
      <c r="H49" s="463"/>
      <c r="I49" s="463"/>
      <c r="J49" s="463"/>
      <c r="K49" s="463"/>
      <c r="L49" s="464"/>
      <c r="M49" s="464"/>
      <c r="N49" s="464"/>
      <c r="O49" s="464"/>
      <c r="P49" s="464"/>
      <c r="Q49" s="464"/>
      <c r="R49" s="464"/>
      <c r="S49" s="464"/>
      <c r="T49" s="464">
        <v>1550000</v>
      </c>
      <c r="U49" s="464">
        <f t="shared" si="27"/>
        <v>1550000</v>
      </c>
      <c r="V49" s="464"/>
      <c r="W49" s="464"/>
      <c r="X49" s="464"/>
      <c r="Y49" s="464"/>
      <c r="Z49" s="464"/>
      <c r="AA49" s="464"/>
      <c r="AB49" s="464"/>
      <c r="AC49" s="464"/>
      <c r="AD49" s="463">
        <v>2387140</v>
      </c>
      <c r="AE49" s="464">
        <f t="shared" si="25"/>
        <v>2387140</v>
      </c>
      <c r="AF49" s="464">
        <v>1680000</v>
      </c>
      <c r="AG49" s="464">
        <f t="shared" si="26"/>
        <v>1680000</v>
      </c>
      <c r="AH49" s="464"/>
      <c r="AI49" s="464"/>
      <c r="AJ49" s="464"/>
      <c r="AK49" s="464"/>
      <c r="AL49" s="464"/>
      <c r="AM49" s="464"/>
      <c r="AN49" s="464"/>
      <c r="AO49" s="464"/>
      <c r="AP49" s="464"/>
      <c r="AQ49" s="464"/>
      <c r="AR49" s="464"/>
      <c r="AS49" s="464"/>
      <c r="AT49" s="464"/>
      <c r="AU49" s="464"/>
      <c r="AV49" s="464"/>
      <c r="AW49" s="464"/>
      <c r="AX49" s="464"/>
      <c r="AY49" s="464"/>
      <c r="AZ49" s="464"/>
      <c r="BA49" s="464"/>
      <c r="BB49" s="464"/>
      <c r="BC49" s="464"/>
      <c r="BD49" s="464"/>
      <c r="BE49" s="464"/>
      <c r="BF49" s="464"/>
      <c r="BG49" s="464"/>
      <c r="BH49" s="464"/>
      <c r="BI49" s="464"/>
      <c r="BJ49" s="464"/>
      <c r="BK49" s="464"/>
      <c r="BL49" s="464"/>
      <c r="BM49" s="464"/>
      <c r="BN49" s="464"/>
      <c r="BO49" s="464"/>
      <c r="BP49" s="464"/>
      <c r="BQ49" s="464"/>
      <c r="BR49" s="464"/>
      <c r="BS49" s="464"/>
      <c r="BT49" s="464"/>
      <c r="BU49" s="464"/>
      <c r="BV49" s="464"/>
      <c r="BW49" s="464"/>
      <c r="BX49" s="464"/>
      <c r="BY49" s="464"/>
      <c r="BZ49" s="464"/>
      <c r="CA49" s="464"/>
      <c r="CB49" s="464"/>
      <c r="CC49" s="464"/>
      <c r="CD49" s="464"/>
      <c r="CE49" s="464"/>
      <c r="CF49" s="464"/>
      <c r="CG49" s="464"/>
      <c r="CH49" s="464"/>
      <c r="CI49" s="464"/>
      <c r="CJ49" s="464"/>
      <c r="CK49" s="464"/>
      <c r="CL49" s="464"/>
      <c r="CM49" s="464"/>
      <c r="CN49" s="464"/>
      <c r="CO49" s="464"/>
      <c r="CP49" s="464"/>
      <c r="CQ49" s="464"/>
      <c r="CR49" s="464"/>
      <c r="CS49" s="464"/>
      <c r="CT49" s="464"/>
      <c r="CU49" s="464"/>
      <c r="CV49" s="464"/>
      <c r="CW49" s="464"/>
      <c r="CX49" s="464"/>
      <c r="CY49" s="464"/>
      <c r="CZ49" s="464"/>
      <c r="DA49" s="464"/>
      <c r="DB49" s="464"/>
      <c r="DC49" s="464"/>
      <c r="DD49" s="464"/>
      <c r="DE49" s="464"/>
      <c r="DF49" s="464"/>
      <c r="DG49" s="464"/>
      <c r="DH49" s="464"/>
      <c r="DI49" s="464"/>
      <c r="DJ49" s="464"/>
      <c r="DK49" s="464"/>
      <c r="DL49" s="464"/>
      <c r="DM49" s="464"/>
      <c r="DN49" s="464"/>
      <c r="DO49" s="464"/>
      <c r="DP49" s="464"/>
      <c r="DQ49" s="464"/>
      <c r="DR49" s="464"/>
      <c r="DS49" s="464"/>
      <c r="DT49" s="464"/>
      <c r="DU49" s="464"/>
      <c r="DV49" s="464"/>
      <c r="DW49" s="464"/>
      <c r="DX49" s="464"/>
      <c r="DY49" s="464"/>
      <c r="DZ49" s="464"/>
      <c r="EA49" s="464"/>
      <c r="EB49" s="464"/>
      <c r="EC49" s="464"/>
      <c r="ED49" s="464"/>
      <c r="EE49" s="464"/>
      <c r="EF49" s="464"/>
      <c r="EG49" s="464"/>
      <c r="EH49" s="464"/>
      <c r="EI49" s="464"/>
      <c r="EJ49" s="464"/>
      <c r="EK49" s="464"/>
      <c r="EL49" s="464"/>
      <c r="EM49" s="464"/>
      <c r="EN49" s="464"/>
      <c r="EO49" s="464"/>
      <c r="EP49" s="464"/>
      <c r="EQ49" s="464"/>
      <c r="ER49" s="464"/>
      <c r="ES49" s="464"/>
      <c r="ET49" s="464"/>
      <c r="EU49" s="464"/>
      <c r="EV49" s="464"/>
      <c r="EW49" s="464"/>
      <c r="EX49" s="464"/>
      <c r="EY49" s="464"/>
      <c r="EZ49" s="464"/>
      <c r="FA49" s="464"/>
      <c r="FB49" s="464"/>
      <c r="FC49" s="464"/>
      <c r="FD49" s="464"/>
      <c r="FE49" s="464"/>
      <c r="FF49" s="472">
        <f>MEDIAN(T49,AF49)</f>
        <v>1615000</v>
      </c>
      <c r="FG49" s="472">
        <f>AVERAGE(T49,AF49)</f>
        <v>1615000</v>
      </c>
      <c r="FH49" s="473">
        <f>STDEV(T49,AF49)</f>
        <v>91923.881554251173</v>
      </c>
      <c r="FI49" s="476">
        <f t="shared" si="12"/>
        <v>5.6918812107895463E-2</v>
      </c>
      <c r="FJ49" s="475">
        <f t="shared" si="13"/>
        <v>1615000</v>
      </c>
      <c r="FK49" s="469">
        <f t="shared" si="18"/>
        <v>1615000</v>
      </c>
      <c r="FL49" s="467" t="s">
        <v>621</v>
      </c>
      <c r="FM49" s="470"/>
    </row>
    <row r="50" spans="1:169" s="457" customFormat="1" ht="69.75" customHeight="1" x14ac:dyDescent="0.35">
      <c r="A50" s="458">
        <v>46</v>
      </c>
      <c r="B50" s="459" t="s">
        <v>711</v>
      </c>
      <c r="C50" s="460" t="s">
        <v>712</v>
      </c>
      <c r="D50" s="461" t="s">
        <v>620</v>
      </c>
      <c r="E50" s="458">
        <v>1</v>
      </c>
      <c r="F50" s="463"/>
      <c r="G50" s="463"/>
      <c r="H50" s="463"/>
      <c r="I50" s="463"/>
      <c r="J50" s="463"/>
      <c r="K50" s="463"/>
      <c r="L50" s="464"/>
      <c r="M50" s="464"/>
      <c r="N50" s="464"/>
      <c r="O50" s="464"/>
      <c r="P50" s="464"/>
      <c r="Q50" s="464"/>
      <c r="R50" s="464"/>
      <c r="S50" s="464"/>
      <c r="T50" s="464">
        <v>480000</v>
      </c>
      <c r="U50" s="464">
        <f t="shared" si="27"/>
        <v>480000</v>
      </c>
      <c r="V50" s="464"/>
      <c r="W50" s="464"/>
      <c r="X50" s="464"/>
      <c r="Y50" s="464"/>
      <c r="Z50" s="464"/>
      <c r="AA50" s="464"/>
      <c r="AB50" s="464"/>
      <c r="AC50" s="464"/>
      <c r="AD50" s="463">
        <v>603806</v>
      </c>
      <c r="AE50" s="464">
        <f t="shared" si="25"/>
        <v>603806</v>
      </c>
      <c r="AF50" s="464">
        <v>550000</v>
      </c>
      <c r="AG50" s="464">
        <f t="shared" si="26"/>
        <v>550000</v>
      </c>
      <c r="AH50" s="464"/>
      <c r="AI50" s="464"/>
      <c r="AJ50" s="464"/>
      <c r="AK50" s="464"/>
      <c r="AL50" s="464"/>
      <c r="AM50" s="464"/>
      <c r="AN50" s="464"/>
      <c r="AO50" s="464"/>
      <c r="AP50" s="464"/>
      <c r="AQ50" s="464"/>
      <c r="AR50" s="464"/>
      <c r="AS50" s="464"/>
      <c r="AT50" s="464"/>
      <c r="AU50" s="464"/>
      <c r="AV50" s="464"/>
      <c r="AW50" s="464"/>
      <c r="AX50" s="464"/>
      <c r="AY50" s="464"/>
      <c r="AZ50" s="464"/>
      <c r="BA50" s="464"/>
      <c r="BB50" s="464"/>
      <c r="BC50" s="464"/>
      <c r="BD50" s="464"/>
      <c r="BE50" s="464"/>
      <c r="BF50" s="464"/>
      <c r="BG50" s="464"/>
      <c r="BH50" s="464"/>
      <c r="BI50" s="464"/>
      <c r="BJ50" s="464"/>
      <c r="BK50" s="464"/>
      <c r="BL50" s="464"/>
      <c r="BM50" s="464"/>
      <c r="BN50" s="464"/>
      <c r="BO50" s="464"/>
      <c r="BP50" s="464"/>
      <c r="BQ50" s="464"/>
      <c r="BR50" s="464"/>
      <c r="BS50" s="464"/>
      <c r="BT50" s="464"/>
      <c r="BU50" s="464"/>
      <c r="BV50" s="464"/>
      <c r="BW50" s="464"/>
      <c r="BX50" s="464"/>
      <c r="BY50" s="464"/>
      <c r="BZ50" s="464"/>
      <c r="CA50" s="464"/>
      <c r="CB50" s="464"/>
      <c r="CC50" s="464"/>
      <c r="CD50" s="464"/>
      <c r="CE50" s="464"/>
      <c r="CF50" s="464"/>
      <c r="CG50" s="464"/>
      <c r="CH50" s="464"/>
      <c r="CI50" s="464"/>
      <c r="CJ50" s="464"/>
      <c r="CK50" s="464"/>
      <c r="CL50" s="464"/>
      <c r="CM50" s="464"/>
      <c r="CN50" s="464"/>
      <c r="CO50" s="464"/>
      <c r="CP50" s="464"/>
      <c r="CQ50" s="464"/>
      <c r="CR50" s="464"/>
      <c r="CS50" s="464"/>
      <c r="CT50" s="464"/>
      <c r="CU50" s="464"/>
      <c r="CV50" s="464"/>
      <c r="CW50" s="464"/>
      <c r="CX50" s="464"/>
      <c r="CY50" s="464"/>
      <c r="CZ50" s="464"/>
      <c r="DA50" s="464"/>
      <c r="DB50" s="464"/>
      <c r="DC50" s="464"/>
      <c r="DD50" s="464"/>
      <c r="DE50" s="464"/>
      <c r="DF50" s="464"/>
      <c r="DG50" s="464"/>
      <c r="DH50" s="464"/>
      <c r="DI50" s="464"/>
      <c r="DJ50" s="464"/>
      <c r="DK50" s="464"/>
      <c r="DL50" s="464"/>
      <c r="DM50" s="464"/>
      <c r="DN50" s="464"/>
      <c r="DO50" s="464"/>
      <c r="DP50" s="464"/>
      <c r="DQ50" s="464"/>
      <c r="DR50" s="464"/>
      <c r="DS50" s="464"/>
      <c r="DT50" s="464"/>
      <c r="DU50" s="464"/>
      <c r="DV50" s="464"/>
      <c r="DW50" s="464"/>
      <c r="DX50" s="464"/>
      <c r="DY50" s="464"/>
      <c r="DZ50" s="464"/>
      <c r="EA50" s="464"/>
      <c r="EB50" s="464"/>
      <c r="EC50" s="464"/>
      <c r="ED50" s="464"/>
      <c r="EE50" s="464"/>
      <c r="EF50" s="464"/>
      <c r="EG50" s="464"/>
      <c r="EH50" s="464"/>
      <c r="EI50" s="464"/>
      <c r="EJ50" s="464"/>
      <c r="EK50" s="464"/>
      <c r="EL50" s="464"/>
      <c r="EM50" s="464"/>
      <c r="EN50" s="464"/>
      <c r="EO50" s="464"/>
      <c r="EP50" s="464"/>
      <c r="EQ50" s="464"/>
      <c r="ER50" s="464"/>
      <c r="ES50" s="464"/>
      <c r="ET50" s="464"/>
      <c r="EU50" s="464"/>
      <c r="EV50" s="464"/>
      <c r="EW50" s="464"/>
      <c r="EX50" s="464"/>
      <c r="EY50" s="464"/>
      <c r="EZ50" s="464"/>
      <c r="FA50" s="464"/>
      <c r="FB50" s="464"/>
      <c r="FC50" s="464"/>
      <c r="FD50" s="464"/>
      <c r="FE50" s="464"/>
      <c r="FF50" s="472">
        <f>MEDIAN(AD50,AF50)</f>
        <v>576903</v>
      </c>
      <c r="FG50" s="472">
        <f>AVERAGE(AD50,AF50)</f>
        <v>576903</v>
      </c>
      <c r="FH50" s="473">
        <f>STDEV(AD50,AF50)</f>
        <v>38046.587468523379</v>
      </c>
      <c r="FI50" s="476">
        <f t="shared" si="12"/>
        <v>6.5949713328797704E-2</v>
      </c>
      <c r="FJ50" s="475">
        <f t="shared" si="13"/>
        <v>576903</v>
      </c>
      <c r="FK50" s="469">
        <f t="shared" si="18"/>
        <v>576903</v>
      </c>
      <c r="FL50" s="467" t="s">
        <v>621</v>
      </c>
      <c r="FM50" s="470"/>
    </row>
    <row r="51" spans="1:169" s="457" customFormat="1" ht="32.5" customHeight="1" x14ac:dyDescent="0.35">
      <c r="A51" s="458">
        <v>47</v>
      </c>
      <c r="B51" s="459" t="s">
        <v>713</v>
      </c>
      <c r="C51" s="460" t="s">
        <v>714</v>
      </c>
      <c r="D51" s="461" t="s">
        <v>620</v>
      </c>
      <c r="E51" s="458">
        <v>1</v>
      </c>
      <c r="F51" s="463"/>
      <c r="G51" s="463"/>
      <c r="H51" s="463"/>
      <c r="I51" s="463"/>
      <c r="J51" s="463"/>
      <c r="K51" s="463"/>
      <c r="L51" s="464"/>
      <c r="M51" s="464"/>
      <c r="N51" s="464"/>
      <c r="O51" s="464"/>
      <c r="P51" s="464"/>
      <c r="Q51" s="464"/>
      <c r="R51" s="464"/>
      <c r="S51" s="464"/>
      <c r="T51" s="464"/>
      <c r="U51" s="464"/>
      <c r="V51" s="464"/>
      <c r="W51" s="464"/>
      <c r="X51" s="464"/>
      <c r="Y51" s="464"/>
      <c r="Z51" s="464"/>
      <c r="AA51" s="464"/>
      <c r="AB51" s="464"/>
      <c r="AC51" s="464"/>
      <c r="AD51" s="463">
        <v>23871.399999999998</v>
      </c>
      <c r="AE51" s="464">
        <f>+AD51*E51</f>
        <v>23871.399999999998</v>
      </c>
      <c r="AF51" s="464"/>
      <c r="AG51" s="464"/>
      <c r="AH51" s="464"/>
      <c r="AI51" s="464"/>
      <c r="AJ51" s="464"/>
      <c r="AK51" s="464"/>
      <c r="AL51" s="464"/>
      <c r="AM51" s="464"/>
      <c r="AN51" s="464"/>
      <c r="AO51" s="464"/>
      <c r="AP51" s="464"/>
      <c r="AQ51" s="464"/>
      <c r="AR51" s="464"/>
      <c r="AS51" s="464"/>
      <c r="AT51" s="464"/>
      <c r="AU51" s="464"/>
      <c r="AV51" s="464"/>
      <c r="AW51" s="464"/>
      <c r="AX51" s="464"/>
      <c r="AY51" s="464"/>
      <c r="AZ51" s="464"/>
      <c r="BA51" s="464"/>
      <c r="BB51" s="464"/>
      <c r="BC51" s="464"/>
      <c r="BD51" s="464"/>
      <c r="BE51" s="464"/>
      <c r="BF51" s="464">
        <v>10000</v>
      </c>
      <c r="BG51" s="464"/>
      <c r="BH51" s="464"/>
      <c r="BI51" s="464"/>
      <c r="BJ51" s="464"/>
      <c r="BK51" s="464"/>
      <c r="BL51" s="464"/>
      <c r="BM51" s="464"/>
      <c r="BN51" s="464"/>
      <c r="BO51" s="464"/>
      <c r="BP51" s="464"/>
      <c r="BQ51" s="464"/>
      <c r="BR51" s="464"/>
      <c r="BS51" s="464"/>
      <c r="BT51" s="464"/>
      <c r="BU51" s="464"/>
      <c r="BV51" s="464"/>
      <c r="BW51" s="464"/>
      <c r="BX51" s="464"/>
      <c r="BY51" s="464"/>
      <c r="BZ51" s="464"/>
      <c r="CA51" s="464"/>
      <c r="CB51" s="464">
        <v>85000</v>
      </c>
      <c r="CC51" s="464">
        <f>+CB51*E51</f>
        <v>85000</v>
      </c>
      <c r="CD51" s="464">
        <v>40666</v>
      </c>
      <c r="CE51" s="464">
        <f>+CD51*E51</f>
        <v>40666</v>
      </c>
      <c r="CF51" s="464"/>
      <c r="CG51" s="464"/>
      <c r="CH51" s="464"/>
      <c r="CI51" s="464"/>
      <c r="CJ51" s="464"/>
      <c r="CK51" s="464"/>
      <c r="CL51" s="464"/>
      <c r="CM51" s="464"/>
      <c r="CN51" s="464"/>
      <c r="CO51" s="464"/>
      <c r="CP51" s="464"/>
      <c r="CQ51" s="464"/>
      <c r="CR51" s="464"/>
      <c r="CS51" s="464"/>
      <c r="CT51" s="464"/>
      <c r="CU51" s="464"/>
      <c r="CV51" s="464"/>
      <c r="CW51" s="464"/>
      <c r="CX51" s="464"/>
      <c r="CY51" s="464"/>
      <c r="CZ51" s="464"/>
      <c r="DA51" s="464"/>
      <c r="DB51" s="464"/>
      <c r="DC51" s="464"/>
      <c r="DD51" s="464"/>
      <c r="DE51" s="464"/>
      <c r="DF51" s="464"/>
      <c r="DG51" s="464"/>
      <c r="DH51" s="464"/>
      <c r="DI51" s="464"/>
      <c r="DJ51" s="464"/>
      <c r="DK51" s="464"/>
      <c r="DL51" s="464"/>
      <c r="DM51" s="464"/>
      <c r="DN51" s="464"/>
      <c r="DO51" s="464"/>
      <c r="DP51" s="464"/>
      <c r="DQ51" s="464"/>
      <c r="DR51" s="464"/>
      <c r="DS51" s="464"/>
      <c r="DT51" s="464"/>
      <c r="DU51" s="464"/>
      <c r="DV51" s="464"/>
      <c r="DW51" s="464"/>
      <c r="DX51" s="464"/>
      <c r="DY51" s="464"/>
      <c r="DZ51" s="464"/>
      <c r="EA51" s="464"/>
      <c r="EB51" s="464"/>
      <c r="EC51" s="464"/>
      <c r="ED51" s="464"/>
      <c r="EE51" s="464"/>
      <c r="EF51" s="464">
        <v>39483</v>
      </c>
      <c r="EG51" s="464">
        <f>+EF51*E51</f>
        <v>39483</v>
      </c>
      <c r="EH51" s="464"/>
      <c r="EI51" s="464"/>
      <c r="EJ51" s="464"/>
      <c r="EK51" s="464"/>
      <c r="EL51" s="464"/>
      <c r="EM51" s="464"/>
      <c r="EN51" s="464"/>
      <c r="EO51" s="464"/>
      <c r="EP51" s="464"/>
      <c r="EQ51" s="464"/>
      <c r="ER51" s="464"/>
      <c r="ES51" s="464"/>
      <c r="ET51" s="464"/>
      <c r="EU51" s="464"/>
      <c r="EV51" s="464"/>
      <c r="EW51" s="464"/>
      <c r="EX51" s="464"/>
      <c r="EY51" s="464"/>
      <c r="EZ51" s="464"/>
      <c r="FA51" s="464"/>
      <c r="FB51" s="464"/>
      <c r="FC51" s="464"/>
      <c r="FD51" s="464"/>
      <c r="FE51" s="464"/>
      <c r="FF51" s="472">
        <f>MEDIAN(CD51,EF51)</f>
        <v>40074.5</v>
      </c>
      <c r="FG51" s="472">
        <f>AVERAGE(CD51,EF51)</f>
        <v>40074.5</v>
      </c>
      <c r="FH51" s="473">
        <f>STDEV(CD51,EF51)</f>
        <v>836.50732214368577</v>
      </c>
      <c r="FI51" s="476">
        <f t="shared" si="12"/>
        <v>2.0873805590679504E-2</v>
      </c>
      <c r="FJ51" s="475">
        <f t="shared" si="13"/>
        <v>40075</v>
      </c>
      <c r="FK51" s="469">
        <f t="shared" si="18"/>
        <v>40075</v>
      </c>
      <c r="FL51" s="467" t="s">
        <v>621</v>
      </c>
      <c r="FM51" s="470"/>
    </row>
    <row r="52" spans="1:169" s="457" customFormat="1" ht="81" customHeight="1" x14ac:dyDescent="0.35">
      <c r="A52" s="458">
        <v>48</v>
      </c>
      <c r="B52" s="459" t="s">
        <v>715</v>
      </c>
      <c r="C52" s="460" t="s">
        <v>716</v>
      </c>
      <c r="D52" s="461" t="s">
        <v>620</v>
      </c>
      <c r="E52" s="458">
        <v>1</v>
      </c>
      <c r="F52" s="463"/>
      <c r="G52" s="463"/>
      <c r="H52" s="463"/>
      <c r="I52" s="463"/>
      <c r="J52" s="463"/>
      <c r="K52" s="463"/>
      <c r="L52" s="464"/>
      <c r="M52" s="464"/>
      <c r="N52" s="464"/>
      <c r="O52" s="464"/>
      <c r="P52" s="464"/>
      <c r="Q52" s="464"/>
      <c r="R52" s="464"/>
      <c r="S52" s="464"/>
      <c r="T52" s="464"/>
      <c r="U52" s="464"/>
      <c r="V52" s="464"/>
      <c r="W52" s="464"/>
      <c r="X52" s="464"/>
      <c r="Y52" s="464"/>
      <c r="Z52" s="464"/>
      <c r="AA52" s="464"/>
      <c r="AB52" s="464"/>
      <c r="AC52" s="464"/>
      <c r="AD52" s="463">
        <v>115144.4</v>
      </c>
      <c r="AE52" s="464">
        <f t="shared" ref="AE52:AE70" si="28">+AD52*E52</f>
        <v>115144.4</v>
      </c>
      <c r="AF52" s="464"/>
      <c r="AG52" s="464"/>
      <c r="AH52" s="464"/>
      <c r="AI52" s="464"/>
      <c r="AJ52" s="464"/>
      <c r="AK52" s="464"/>
      <c r="AL52" s="464"/>
      <c r="AM52" s="464"/>
      <c r="AN52" s="464"/>
      <c r="AO52" s="464"/>
      <c r="AP52" s="464"/>
      <c r="AQ52" s="464"/>
      <c r="AR52" s="464"/>
      <c r="AS52" s="464"/>
      <c r="AT52" s="464"/>
      <c r="AU52" s="464"/>
      <c r="AV52" s="464"/>
      <c r="AW52" s="464"/>
      <c r="AX52" s="464"/>
      <c r="AY52" s="464"/>
      <c r="AZ52" s="464"/>
      <c r="BA52" s="464"/>
      <c r="BB52" s="464"/>
      <c r="BC52" s="464"/>
      <c r="BD52" s="464"/>
      <c r="BE52" s="464"/>
      <c r="BF52" s="464">
        <v>60000</v>
      </c>
      <c r="BG52" s="464"/>
      <c r="BH52" s="464"/>
      <c r="BI52" s="464"/>
      <c r="BJ52" s="464"/>
      <c r="BK52" s="464"/>
      <c r="BL52" s="464"/>
      <c r="BM52" s="464"/>
      <c r="BN52" s="464"/>
      <c r="BO52" s="464"/>
      <c r="BP52" s="464">
        <v>65000</v>
      </c>
      <c r="BQ52" s="464"/>
      <c r="BR52" s="464"/>
      <c r="BS52" s="464"/>
      <c r="BT52" s="464"/>
      <c r="BU52" s="464"/>
      <c r="BV52" s="464"/>
      <c r="BW52" s="464"/>
      <c r="BX52" s="464"/>
      <c r="BY52" s="464"/>
      <c r="BZ52" s="464"/>
      <c r="CA52" s="464"/>
      <c r="CB52" s="464"/>
      <c r="CC52" s="464"/>
      <c r="CD52" s="464"/>
      <c r="CE52" s="464"/>
      <c r="CF52" s="464"/>
      <c r="CG52" s="464"/>
      <c r="CH52" s="464"/>
      <c r="CI52" s="464"/>
      <c r="CJ52" s="464"/>
      <c r="CK52" s="464"/>
      <c r="CL52" s="464"/>
      <c r="CM52" s="464"/>
      <c r="CN52" s="464"/>
      <c r="CO52" s="464"/>
      <c r="CP52" s="464"/>
      <c r="CQ52" s="464"/>
      <c r="CR52" s="464"/>
      <c r="CS52" s="464"/>
      <c r="CT52" s="464"/>
      <c r="CU52" s="464"/>
      <c r="CV52" s="464"/>
      <c r="CW52" s="464"/>
      <c r="CX52" s="464"/>
      <c r="CY52" s="464"/>
      <c r="CZ52" s="464"/>
      <c r="DA52" s="464"/>
      <c r="DB52" s="464"/>
      <c r="DC52" s="464"/>
      <c r="DD52" s="464"/>
      <c r="DE52" s="464"/>
      <c r="DF52" s="464"/>
      <c r="DG52" s="464"/>
      <c r="DH52" s="464"/>
      <c r="DI52" s="464"/>
      <c r="DJ52" s="464"/>
      <c r="DK52" s="464"/>
      <c r="DL52" s="464"/>
      <c r="DM52" s="464"/>
      <c r="DN52" s="464"/>
      <c r="DO52" s="464"/>
      <c r="DP52" s="464"/>
      <c r="DQ52" s="464"/>
      <c r="DR52" s="464"/>
      <c r="DS52" s="464"/>
      <c r="DT52" s="464"/>
      <c r="DU52" s="464"/>
      <c r="DV52" s="464"/>
      <c r="DW52" s="464"/>
      <c r="DX52" s="464"/>
      <c r="DY52" s="464"/>
      <c r="DZ52" s="464"/>
      <c r="EA52" s="464"/>
      <c r="EB52" s="464"/>
      <c r="EC52" s="464"/>
      <c r="ED52" s="464"/>
      <c r="EE52" s="464"/>
      <c r="EF52" s="464"/>
      <c r="EG52" s="464"/>
      <c r="EH52" s="464"/>
      <c r="EI52" s="464"/>
      <c r="EJ52" s="464"/>
      <c r="EK52" s="464"/>
      <c r="EL52" s="464"/>
      <c r="EM52" s="464"/>
      <c r="EN52" s="464"/>
      <c r="EO52" s="464"/>
      <c r="EP52" s="464"/>
      <c r="EQ52" s="464"/>
      <c r="ER52" s="464"/>
      <c r="ES52" s="464"/>
      <c r="ET52" s="464"/>
      <c r="EU52" s="464"/>
      <c r="EV52" s="464"/>
      <c r="EW52" s="464"/>
      <c r="EX52" s="464"/>
      <c r="EY52" s="464"/>
      <c r="EZ52" s="464"/>
      <c r="FA52" s="464"/>
      <c r="FB52" s="464"/>
      <c r="FC52" s="464"/>
      <c r="FD52" s="464"/>
      <c r="FE52" s="464"/>
      <c r="FF52" s="472">
        <f>MEDIAN(BF52,BP52)</f>
        <v>62500</v>
      </c>
      <c r="FG52" s="472">
        <f>AVERAGE(BF52,BP52)</f>
        <v>62500</v>
      </c>
      <c r="FH52" s="473">
        <f>STDEV(BF52,BP52)</f>
        <v>3535.5339059327375</v>
      </c>
      <c r="FI52" s="476">
        <f t="shared" si="12"/>
        <v>5.6568542494923803E-2</v>
      </c>
      <c r="FJ52" s="475">
        <f t="shared" si="13"/>
        <v>62500</v>
      </c>
      <c r="FK52" s="469">
        <f t="shared" si="18"/>
        <v>62500</v>
      </c>
      <c r="FL52" s="467" t="s">
        <v>621</v>
      </c>
      <c r="FM52" s="470"/>
    </row>
    <row r="53" spans="1:169" s="457" customFormat="1" ht="32.5" customHeight="1" x14ac:dyDescent="0.35">
      <c r="A53" s="458">
        <v>49</v>
      </c>
      <c r="B53" s="459" t="s">
        <v>717</v>
      </c>
      <c r="C53" s="460" t="s">
        <v>718</v>
      </c>
      <c r="D53" s="461" t="s">
        <v>620</v>
      </c>
      <c r="E53" s="458">
        <v>1</v>
      </c>
      <c r="F53" s="463"/>
      <c r="G53" s="463"/>
      <c r="H53" s="463"/>
      <c r="I53" s="463"/>
      <c r="J53" s="463"/>
      <c r="K53" s="463"/>
      <c r="L53" s="464"/>
      <c r="M53" s="464"/>
      <c r="N53" s="464"/>
      <c r="O53" s="464"/>
      <c r="P53" s="464"/>
      <c r="Q53" s="464"/>
      <c r="R53" s="464"/>
      <c r="S53" s="464"/>
      <c r="T53" s="464"/>
      <c r="U53" s="464"/>
      <c r="V53" s="464"/>
      <c r="W53" s="464"/>
      <c r="X53" s="464"/>
      <c r="Y53" s="464"/>
      <c r="Z53" s="464"/>
      <c r="AA53" s="464"/>
      <c r="AB53" s="464"/>
      <c r="AC53" s="464"/>
      <c r="AD53" s="463">
        <v>12637.8</v>
      </c>
      <c r="AE53" s="464">
        <f t="shared" si="28"/>
        <v>12637.8</v>
      </c>
      <c r="AF53" s="464"/>
      <c r="AG53" s="464"/>
      <c r="AH53" s="464"/>
      <c r="AI53" s="464"/>
      <c r="AJ53" s="464"/>
      <c r="AK53" s="464"/>
      <c r="AL53" s="464"/>
      <c r="AM53" s="464"/>
      <c r="AN53" s="464"/>
      <c r="AO53" s="464"/>
      <c r="AP53" s="464"/>
      <c r="AQ53" s="464"/>
      <c r="AR53" s="464"/>
      <c r="AS53" s="464"/>
      <c r="AT53" s="464"/>
      <c r="AU53" s="464"/>
      <c r="AV53" s="464"/>
      <c r="AW53" s="464"/>
      <c r="AX53" s="464"/>
      <c r="AY53" s="464"/>
      <c r="AZ53" s="464">
        <v>5000</v>
      </c>
      <c r="BA53" s="464"/>
      <c r="BB53" s="464">
        <v>6000</v>
      </c>
      <c r="BC53" s="464"/>
      <c r="BD53" s="464">
        <v>4000</v>
      </c>
      <c r="BE53" s="464"/>
      <c r="BF53" s="464">
        <v>5000</v>
      </c>
      <c r="BG53" s="464"/>
      <c r="BH53" s="464">
        <v>3000</v>
      </c>
      <c r="BI53" s="464"/>
      <c r="BJ53" s="464"/>
      <c r="BK53" s="464"/>
      <c r="BL53" s="464"/>
      <c r="BM53" s="464"/>
      <c r="BN53" s="464"/>
      <c r="BO53" s="464"/>
      <c r="BP53" s="464">
        <v>6000</v>
      </c>
      <c r="BQ53" s="464"/>
      <c r="BR53" s="464"/>
      <c r="BS53" s="464"/>
      <c r="BT53" s="464"/>
      <c r="BU53" s="464"/>
      <c r="BV53" s="464"/>
      <c r="BW53" s="464"/>
      <c r="BX53" s="464"/>
      <c r="BY53" s="464"/>
      <c r="BZ53" s="464"/>
      <c r="CA53" s="464"/>
      <c r="CB53" s="464"/>
      <c r="CC53" s="464"/>
      <c r="CD53" s="464"/>
      <c r="CE53" s="464"/>
      <c r="CF53" s="464"/>
      <c r="CG53" s="464"/>
      <c r="CH53" s="464"/>
      <c r="CI53" s="464"/>
      <c r="CJ53" s="464"/>
      <c r="CK53" s="464"/>
      <c r="CL53" s="464"/>
      <c r="CM53" s="464"/>
      <c r="CN53" s="464"/>
      <c r="CO53" s="464"/>
      <c r="CP53" s="464"/>
      <c r="CQ53" s="464"/>
      <c r="CR53" s="464"/>
      <c r="CS53" s="464"/>
      <c r="CT53" s="464"/>
      <c r="CU53" s="464"/>
      <c r="CV53" s="464"/>
      <c r="CW53" s="464"/>
      <c r="CX53" s="464"/>
      <c r="CY53" s="464"/>
      <c r="CZ53" s="464"/>
      <c r="DA53" s="464"/>
      <c r="DB53" s="464"/>
      <c r="DC53" s="464"/>
      <c r="DD53" s="464"/>
      <c r="DE53" s="464"/>
      <c r="DF53" s="464"/>
      <c r="DG53" s="464"/>
      <c r="DH53" s="464"/>
      <c r="DI53" s="464"/>
      <c r="DJ53" s="464"/>
      <c r="DK53" s="464"/>
      <c r="DL53" s="464"/>
      <c r="DM53" s="464"/>
      <c r="DN53" s="464"/>
      <c r="DO53" s="464"/>
      <c r="DP53" s="464"/>
      <c r="DQ53" s="464"/>
      <c r="DR53" s="464"/>
      <c r="DS53" s="464"/>
      <c r="DT53" s="464"/>
      <c r="DU53" s="464"/>
      <c r="DV53" s="464"/>
      <c r="DW53" s="464"/>
      <c r="DX53" s="464"/>
      <c r="DY53" s="464"/>
      <c r="DZ53" s="464"/>
      <c r="EA53" s="464"/>
      <c r="EB53" s="464"/>
      <c r="EC53" s="464"/>
      <c r="ED53" s="464"/>
      <c r="EE53" s="464"/>
      <c r="EF53" s="464"/>
      <c r="EG53" s="464"/>
      <c r="EH53" s="464"/>
      <c r="EI53" s="464"/>
      <c r="EJ53" s="464"/>
      <c r="EK53" s="464"/>
      <c r="EL53" s="464"/>
      <c r="EM53" s="464"/>
      <c r="EN53" s="464"/>
      <c r="EO53" s="464"/>
      <c r="EP53" s="464"/>
      <c r="EQ53" s="464"/>
      <c r="ER53" s="464"/>
      <c r="ES53" s="464"/>
      <c r="ET53" s="464"/>
      <c r="EU53" s="464"/>
      <c r="EV53" s="464"/>
      <c r="EW53" s="464"/>
      <c r="EX53" s="464"/>
      <c r="EY53" s="464"/>
      <c r="EZ53" s="464"/>
      <c r="FA53" s="464"/>
      <c r="FB53" s="464"/>
      <c r="FC53" s="464"/>
      <c r="FD53" s="464"/>
      <c r="FE53" s="464"/>
      <c r="FF53" s="472">
        <f>MEDIAN(AZ53,BB53,BD53,BF53)</f>
        <v>5000</v>
      </c>
      <c r="FG53" s="472">
        <f>AVERAGE(AZ53,BB53,BD53,BF53)</f>
        <v>5000</v>
      </c>
      <c r="FH53" s="473">
        <f>STDEV(AZ53,BB53,BD53,BF53)</f>
        <v>816.49658092772597</v>
      </c>
      <c r="FI53" s="476">
        <f t="shared" si="12"/>
        <v>0.16329931618554519</v>
      </c>
      <c r="FJ53" s="475">
        <f t="shared" si="13"/>
        <v>5000</v>
      </c>
      <c r="FK53" s="469">
        <f t="shared" si="18"/>
        <v>5000</v>
      </c>
      <c r="FL53" s="467" t="s">
        <v>632</v>
      </c>
      <c r="FM53" s="470"/>
    </row>
    <row r="54" spans="1:169" s="457" customFormat="1" ht="32.5" customHeight="1" x14ac:dyDescent="0.35">
      <c r="A54" s="458">
        <v>50</v>
      </c>
      <c r="B54" s="459" t="s">
        <v>719</v>
      </c>
      <c r="C54" s="460" t="s">
        <v>720</v>
      </c>
      <c r="D54" s="461" t="s">
        <v>620</v>
      </c>
      <c r="E54" s="458">
        <v>1</v>
      </c>
      <c r="F54" s="463"/>
      <c r="G54" s="463"/>
      <c r="H54" s="463"/>
      <c r="I54" s="463"/>
      <c r="J54" s="463"/>
      <c r="K54" s="463"/>
      <c r="L54" s="464"/>
      <c r="M54" s="464"/>
      <c r="N54" s="464"/>
      <c r="O54" s="464"/>
      <c r="P54" s="464"/>
      <c r="Q54" s="464"/>
      <c r="R54" s="464"/>
      <c r="S54" s="464"/>
      <c r="T54" s="464"/>
      <c r="U54" s="464"/>
      <c r="V54" s="464"/>
      <c r="W54" s="464"/>
      <c r="X54" s="464"/>
      <c r="Y54" s="464"/>
      <c r="Z54" s="464"/>
      <c r="AA54" s="464"/>
      <c r="AB54" s="464"/>
      <c r="AC54" s="464"/>
      <c r="AD54" s="463">
        <v>47040.7</v>
      </c>
      <c r="AE54" s="464">
        <f t="shared" si="28"/>
        <v>47040.7</v>
      </c>
      <c r="AF54" s="464"/>
      <c r="AG54" s="464"/>
      <c r="AH54" s="464"/>
      <c r="AI54" s="464"/>
      <c r="AJ54" s="464"/>
      <c r="AK54" s="464"/>
      <c r="AL54" s="464"/>
      <c r="AM54" s="464"/>
      <c r="AN54" s="464"/>
      <c r="AO54" s="464"/>
      <c r="AP54" s="464"/>
      <c r="AQ54" s="464"/>
      <c r="AR54" s="464"/>
      <c r="AS54" s="464"/>
      <c r="AT54" s="464"/>
      <c r="AU54" s="464"/>
      <c r="AV54" s="464"/>
      <c r="AW54" s="464"/>
      <c r="AX54" s="464"/>
      <c r="AY54" s="464"/>
      <c r="AZ54" s="464">
        <v>25000</v>
      </c>
      <c r="BA54" s="464"/>
      <c r="BB54" s="464">
        <v>25000</v>
      </c>
      <c r="BC54" s="464"/>
      <c r="BD54" s="464">
        <v>25000</v>
      </c>
      <c r="BE54" s="464"/>
      <c r="BF54" s="464">
        <v>20000</v>
      </c>
      <c r="BG54" s="464"/>
      <c r="BH54" s="464">
        <v>10000</v>
      </c>
      <c r="BI54" s="464"/>
      <c r="BJ54" s="464"/>
      <c r="BK54" s="464"/>
      <c r="BL54" s="464"/>
      <c r="BM54" s="464"/>
      <c r="BN54" s="464"/>
      <c r="BO54" s="464"/>
      <c r="BP54" s="464">
        <v>25000</v>
      </c>
      <c r="BQ54" s="464"/>
      <c r="BR54" s="464"/>
      <c r="BS54" s="464"/>
      <c r="BT54" s="464"/>
      <c r="BU54" s="464"/>
      <c r="BV54" s="464"/>
      <c r="BW54" s="464"/>
      <c r="BX54" s="464"/>
      <c r="BY54" s="464"/>
      <c r="BZ54" s="464"/>
      <c r="CA54" s="464"/>
      <c r="CB54" s="464"/>
      <c r="CC54" s="464"/>
      <c r="CD54" s="464"/>
      <c r="CE54" s="464"/>
      <c r="CF54" s="464"/>
      <c r="CG54" s="464"/>
      <c r="CH54" s="464"/>
      <c r="CI54" s="464"/>
      <c r="CJ54" s="464"/>
      <c r="CK54" s="464"/>
      <c r="CL54" s="464"/>
      <c r="CM54" s="464"/>
      <c r="CN54" s="464"/>
      <c r="CO54" s="464"/>
      <c r="CP54" s="464"/>
      <c r="CQ54" s="464"/>
      <c r="CR54" s="464"/>
      <c r="CS54" s="464"/>
      <c r="CT54" s="464"/>
      <c r="CU54" s="464"/>
      <c r="CV54" s="464"/>
      <c r="CW54" s="464"/>
      <c r="CX54" s="464"/>
      <c r="CY54" s="464"/>
      <c r="CZ54" s="464"/>
      <c r="DA54" s="464"/>
      <c r="DB54" s="464"/>
      <c r="DC54" s="464"/>
      <c r="DD54" s="464"/>
      <c r="DE54" s="464"/>
      <c r="DF54" s="464"/>
      <c r="DG54" s="464"/>
      <c r="DH54" s="464"/>
      <c r="DI54" s="464"/>
      <c r="DJ54" s="464"/>
      <c r="DK54" s="464"/>
      <c r="DL54" s="464"/>
      <c r="DM54" s="464"/>
      <c r="DN54" s="464"/>
      <c r="DO54" s="464"/>
      <c r="DP54" s="464"/>
      <c r="DQ54" s="464"/>
      <c r="DR54" s="464"/>
      <c r="DS54" s="464"/>
      <c r="DT54" s="464"/>
      <c r="DU54" s="464"/>
      <c r="DV54" s="464"/>
      <c r="DW54" s="464"/>
      <c r="DX54" s="464"/>
      <c r="DY54" s="464"/>
      <c r="DZ54" s="464"/>
      <c r="EA54" s="464"/>
      <c r="EB54" s="464"/>
      <c r="EC54" s="464"/>
      <c r="ED54" s="464"/>
      <c r="EE54" s="464"/>
      <c r="EF54" s="464"/>
      <c r="EG54" s="464"/>
      <c r="EH54" s="464"/>
      <c r="EI54" s="464"/>
      <c r="EJ54" s="464"/>
      <c r="EK54" s="464"/>
      <c r="EL54" s="464"/>
      <c r="EM54" s="464"/>
      <c r="EN54" s="464"/>
      <c r="EO54" s="464"/>
      <c r="EP54" s="464"/>
      <c r="EQ54" s="464"/>
      <c r="ER54" s="464"/>
      <c r="ES54" s="464"/>
      <c r="ET54" s="464"/>
      <c r="EU54" s="464"/>
      <c r="EV54" s="464"/>
      <c r="EW54" s="464"/>
      <c r="EX54" s="464"/>
      <c r="EY54" s="464"/>
      <c r="EZ54" s="464"/>
      <c r="FA54" s="464"/>
      <c r="FB54" s="464"/>
      <c r="FC54" s="464"/>
      <c r="FD54" s="464"/>
      <c r="FE54" s="464"/>
      <c r="FF54" s="472">
        <f t="shared" ref="FF54" si="29">MEDIAN(AZ54,BB54,BD54,BF54)</f>
        <v>25000</v>
      </c>
      <c r="FG54" s="472">
        <f t="shared" ref="FG54" si="30">AVERAGE(AZ54,BB54,BD54,BF54)</f>
        <v>23750</v>
      </c>
      <c r="FH54" s="473">
        <f t="shared" ref="FH54" si="31">STDEV(AZ54,BB54,BD54,BF54)</f>
        <v>2500</v>
      </c>
      <c r="FI54" s="476">
        <f t="shared" si="12"/>
        <v>0.10526315789473684</v>
      </c>
      <c r="FJ54" s="475">
        <f t="shared" si="13"/>
        <v>23750</v>
      </c>
      <c r="FK54" s="469">
        <f t="shared" si="18"/>
        <v>23750</v>
      </c>
      <c r="FL54" s="467" t="s">
        <v>621</v>
      </c>
      <c r="FM54" s="470"/>
    </row>
    <row r="55" spans="1:169" s="457" customFormat="1" ht="32.5" customHeight="1" x14ac:dyDescent="0.35">
      <c r="A55" s="458">
        <v>51</v>
      </c>
      <c r="B55" s="459" t="s">
        <v>721</v>
      </c>
      <c r="C55" s="460" t="s">
        <v>722</v>
      </c>
      <c r="D55" s="461" t="s">
        <v>620</v>
      </c>
      <c r="E55" s="458">
        <v>1</v>
      </c>
      <c r="F55" s="463"/>
      <c r="G55" s="463"/>
      <c r="H55" s="463"/>
      <c r="I55" s="463"/>
      <c r="J55" s="463"/>
      <c r="K55" s="463"/>
      <c r="L55" s="464"/>
      <c r="M55" s="464"/>
      <c r="N55" s="464"/>
      <c r="O55" s="464"/>
      <c r="P55" s="464"/>
      <c r="Q55" s="464"/>
      <c r="R55" s="464"/>
      <c r="S55" s="464"/>
      <c r="T55" s="464"/>
      <c r="U55" s="464"/>
      <c r="V55" s="464"/>
      <c r="W55" s="464"/>
      <c r="X55" s="464"/>
      <c r="Y55" s="464"/>
      <c r="Z55" s="464"/>
      <c r="AA55" s="464"/>
      <c r="AB55" s="464"/>
      <c r="AC55" s="464"/>
      <c r="AD55" s="463">
        <v>91273</v>
      </c>
      <c r="AE55" s="464">
        <f t="shared" si="28"/>
        <v>91273</v>
      </c>
      <c r="AF55" s="464"/>
      <c r="AG55" s="464"/>
      <c r="AH55" s="464"/>
      <c r="AI55" s="464"/>
      <c r="AJ55" s="464"/>
      <c r="AK55" s="464"/>
      <c r="AL55" s="464"/>
      <c r="AM55" s="464"/>
      <c r="AN55" s="464"/>
      <c r="AO55" s="464"/>
      <c r="AP55" s="464"/>
      <c r="AQ55" s="464"/>
      <c r="AR55" s="464"/>
      <c r="AS55" s="464"/>
      <c r="AT55" s="464"/>
      <c r="AU55" s="464"/>
      <c r="AV55" s="464"/>
      <c r="AW55" s="464"/>
      <c r="AX55" s="464"/>
      <c r="AY55" s="464"/>
      <c r="AZ55" s="464">
        <v>30000</v>
      </c>
      <c r="BA55" s="464"/>
      <c r="BB55" s="464">
        <v>15000</v>
      </c>
      <c r="BC55" s="464"/>
      <c r="BD55" s="464">
        <v>12000</v>
      </c>
      <c r="BE55" s="464"/>
      <c r="BF55" s="464">
        <v>15000</v>
      </c>
      <c r="BG55" s="464"/>
      <c r="BH55" s="464"/>
      <c r="BI55" s="464"/>
      <c r="BJ55" s="464"/>
      <c r="BK55" s="464"/>
      <c r="BL55" s="464"/>
      <c r="BM55" s="464"/>
      <c r="BN55" s="464"/>
      <c r="BO55" s="464"/>
      <c r="BP55" s="464">
        <v>18000</v>
      </c>
      <c r="BQ55" s="464"/>
      <c r="BR55" s="464"/>
      <c r="BS55" s="464"/>
      <c r="BT55" s="464"/>
      <c r="BU55" s="464"/>
      <c r="BV55" s="464"/>
      <c r="BW55" s="464"/>
      <c r="BX55" s="464"/>
      <c r="BY55" s="464"/>
      <c r="BZ55" s="464"/>
      <c r="CA55" s="464"/>
      <c r="CB55" s="464"/>
      <c r="CC55" s="464"/>
      <c r="CD55" s="464"/>
      <c r="CE55" s="464"/>
      <c r="CF55" s="464"/>
      <c r="CG55" s="464"/>
      <c r="CH55" s="464"/>
      <c r="CI55" s="464"/>
      <c r="CJ55" s="464"/>
      <c r="CK55" s="464"/>
      <c r="CL55" s="464"/>
      <c r="CM55" s="464"/>
      <c r="CN55" s="464"/>
      <c r="CO55" s="464"/>
      <c r="CP55" s="464"/>
      <c r="CQ55" s="464"/>
      <c r="CR55" s="464"/>
      <c r="CS55" s="464"/>
      <c r="CT55" s="464"/>
      <c r="CU55" s="464"/>
      <c r="CV55" s="464"/>
      <c r="CW55" s="464"/>
      <c r="CX55" s="464"/>
      <c r="CY55" s="464"/>
      <c r="CZ55" s="464"/>
      <c r="DA55" s="464"/>
      <c r="DB55" s="464"/>
      <c r="DC55" s="464"/>
      <c r="DD55" s="464"/>
      <c r="DE55" s="464"/>
      <c r="DF55" s="464"/>
      <c r="DG55" s="464"/>
      <c r="DH55" s="464"/>
      <c r="DI55" s="464"/>
      <c r="DJ55" s="464"/>
      <c r="DK55" s="464"/>
      <c r="DL55" s="464"/>
      <c r="DM55" s="464"/>
      <c r="DN55" s="464"/>
      <c r="DO55" s="464"/>
      <c r="DP55" s="464"/>
      <c r="DQ55" s="464"/>
      <c r="DR55" s="464"/>
      <c r="DS55" s="464"/>
      <c r="DT55" s="464"/>
      <c r="DU55" s="464"/>
      <c r="DV55" s="464"/>
      <c r="DW55" s="464"/>
      <c r="DX55" s="464"/>
      <c r="DY55" s="464"/>
      <c r="DZ55" s="464"/>
      <c r="EA55" s="464"/>
      <c r="EB55" s="464"/>
      <c r="EC55" s="464"/>
      <c r="ED55" s="464"/>
      <c r="EE55" s="464"/>
      <c r="EF55" s="464"/>
      <c r="EG55" s="464"/>
      <c r="EH55" s="464"/>
      <c r="EI55" s="464"/>
      <c r="EJ55" s="464"/>
      <c r="EK55" s="464"/>
      <c r="EL55" s="464"/>
      <c r="EM55" s="464"/>
      <c r="EN55" s="464"/>
      <c r="EO55" s="464"/>
      <c r="EP55" s="464"/>
      <c r="EQ55" s="464"/>
      <c r="ER55" s="464"/>
      <c r="ES55" s="464"/>
      <c r="ET55" s="464"/>
      <c r="EU55" s="464"/>
      <c r="EV55" s="464"/>
      <c r="EW55" s="464"/>
      <c r="EX55" s="464"/>
      <c r="EY55" s="464"/>
      <c r="EZ55" s="464"/>
      <c r="FA55" s="464"/>
      <c r="FB55" s="464"/>
      <c r="FC55" s="464"/>
      <c r="FD55" s="464"/>
      <c r="FE55" s="464"/>
      <c r="FF55" s="472">
        <f>MEDIAN(BF55,BP55)</f>
        <v>16500</v>
      </c>
      <c r="FG55" s="472">
        <f>AVERAGE(BF55,BP55)</f>
        <v>16500</v>
      </c>
      <c r="FH55" s="473">
        <f>STDEV(BF55,BP55)</f>
        <v>2121.3203435596424</v>
      </c>
      <c r="FI55" s="476">
        <f t="shared" si="12"/>
        <v>0.12856486930664499</v>
      </c>
      <c r="FJ55" s="475">
        <f t="shared" si="13"/>
        <v>16500</v>
      </c>
      <c r="FK55" s="469">
        <f t="shared" si="18"/>
        <v>16500</v>
      </c>
      <c r="FL55" s="467" t="s">
        <v>621</v>
      </c>
      <c r="FM55" s="470"/>
    </row>
    <row r="56" spans="1:169" ht="32.5" customHeight="1" x14ac:dyDescent="0.35">
      <c r="A56" s="458">
        <v>52</v>
      </c>
      <c r="B56" s="485" t="s">
        <v>723</v>
      </c>
      <c r="C56" s="486" t="s">
        <v>724</v>
      </c>
      <c r="D56" s="487" t="s">
        <v>620</v>
      </c>
      <c r="E56" s="458">
        <v>1</v>
      </c>
      <c r="F56" s="482"/>
      <c r="G56" s="482"/>
      <c r="H56" s="482"/>
      <c r="I56" s="482"/>
      <c r="J56" s="482"/>
      <c r="K56" s="482"/>
      <c r="L56" s="489"/>
      <c r="M56" s="489"/>
      <c r="N56" s="489"/>
      <c r="O56" s="489"/>
      <c r="P56" s="489"/>
      <c r="Q56" s="489"/>
      <c r="R56" s="489"/>
      <c r="S56" s="489"/>
      <c r="T56" s="489"/>
      <c r="U56" s="489"/>
      <c r="V56" s="489"/>
      <c r="W56" s="464"/>
      <c r="X56" s="464"/>
      <c r="Y56" s="464"/>
      <c r="Z56" s="464"/>
      <c r="AA56" s="464"/>
      <c r="AB56" s="464"/>
      <c r="AC56" s="464"/>
      <c r="AD56" s="482">
        <v>491.58701666666661</v>
      </c>
      <c r="AE56" s="464">
        <f t="shared" si="28"/>
        <v>491.58701666666661</v>
      </c>
      <c r="AF56" s="464"/>
      <c r="AG56" s="464"/>
      <c r="AH56" s="464"/>
      <c r="AI56" s="464"/>
      <c r="AJ56" s="464"/>
      <c r="AK56" s="464"/>
      <c r="AL56" s="464"/>
      <c r="AM56" s="464"/>
      <c r="AN56" s="464"/>
      <c r="AO56" s="464"/>
      <c r="AP56" s="464"/>
      <c r="AQ56" s="464"/>
      <c r="AR56" s="464"/>
      <c r="AS56" s="464"/>
      <c r="AT56" s="464"/>
      <c r="AU56" s="464"/>
      <c r="AV56" s="464"/>
      <c r="AW56" s="464"/>
      <c r="AX56" s="464"/>
      <c r="AY56" s="464"/>
      <c r="AZ56" s="464"/>
      <c r="BA56" s="464"/>
      <c r="BB56" s="464"/>
      <c r="BC56" s="464"/>
      <c r="BD56" s="464"/>
      <c r="BE56" s="464"/>
      <c r="BF56" s="464"/>
      <c r="BG56" s="464"/>
      <c r="BH56" s="464"/>
      <c r="BI56" s="464"/>
      <c r="BJ56" s="464"/>
      <c r="BK56" s="464"/>
      <c r="BL56" s="464"/>
      <c r="BM56" s="464"/>
      <c r="BN56" s="464"/>
      <c r="BO56" s="464"/>
      <c r="BP56" s="464"/>
      <c r="BQ56" s="464"/>
      <c r="BR56" s="464"/>
      <c r="BS56" s="464"/>
      <c r="BT56" s="464"/>
      <c r="BU56" s="464"/>
      <c r="BV56" s="464"/>
      <c r="BW56" s="464"/>
      <c r="BX56" s="464"/>
      <c r="BY56" s="464"/>
      <c r="BZ56" s="464"/>
      <c r="CA56" s="464"/>
      <c r="CB56" s="464"/>
      <c r="CC56" s="464"/>
      <c r="CD56" s="464"/>
      <c r="CE56" s="464"/>
      <c r="CF56" s="464"/>
      <c r="CG56" s="464"/>
      <c r="CH56" s="464"/>
      <c r="CI56" s="464"/>
      <c r="CJ56" s="464"/>
      <c r="CK56" s="464"/>
      <c r="CL56" s="464"/>
      <c r="CM56" s="464"/>
      <c r="CN56" s="464"/>
      <c r="CO56" s="464"/>
      <c r="CP56" s="464"/>
      <c r="CQ56" s="464"/>
      <c r="CR56" s="464">
        <v>680</v>
      </c>
      <c r="CS56" s="464">
        <f t="shared" ref="CS56" si="32">+CR56*E56</f>
        <v>680</v>
      </c>
      <c r="CT56" s="464"/>
      <c r="CU56" s="464"/>
      <c r="CV56" s="464"/>
      <c r="CW56" s="464"/>
      <c r="CX56" s="464"/>
      <c r="CY56" s="464"/>
      <c r="CZ56" s="464"/>
      <c r="DA56" s="464"/>
      <c r="DB56" s="464"/>
      <c r="DC56" s="464"/>
      <c r="DD56" s="464"/>
      <c r="DE56" s="464"/>
      <c r="DF56" s="464"/>
      <c r="DG56" s="464"/>
      <c r="DH56" s="464"/>
      <c r="DI56" s="464"/>
      <c r="DJ56" s="464"/>
      <c r="DK56" s="464"/>
      <c r="DL56" s="464"/>
      <c r="DM56" s="464"/>
      <c r="DN56" s="464"/>
      <c r="DO56" s="464"/>
      <c r="DP56" s="464"/>
      <c r="DQ56" s="464"/>
      <c r="DR56" s="464"/>
      <c r="DS56" s="464"/>
      <c r="DT56" s="464"/>
      <c r="DU56" s="464"/>
      <c r="DV56" s="464"/>
      <c r="DW56" s="464"/>
      <c r="DX56" s="464"/>
      <c r="DY56" s="464"/>
      <c r="DZ56" s="464"/>
      <c r="EA56" s="464"/>
      <c r="EB56" s="464"/>
      <c r="EC56" s="464"/>
      <c r="ED56" s="464"/>
      <c r="EE56" s="464"/>
      <c r="EF56" s="464"/>
      <c r="EG56" s="464"/>
      <c r="EH56" s="464"/>
      <c r="EI56" s="464"/>
      <c r="EJ56" s="464"/>
      <c r="EK56" s="464"/>
      <c r="EL56" s="464"/>
      <c r="EM56" s="464"/>
      <c r="EN56" s="464"/>
      <c r="EO56" s="464"/>
      <c r="EP56" s="464"/>
      <c r="EQ56" s="464"/>
      <c r="ER56" s="464"/>
      <c r="ES56" s="464"/>
      <c r="ET56" s="464"/>
      <c r="EU56" s="464"/>
      <c r="EV56" s="464"/>
      <c r="EW56" s="464"/>
      <c r="EX56" s="464"/>
      <c r="EY56" s="464"/>
      <c r="EZ56" s="464"/>
      <c r="FA56" s="464"/>
      <c r="FB56" s="464"/>
      <c r="FC56" s="464"/>
      <c r="FD56" s="464"/>
      <c r="FE56" s="464"/>
      <c r="FF56" s="472">
        <f>MEDIAN(AD56,CR56)</f>
        <v>585.79350833333331</v>
      </c>
      <c r="FG56" s="472">
        <f>AVERAGE(AD56,CR56)</f>
        <v>585.79350833333331</v>
      </c>
      <c r="FH56" s="473">
        <f>STDEV(AD56,CR56)</f>
        <v>133.22809817858823</v>
      </c>
      <c r="FI56" s="476">
        <f t="shared" si="12"/>
        <v>0.22743184464034316</v>
      </c>
      <c r="FJ56" s="475">
        <f t="shared" si="13"/>
        <v>586</v>
      </c>
      <c r="FK56" s="469">
        <f t="shared" si="18"/>
        <v>586</v>
      </c>
      <c r="FL56" s="467" t="s">
        <v>632</v>
      </c>
      <c r="FM56" s="470"/>
    </row>
    <row r="57" spans="1:169" ht="32.5" customHeight="1" x14ac:dyDescent="0.35">
      <c r="A57" s="458">
        <v>53</v>
      </c>
      <c r="B57" s="485" t="s">
        <v>725</v>
      </c>
      <c r="C57" s="486" t="s">
        <v>726</v>
      </c>
      <c r="D57" s="487" t="s">
        <v>620</v>
      </c>
      <c r="E57" s="458">
        <v>1</v>
      </c>
      <c r="F57" s="482"/>
      <c r="G57" s="482"/>
      <c r="H57" s="482"/>
      <c r="I57" s="482"/>
      <c r="J57" s="482"/>
      <c r="K57" s="482"/>
      <c r="L57" s="489"/>
      <c r="M57" s="489"/>
      <c r="N57" s="489"/>
      <c r="O57" s="489"/>
      <c r="P57" s="489"/>
      <c r="Q57" s="489"/>
      <c r="R57" s="489"/>
      <c r="S57" s="489"/>
      <c r="T57" s="489"/>
      <c r="U57" s="489"/>
      <c r="V57" s="489"/>
      <c r="W57" s="464"/>
      <c r="X57" s="464"/>
      <c r="Y57" s="464"/>
      <c r="Z57" s="464"/>
      <c r="AA57" s="464"/>
      <c r="AB57" s="464"/>
      <c r="AC57" s="464"/>
      <c r="AD57" s="482">
        <v>41985.58</v>
      </c>
      <c r="AE57" s="464">
        <f t="shared" si="28"/>
        <v>41985.58</v>
      </c>
      <c r="AF57" s="464"/>
      <c r="AG57" s="464"/>
      <c r="AH57" s="464"/>
      <c r="AI57" s="464"/>
      <c r="AJ57" s="464"/>
      <c r="AK57" s="464"/>
      <c r="AL57" s="464"/>
      <c r="AM57" s="464"/>
      <c r="AN57" s="464"/>
      <c r="AO57" s="464"/>
      <c r="AP57" s="464"/>
      <c r="AQ57" s="464"/>
      <c r="AR57" s="464"/>
      <c r="AS57" s="464"/>
      <c r="AT57" s="464"/>
      <c r="AU57" s="464"/>
      <c r="AV57" s="464"/>
      <c r="AW57" s="464"/>
      <c r="AX57" s="464"/>
      <c r="AY57" s="464"/>
      <c r="AZ57" s="464"/>
      <c r="BA57" s="464"/>
      <c r="BB57" s="464"/>
      <c r="BC57" s="464"/>
      <c r="BD57" s="464"/>
      <c r="BE57" s="464"/>
      <c r="BF57" s="464"/>
      <c r="BG57" s="464"/>
      <c r="BH57" s="464"/>
      <c r="BI57" s="464"/>
      <c r="BJ57" s="464"/>
      <c r="BK57" s="464"/>
      <c r="BL57" s="464"/>
      <c r="BM57" s="464"/>
      <c r="BN57" s="464"/>
      <c r="BO57" s="464"/>
      <c r="BP57" s="464"/>
      <c r="BQ57" s="464"/>
      <c r="BR57" s="464"/>
      <c r="BS57" s="464"/>
      <c r="BT57" s="464"/>
      <c r="BU57" s="464"/>
      <c r="BV57" s="464"/>
      <c r="BW57" s="464"/>
      <c r="BX57" s="464"/>
      <c r="BY57" s="464"/>
      <c r="BZ57" s="464"/>
      <c r="CA57" s="464"/>
      <c r="CB57" s="464">
        <v>70000</v>
      </c>
      <c r="CC57" s="492">
        <f>+CB57*E57</f>
        <v>70000</v>
      </c>
      <c r="CD57" s="464">
        <v>81000</v>
      </c>
      <c r="CE57" s="492">
        <f>+CD57*E57</f>
        <v>81000</v>
      </c>
      <c r="CF57" s="464"/>
      <c r="CG57" s="464"/>
      <c r="CH57" s="464"/>
      <c r="CI57" s="464"/>
      <c r="CJ57" s="464"/>
      <c r="CK57" s="464"/>
      <c r="CL57" s="464"/>
      <c r="CM57" s="464"/>
      <c r="CN57" s="464"/>
      <c r="CO57" s="464"/>
      <c r="CP57" s="464"/>
      <c r="CQ57" s="464"/>
      <c r="CR57" s="464"/>
      <c r="CS57" s="464"/>
      <c r="CT57" s="464"/>
      <c r="CU57" s="464"/>
      <c r="CV57" s="464"/>
      <c r="CW57" s="464"/>
      <c r="CX57" s="464"/>
      <c r="CY57" s="464"/>
      <c r="CZ57" s="464"/>
      <c r="DA57" s="464"/>
      <c r="DB57" s="464"/>
      <c r="DC57" s="464"/>
      <c r="DD57" s="464"/>
      <c r="DE57" s="464"/>
      <c r="DF57" s="464"/>
      <c r="DG57" s="464"/>
      <c r="DH57" s="464"/>
      <c r="DI57" s="464"/>
      <c r="DJ57" s="464"/>
      <c r="DK57" s="464"/>
      <c r="DL57" s="464"/>
      <c r="DM57" s="464"/>
      <c r="DN57" s="464"/>
      <c r="DO57" s="464"/>
      <c r="DP57" s="464"/>
      <c r="DQ57" s="464"/>
      <c r="DR57" s="464"/>
      <c r="DS57" s="464"/>
      <c r="DT57" s="464"/>
      <c r="DU57" s="464"/>
      <c r="DV57" s="464"/>
      <c r="DW57" s="464"/>
      <c r="DX57" s="464"/>
      <c r="DY57" s="464"/>
      <c r="DZ57" s="464"/>
      <c r="EA57" s="464"/>
      <c r="EB57" s="464"/>
      <c r="EC57" s="464"/>
      <c r="ED57" s="464"/>
      <c r="EE57" s="464"/>
      <c r="EF57" s="464"/>
      <c r="EG57" s="464"/>
      <c r="EH57" s="464"/>
      <c r="EI57" s="464"/>
      <c r="EJ57" s="464"/>
      <c r="EK57" s="464"/>
      <c r="EL57" s="464"/>
      <c r="EM57" s="464"/>
      <c r="EN57" s="464"/>
      <c r="EO57" s="464"/>
      <c r="EP57" s="464"/>
      <c r="EQ57" s="464"/>
      <c r="ER57" s="464"/>
      <c r="ES57" s="464"/>
      <c r="ET57" s="464"/>
      <c r="EU57" s="464"/>
      <c r="EV57" s="464"/>
      <c r="EW57" s="464"/>
      <c r="EX57" s="464"/>
      <c r="EY57" s="464"/>
      <c r="EZ57" s="464"/>
      <c r="FA57" s="464"/>
      <c r="FB57" s="464"/>
      <c r="FC57" s="464"/>
      <c r="FD57" s="464"/>
      <c r="FE57" s="464"/>
      <c r="FF57" s="472">
        <f>MEDIAN(CB57,CD57)</f>
        <v>75500</v>
      </c>
      <c r="FG57" s="472">
        <f>AVERAGE(CB57,CD57)</f>
        <v>75500</v>
      </c>
      <c r="FH57" s="473">
        <f>STDEV(CB57,CD57)</f>
        <v>7778.1745930520228</v>
      </c>
      <c r="FI57" s="476">
        <f t="shared" si="12"/>
        <v>0.10302218004042414</v>
      </c>
      <c r="FJ57" s="475">
        <f t="shared" si="13"/>
        <v>75500</v>
      </c>
      <c r="FK57" s="469">
        <f t="shared" si="18"/>
        <v>75500</v>
      </c>
      <c r="FL57" s="467" t="s">
        <v>621</v>
      </c>
      <c r="FM57" s="470"/>
    </row>
    <row r="58" spans="1:169" s="457" customFormat="1" ht="51" customHeight="1" x14ac:dyDescent="0.35">
      <c r="A58" s="458">
        <v>54</v>
      </c>
      <c r="B58" s="459" t="s">
        <v>727</v>
      </c>
      <c r="C58" s="460" t="s">
        <v>728</v>
      </c>
      <c r="D58" s="461" t="s">
        <v>620</v>
      </c>
      <c r="E58" s="458">
        <v>1</v>
      </c>
      <c r="F58" s="463"/>
      <c r="G58" s="463"/>
      <c r="H58" s="463"/>
      <c r="I58" s="463"/>
      <c r="J58" s="463"/>
      <c r="K58" s="463"/>
      <c r="L58" s="464"/>
      <c r="M58" s="464"/>
      <c r="N58" s="464"/>
      <c r="O58" s="464"/>
      <c r="P58" s="464"/>
      <c r="Q58" s="464"/>
      <c r="R58" s="464"/>
      <c r="S58" s="464"/>
      <c r="T58" s="464"/>
      <c r="U58" s="464"/>
      <c r="V58" s="464"/>
      <c r="W58" s="464"/>
      <c r="X58" s="464"/>
      <c r="Y58" s="464"/>
      <c r="Z58" s="464"/>
      <c r="AA58" s="464"/>
      <c r="AB58" s="464"/>
      <c r="AC58" s="464"/>
      <c r="AD58" s="463">
        <v>17552.5</v>
      </c>
      <c r="AE58" s="464">
        <f t="shared" si="28"/>
        <v>17552.5</v>
      </c>
      <c r="AF58" s="464"/>
      <c r="AG58" s="464"/>
      <c r="AH58" s="464"/>
      <c r="AI58" s="464"/>
      <c r="AJ58" s="464"/>
      <c r="AK58" s="464"/>
      <c r="AL58" s="464"/>
      <c r="AM58" s="464"/>
      <c r="AN58" s="464"/>
      <c r="AO58" s="464"/>
      <c r="AP58" s="464"/>
      <c r="AQ58" s="464"/>
      <c r="AR58" s="464"/>
      <c r="AS58" s="464"/>
      <c r="AT58" s="464"/>
      <c r="AU58" s="464"/>
      <c r="AV58" s="464"/>
      <c r="AW58" s="464"/>
      <c r="AX58" s="464"/>
      <c r="AY58" s="464"/>
      <c r="AZ58" s="464"/>
      <c r="BA58" s="464"/>
      <c r="BB58" s="464"/>
      <c r="BC58" s="464"/>
      <c r="BD58" s="464"/>
      <c r="BE58" s="464"/>
      <c r="BF58" s="464"/>
      <c r="BG58" s="464"/>
      <c r="BH58" s="464"/>
      <c r="BI58" s="464"/>
      <c r="BJ58" s="464"/>
      <c r="BK58" s="464"/>
      <c r="BL58" s="464"/>
      <c r="BM58" s="464"/>
      <c r="BN58" s="464"/>
      <c r="BO58" s="464"/>
      <c r="BP58" s="464"/>
      <c r="BQ58" s="464"/>
      <c r="BR58" s="464"/>
      <c r="BS58" s="464"/>
      <c r="BT58" s="464"/>
      <c r="BU58" s="464"/>
      <c r="BV58" s="464"/>
      <c r="BW58" s="464"/>
      <c r="BX58" s="464"/>
      <c r="BY58" s="464"/>
      <c r="BZ58" s="464"/>
      <c r="CA58" s="464"/>
      <c r="CB58" s="464">
        <v>80000</v>
      </c>
      <c r="CC58" s="464">
        <f>+CB58*E58</f>
        <v>80000</v>
      </c>
      <c r="CD58" s="464">
        <v>50022</v>
      </c>
      <c r="CE58" s="464">
        <f>+CD58*E58</f>
        <v>50022</v>
      </c>
      <c r="CF58" s="464"/>
      <c r="CG58" s="464"/>
      <c r="CH58" s="464"/>
      <c r="CI58" s="464"/>
      <c r="CJ58" s="464"/>
      <c r="CK58" s="464"/>
      <c r="CL58" s="464"/>
      <c r="CM58" s="464"/>
      <c r="CN58" s="464"/>
      <c r="CO58" s="464"/>
      <c r="CP58" s="464"/>
      <c r="CQ58" s="464"/>
      <c r="CR58" s="464"/>
      <c r="CS58" s="464"/>
      <c r="CT58" s="464"/>
      <c r="CU58" s="464"/>
      <c r="CV58" s="464"/>
      <c r="CW58" s="464"/>
      <c r="CX58" s="464"/>
      <c r="CY58" s="464"/>
      <c r="CZ58" s="464"/>
      <c r="DA58" s="464"/>
      <c r="DB58" s="464"/>
      <c r="DC58" s="464"/>
      <c r="DD58" s="464"/>
      <c r="DE58" s="464"/>
      <c r="DF58" s="464"/>
      <c r="DG58" s="464"/>
      <c r="DH58" s="464"/>
      <c r="DI58" s="464"/>
      <c r="DJ58" s="464"/>
      <c r="DK58" s="464"/>
      <c r="DL58" s="464"/>
      <c r="DM58" s="464"/>
      <c r="DN58" s="464"/>
      <c r="DO58" s="464"/>
      <c r="DP58" s="464"/>
      <c r="DQ58" s="464"/>
      <c r="DR58" s="464"/>
      <c r="DS58" s="464"/>
      <c r="DT58" s="464"/>
      <c r="DU58" s="464"/>
      <c r="DV58" s="464"/>
      <c r="DW58" s="464"/>
      <c r="DX58" s="464"/>
      <c r="DY58" s="464"/>
      <c r="DZ58" s="464"/>
      <c r="EA58" s="464"/>
      <c r="EB58" s="464"/>
      <c r="EC58" s="464"/>
      <c r="ED58" s="464"/>
      <c r="EE58" s="464"/>
      <c r="EF58" s="464">
        <v>21389</v>
      </c>
      <c r="EG58" s="464">
        <f>+EF58*E58</f>
        <v>21389</v>
      </c>
      <c r="EH58" s="464"/>
      <c r="EI58" s="464"/>
      <c r="EJ58" s="464"/>
      <c r="EK58" s="464"/>
      <c r="EL58" s="464"/>
      <c r="EM58" s="464"/>
      <c r="EN58" s="464"/>
      <c r="EO58" s="464"/>
      <c r="EP58" s="464"/>
      <c r="EQ58" s="464"/>
      <c r="ER58" s="464"/>
      <c r="ES58" s="464"/>
      <c r="ET58" s="464"/>
      <c r="EU58" s="464"/>
      <c r="EV58" s="464"/>
      <c r="EW58" s="464"/>
      <c r="EX58" s="464"/>
      <c r="EY58" s="464"/>
      <c r="EZ58" s="464"/>
      <c r="FA58" s="464"/>
      <c r="FB58" s="464"/>
      <c r="FC58" s="464"/>
      <c r="FD58" s="464"/>
      <c r="FE58" s="464"/>
      <c r="FF58" s="472">
        <f>MEDIAN(AD58,EF58)</f>
        <v>19470.75</v>
      </c>
      <c r="FG58" s="472">
        <f>AVERAGE(AD58,EF58)</f>
        <v>19470.75</v>
      </c>
      <c r="FH58" s="473">
        <f>STDEV(AD58,EF58)</f>
        <v>2712.8151660221897</v>
      </c>
      <c r="FI58" s="476">
        <f t="shared" si="12"/>
        <v>0.13932771803973601</v>
      </c>
      <c r="FJ58" s="475">
        <f t="shared" si="13"/>
        <v>19471</v>
      </c>
      <c r="FK58" s="469">
        <f t="shared" si="18"/>
        <v>19471</v>
      </c>
      <c r="FL58" s="467" t="s">
        <v>621</v>
      </c>
      <c r="FM58" s="470"/>
    </row>
    <row r="59" spans="1:169" ht="32.5" customHeight="1" x14ac:dyDescent="0.35">
      <c r="A59" s="458">
        <v>55</v>
      </c>
      <c r="B59" s="485" t="s">
        <v>729</v>
      </c>
      <c r="C59" s="486" t="s">
        <v>730</v>
      </c>
      <c r="D59" s="487" t="s">
        <v>620</v>
      </c>
      <c r="E59" s="458">
        <v>1</v>
      </c>
      <c r="F59" s="482"/>
      <c r="G59" s="482"/>
      <c r="H59" s="482"/>
      <c r="I59" s="482"/>
      <c r="J59" s="482"/>
      <c r="K59" s="482"/>
      <c r="L59" s="489"/>
      <c r="M59" s="489"/>
      <c r="N59" s="489"/>
      <c r="O59" s="489"/>
      <c r="P59" s="489"/>
      <c r="Q59" s="489"/>
      <c r="R59" s="489"/>
      <c r="S59" s="489"/>
      <c r="T59" s="489"/>
      <c r="U59" s="489"/>
      <c r="V59" s="489"/>
      <c r="W59" s="464"/>
      <c r="X59" s="464"/>
      <c r="Y59" s="464"/>
      <c r="Z59" s="464"/>
      <c r="AA59" s="464"/>
      <c r="AB59" s="464"/>
      <c r="AC59" s="464"/>
      <c r="AD59" s="482">
        <v>84252</v>
      </c>
      <c r="AE59" s="464">
        <f t="shared" si="28"/>
        <v>84252</v>
      </c>
      <c r="AF59" s="464"/>
      <c r="AG59" s="464"/>
      <c r="AH59" s="464"/>
      <c r="AI59" s="464"/>
      <c r="AJ59" s="464"/>
      <c r="AK59" s="464"/>
      <c r="AL59" s="464"/>
      <c r="AM59" s="464"/>
      <c r="AN59" s="464"/>
      <c r="AO59" s="464"/>
      <c r="AP59" s="464"/>
      <c r="AQ59" s="464"/>
      <c r="AR59" s="464"/>
      <c r="AS59" s="464"/>
      <c r="AT59" s="464"/>
      <c r="AU59" s="464"/>
      <c r="AV59" s="464"/>
      <c r="AW59" s="464"/>
      <c r="AX59" s="464"/>
      <c r="AY59" s="464"/>
      <c r="AZ59" s="464"/>
      <c r="BA59" s="464"/>
      <c r="BB59" s="464"/>
      <c r="BC59" s="464"/>
      <c r="BD59" s="464"/>
      <c r="BE59" s="464"/>
      <c r="BF59" s="464"/>
      <c r="BG59" s="464"/>
      <c r="BH59" s="464"/>
      <c r="BI59" s="464"/>
      <c r="BJ59" s="464"/>
      <c r="BK59" s="464"/>
      <c r="BL59" s="464"/>
      <c r="BM59" s="464"/>
      <c r="BN59" s="464"/>
      <c r="BO59" s="464"/>
      <c r="BP59" s="464"/>
      <c r="BQ59" s="464"/>
      <c r="BR59" s="464"/>
      <c r="BS59" s="464"/>
      <c r="BT59" s="464"/>
      <c r="BU59" s="464"/>
      <c r="BV59" s="464"/>
      <c r="BW59" s="464"/>
      <c r="BX59" s="464"/>
      <c r="BY59" s="464"/>
      <c r="BZ59" s="464"/>
      <c r="CA59" s="464"/>
      <c r="CB59" s="464">
        <v>150000</v>
      </c>
      <c r="CC59" s="492">
        <f>+CB59*E59</f>
        <v>150000</v>
      </c>
      <c r="CD59" s="464">
        <v>135000</v>
      </c>
      <c r="CE59" s="492">
        <f>+CD59*E59</f>
        <v>135000</v>
      </c>
      <c r="CF59" s="464"/>
      <c r="CG59" s="464"/>
      <c r="CH59" s="464"/>
      <c r="CI59" s="464"/>
      <c r="CJ59" s="464"/>
      <c r="CK59" s="464"/>
      <c r="CL59" s="464"/>
      <c r="CM59" s="464"/>
      <c r="CN59" s="464"/>
      <c r="CO59" s="464"/>
      <c r="CP59" s="464"/>
      <c r="CQ59" s="464"/>
      <c r="CR59" s="464"/>
      <c r="CS59" s="464"/>
      <c r="CT59" s="464"/>
      <c r="CU59" s="464"/>
      <c r="CV59" s="464"/>
      <c r="CW59" s="464"/>
      <c r="CX59" s="464"/>
      <c r="CY59" s="464"/>
      <c r="CZ59" s="464"/>
      <c r="DA59" s="464"/>
      <c r="DB59" s="464"/>
      <c r="DC59" s="464"/>
      <c r="DD59" s="464"/>
      <c r="DE59" s="464"/>
      <c r="DF59" s="464"/>
      <c r="DG59" s="464"/>
      <c r="DH59" s="464"/>
      <c r="DI59" s="464"/>
      <c r="DJ59" s="464"/>
      <c r="DK59" s="464"/>
      <c r="DL59" s="464"/>
      <c r="DM59" s="464"/>
      <c r="DN59" s="464"/>
      <c r="DO59" s="464"/>
      <c r="DP59" s="464"/>
      <c r="DQ59" s="464"/>
      <c r="DR59" s="464"/>
      <c r="DS59" s="464"/>
      <c r="DT59" s="464"/>
      <c r="DU59" s="464"/>
      <c r="DV59" s="464"/>
      <c r="DW59" s="464"/>
      <c r="DX59" s="464"/>
      <c r="DY59" s="464"/>
      <c r="DZ59" s="464"/>
      <c r="EA59" s="464"/>
      <c r="EB59" s="464"/>
      <c r="EC59" s="464"/>
      <c r="ED59" s="464"/>
      <c r="EE59" s="464"/>
      <c r="EF59" s="464"/>
      <c r="EG59" s="464"/>
      <c r="EH59" s="464"/>
      <c r="EI59" s="464"/>
      <c r="EJ59" s="464"/>
      <c r="EK59" s="464"/>
      <c r="EL59" s="464"/>
      <c r="EM59" s="464"/>
      <c r="EN59" s="464"/>
      <c r="EO59" s="464"/>
      <c r="EP59" s="464"/>
      <c r="EQ59" s="464"/>
      <c r="ER59" s="464"/>
      <c r="ES59" s="464"/>
      <c r="ET59" s="464"/>
      <c r="EU59" s="464"/>
      <c r="EV59" s="464"/>
      <c r="EW59" s="464"/>
      <c r="EX59" s="464"/>
      <c r="EY59" s="464"/>
      <c r="EZ59" s="464"/>
      <c r="FA59" s="464"/>
      <c r="FB59" s="464"/>
      <c r="FC59" s="464"/>
      <c r="FD59" s="464"/>
      <c r="FE59" s="464"/>
      <c r="FF59" s="472">
        <f>MEDIAN(CB59,CD59)</f>
        <v>142500</v>
      </c>
      <c r="FG59" s="472">
        <f>AVERAGE(CB59,CD59)</f>
        <v>142500</v>
      </c>
      <c r="FH59" s="473">
        <f>STDEV(CB59,CD59)</f>
        <v>10606.601717798212</v>
      </c>
      <c r="FI59" s="476">
        <f t="shared" si="12"/>
        <v>7.4432292756478682E-2</v>
      </c>
      <c r="FJ59" s="475">
        <f t="shared" si="13"/>
        <v>142500</v>
      </c>
      <c r="FK59" s="469">
        <f t="shared" si="18"/>
        <v>142500</v>
      </c>
      <c r="FL59" s="467" t="s">
        <v>621</v>
      </c>
      <c r="FM59" s="470"/>
    </row>
    <row r="60" spans="1:169" ht="32.5" customHeight="1" x14ac:dyDescent="0.35">
      <c r="A60" s="458">
        <v>56</v>
      </c>
      <c r="B60" s="485" t="s">
        <v>731</v>
      </c>
      <c r="C60" s="486" t="s">
        <v>732</v>
      </c>
      <c r="D60" s="487" t="s">
        <v>620</v>
      </c>
      <c r="E60" s="458">
        <v>1</v>
      </c>
      <c r="F60" s="482"/>
      <c r="G60" s="482"/>
      <c r="H60" s="482"/>
      <c r="I60" s="482"/>
      <c r="J60" s="482"/>
      <c r="K60" s="482"/>
      <c r="L60" s="489"/>
      <c r="M60" s="489"/>
      <c r="N60" s="489"/>
      <c r="O60" s="489"/>
      <c r="P60" s="489"/>
      <c r="Q60" s="489"/>
      <c r="R60" s="489"/>
      <c r="S60" s="489"/>
      <c r="T60" s="489"/>
      <c r="U60" s="489"/>
      <c r="V60" s="489"/>
      <c r="W60" s="464"/>
      <c r="X60" s="464"/>
      <c r="Y60" s="464"/>
      <c r="Z60" s="464"/>
      <c r="AA60" s="464"/>
      <c r="AB60" s="464"/>
      <c r="AC60" s="464"/>
      <c r="AD60" s="482">
        <v>62346.479999999996</v>
      </c>
      <c r="AE60" s="464">
        <f t="shared" si="28"/>
        <v>62346.479999999996</v>
      </c>
      <c r="AF60" s="464"/>
      <c r="AG60" s="464"/>
      <c r="AH60" s="464"/>
      <c r="AI60" s="464"/>
      <c r="AJ60" s="464"/>
      <c r="AK60" s="464"/>
      <c r="AL60" s="464"/>
      <c r="AM60" s="464"/>
      <c r="AN60" s="464"/>
      <c r="AO60" s="464"/>
      <c r="AP60" s="464"/>
      <c r="AQ60" s="464"/>
      <c r="AR60" s="464"/>
      <c r="AS60" s="464"/>
      <c r="AT60" s="464"/>
      <c r="AU60" s="464"/>
      <c r="AV60" s="464"/>
      <c r="AW60" s="464"/>
      <c r="AX60" s="464"/>
      <c r="AY60" s="464"/>
      <c r="AZ60" s="464"/>
      <c r="BA60" s="464"/>
      <c r="BB60" s="464"/>
      <c r="BC60" s="464"/>
      <c r="BD60" s="464"/>
      <c r="BE60" s="464"/>
      <c r="BF60" s="464"/>
      <c r="BG60" s="464"/>
      <c r="BH60" s="464"/>
      <c r="BI60" s="464"/>
      <c r="BJ60" s="464"/>
      <c r="BK60" s="464"/>
      <c r="BL60" s="464"/>
      <c r="BM60" s="464"/>
      <c r="BN60" s="464"/>
      <c r="BO60" s="464"/>
      <c r="BP60" s="464"/>
      <c r="BQ60" s="464"/>
      <c r="BR60" s="464"/>
      <c r="BS60" s="464"/>
      <c r="BT60" s="464"/>
      <c r="BU60" s="464"/>
      <c r="BV60" s="464"/>
      <c r="BW60" s="464"/>
      <c r="BX60" s="464"/>
      <c r="BY60" s="464"/>
      <c r="BZ60" s="464"/>
      <c r="CA60" s="464"/>
      <c r="CB60" s="464"/>
      <c r="CC60" s="464"/>
      <c r="CD60" s="464"/>
      <c r="CE60" s="464"/>
      <c r="CF60" s="464"/>
      <c r="CG60" s="464"/>
      <c r="CH60" s="464"/>
      <c r="CI60" s="464"/>
      <c r="CJ60" s="464"/>
      <c r="CK60" s="464"/>
      <c r="CL60" s="464"/>
      <c r="CM60" s="464"/>
      <c r="CN60" s="464"/>
      <c r="CO60" s="464"/>
      <c r="CP60" s="464"/>
      <c r="CQ60" s="464"/>
      <c r="CR60" s="464">
        <v>64260</v>
      </c>
      <c r="CS60" s="464">
        <f>+CR60*E60</f>
        <v>64260</v>
      </c>
      <c r="CT60" s="464"/>
      <c r="CU60" s="464"/>
      <c r="CV60" s="464"/>
      <c r="CW60" s="464"/>
      <c r="CX60" s="464"/>
      <c r="CY60" s="464"/>
      <c r="CZ60" s="464"/>
      <c r="DA60" s="464"/>
      <c r="DB60" s="464"/>
      <c r="DC60" s="464"/>
      <c r="DD60" s="464"/>
      <c r="DE60" s="464"/>
      <c r="DF60" s="464"/>
      <c r="DG60" s="464"/>
      <c r="DH60" s="464"/>
      <c r="DI60" s="464"/>
      <c r="DJ60" s="464"/>
      <c r="DK60" s="464"/>
      <c r="DL60" s="464"/>
      <c r="DM60" s="464"/>
      <c r="DN60" s="464"/>
      <c r="DO60" s="464"/>
      <c r="DP60" s="464"/>
      <c r="DQ60" s="464"/>
      <c r="DR60" s="464"/>
      <c r="DS60" s="464"/>
      <c r="DT60" s="464"/>
      <c r="DU60" s="464"/>
      <c r="DV60" s="464"/>
      <c r="DW60" s="464"/>
      <c r="DX60" s="464"/>
      <c r="DY60" s="464"/>
      <c r="DZ60" s="464"/>
      <c r="EA60" s="464"/>
      <c r="EB60" s="464"/>
      <c r="EC60" s="464"/>
      <c r="ED60" s="464"/>
      <c r="EE60" s="464"/>
      <c r="EF60" s="464"/>
      <c r="EG60" s="464"/>
      <c r="EH60" s="464"/>
      <c r="EI60" s="464"/>
      <c r="EJ60" s="464"/>
      <c r="EK60" s="464"/>
      <c r="EL60" s="464"/>
      <c r="EM60" s="464"/>
      <c r="EN60" s="464"/>
      <c r="EO60" s="464"/>
      <c r="EP60" s="464"/>
      <c r="EQ60" s="464"/>
      <c r="ER60" s="464"/>
      <c r="ES60" s="464"/>
      <c r="ET60" s="464"/>
      <c r="EU60" s="464"/>
      <c r="EV60" s="464"/>
      <c r="EW60" s="464"/>
      <c r="EX60" s="464"/>
      <c r="EY60" s="464"/>
      <c r="EZ60" s="464"/>
      <c r="FA60" s="464"/>
      <c r="FB60" s="464"/>
      <c r="FC60" s="464"/>
      <c r="FD60" s="464"/>
      <c r="FE60" s="464"/>
      <c r="FF60" s="472">
        <f>MEDIAN(AD60,CR60)</f>
        <v>63303.24</v>
      </c>
      <c r="FG60" s="472">
        <f>AVERAGE(AD60,CR60)</f>
        <v>63303.24</v>
      </c>
      <c r="FH60" s="473">
        <f>STDEV(AD60,CR60)</f>
        <v>1353.0629679360852</v>
      </c>
      <c r="FI60" s="476">
        <f t="shared" si="12"/>
        <v>2.1374308296638295E-2</v>
      </c>
      <c r="FJ60" s="475">
        <f t="shared" si="13"/>
        <v>63304</v>
      </c>
      <c r="FK60" s="469">
        <f t="shared" si="18"/>
        <v>63304</v>
      </c>
      <c r="FL60" s="467" t="s">
        <v>621</v>
      </c>
      <c r="FM60" s="470"/>
    </row>
    <row r="61" spans="1:169" ht="32.5" customHeight="1" x14ac:dyDescent="0.35">
      <c r="A61" s="458">
        <v>57</v>
      </c>
      <c r="B61" s="485" t="s">
        <v>733</v>
      </c>
      <c r="C61" s="486" t="s">
        <v>734</v>
      </c>
      <c r="D61" s="487" t="s">
        <v>620</v>
      </c>
      <c r="E61" s="458">
        <v>1</v>
      </c>
      <c r="F61" s="482"/>
      <c r="G61" s="482"/>
      <c r="H61" s="482"/>
      <c r="I61" s="482"/>
      <c r="J61" s="482"/>
      <c r="K61" s="482"/>
      <c r="L61" s="489"/>
      <c r="M61" s="489"/>
      <c r="N61" s="489"/>
      <c r="O61" s="489"/>
      <c r="P61" s="489"/>
      <c r="Q61" s="489"/>
      <c r="R61" s="489"/>
      <c r="S61" s="489"/>
      <c r="T61" s="489"/>
      <c r="U61" s="489"/>
      <c r="V61" s="489"/>
      <c r="W61" s="464"/>
      <c r="X61" s="464"/>
      <c r="Y61" s="464"/>
      <c r="Z61" s="464"/>
      <c r="AA61" s="464"/>
      <c r="AB61" s="464"/>
      <c r="AC61" s="464"/>
      <c r="AD61" s="482">
        <v>14718.8244</v>
      </c>
      <c r="AE61" s="464">
        <f t="shared" si="28"/>
        <v>14718.8244</v>
      </c>
      <c r="AF61" s="464"/>
      <c r="AG61" s="464"/>
      <c r="AH61" s="464"/>
      <c r="AI61" s="464"/>
      <c r="AJ61" s="464"/>
      <c r="AK61" s="464"/>
      <c r="AL61" s="464"/>
      <c r="AM61" s="464"/>
      <c r="AN61" s="464"/>
      <c r="AO61" s="464"/>
      <c r="AP61" s="464"/>
      <c r="AQ61" s="464"/>
      <c r="AR61" s="464"/>
      <c r="AS61" s="464"/>
      <c r="AT61" s="464"/>
      <c r="AU61" s="464"/>
      <c r="AV61" s="464"/>
      <c r="AW61" s="464"/>
      <c r="AX61" s="464"/>
      <c r="AY61" s="464"/>
      <c r="AZ61" s="464"/>
      <c r="BA61" s="464"/>
      <c r="BB61" s="464"/>
      <c r="BC61" s="464"/>
      <c r="BD61" s="464"/>
      <c r="BE61" s="464"/>
      <c r="BF61" s="464"/>
      <c r="BG61" s="464"/>
      <c r="BH61" s="464"/>
      <c r="BI61" s="464"/>
      <c r="BJ61" s="464"/>
      <c r="BK61" s="464"/>
      <c r="BL61" s="464"/>
      <c r="BM61" s="464"/>
      <c r="BN61" s="464"/>
      <c r="BO61" s="464"/>
      <c r="BP61" s="464"/>
      <c r="BQ61" s="464"/>
      <c r="BR61" s="464"/>
      <c r="BS61" s="464"/>
      <c r="BT61" s="464"/>
      <c r="BU61" s="464"/>
      <c r="BV61" s="464"/>
      <c r="BW61" s="464"/>
      <c r="BX61" s="464"/>
      <c r="BY61" s="464"/>
      <c r="BZ61" s="464"/>
      <c r="CA61" s="464"/>
      <c r="CB61" s="464"/>
      <c r="CC61" s="464"/>
      <c r="CD61" s="464"/>
      <c r="CE61" s="464"/>
      <c r="CF61" s="464"/>
      <c r="CG61" s="464"/>
      <c r="CH61" s="464"/>
      <c r="CI61" s="464"/>
      <c r="CJ61" s="464"/>
      <c r="CK61" s="464"/>
      <c r="CL61" s="464"/>
      <c r="CM61" s="464"/>
      <c r="CN61" s="464"/>
      <c r="CO61" s="464"/>
      <c r="CP61" s="464"/>
      <c r="CQ61" s="464"/>
      <c r="CR61" s="464"/>
      <c r="CS61" s="464"/>
      <c r="CT61" s="464"/>
      <c r="CU61" s="464"/>
      <c r="CV61" s="464"/>
      <c r="CW61" s="464"/>
      <c r="CX61" s="464"/>
      <c r="CY61" s="464"/>
      <c r="CZ61" s="464"/>
      <c r="DA61" s="464"/>
      <c r="DB61" s="464"/>
      <c r="DC61" s="464"/>
      <c r="DD61" s="464"/>
      <c r="DE61" s="464"/>
      <c r="DF61" s="464"/>
      <c r="DG61" s="464"/>
      <c r="DH61" s="464"/>
      <c r="DI61" s="464"/>
      <c r="DJ61" s="464">
        <v>24000</v>
      </c>
      <c r="DK61" s="464">
        <f>+DJ61*E61</f>
        <v>24000</v>
      </c>
      <c r="DL61" s="464">
        <v>23000</v>
      </c>
      <c r="DM61" s="464">
        <f>+DL61*E61</f>
        <v>23000</v>
      </c>
      <c r="DN61" s="464"/>
      <c r="DO61" s="464"/>
      <c r="DP61" s="464"/>
      <c r="DQ61" s="464"/>
      <c r="DR61" s="464"/>
      <c r="DS61" s="464"/>
      <c r="DT61" s="464"/>
      <c r="DU61" s="464"/>
      <c r="DV61" s="464"/>
      <c r="DW61" s="464"/>
      <c r="DX61" s="464"/>
      <c r="DY61" s="464"/>
      <c r="DZ61" s="464"/>
      <c r="EA61" s="464"/>
      <c r="EB61" s="464"/>
      <c r="EC61" s="464"/>
      <c r="ED61" s="464"/>
      <c r="EE61" s="464"/>
      <c r="EF61" s="464"/>
      <c r="EG61" s="464"/>
      <c r="EH61" s="464"/>
      <c r="EI61" s="464"/>
      <c r="EJ61" s="464"/>
      <c r="EK61" s="464"/>
      <c r="EL61" s="464"/>
      <c r="EM61" s="464"/>
      <c r="EN61" s="464"/>
      <c r="EO61" s="464"/>
      <c r="EP61" s="464"/>
      <c r="EQ61" s="464"/>
      <c r="ER61" s="464"/>
      <c r="ES61" s="464"/>
      <c r="ET61" s="464"/>
      <c r="EU61" s="464"/>
      <c r="EV61" s="464"/>
      <c r="EW61" s="464"/>
      <c r="EX61" s="464"/>
      <c r="EY61" s="464"/>
      <c r="EZ61" s="464"/>
      <c r="FA61" s="464"/>
      <c r="FB61" s="464"/>
      <c r="FC61" s="464"/>
      <c r="FD61" s="464"/>
      <c r="FE61" s="464"/>
      <c r="FF61" s="472">
        <f>MEDIAN(DJ61,DL61)</f>
        <v>23500</v>
      </c>
      <c r="FG61" s="472">
        <f>AVERAGE(DJ61,DL61)</f>
        <v>23500</v>
      </c>
      <c r="FH61" s="473">
        <f>STDEV(DJ61,DL61)</f>
        <v>707.10678118654755</v>
      </c>
      <c r="FI61" s="476">
        <f t="shared" si="12"/>
        <v>3.0089650263257342E-2</v>
      </c>
      <c r="FJ61" s="475">
        <f t="shared" si="13"/>
        <v>23500</v>
      </c>
      <c r="FK61" s="469">
        <f t="shared" si="18"/>
        <v>23500</v>
      </c>
      <c r="FL61" s="467" t="s">
        <v>621</v>
      </c>
      <c r="FM61" s="470"/>
    </row>
    <row r="62" spans="1:169" ht="32.5" customHeight="1" x14ac:dyDescent="0.35">
      <c r="A62" s="458">
        <v>58</v>
      </c>
      <c r="B62" s="485" t="s">
        <v>735</v>
      </c>
      <c r="C62" s="486" t="s">
        <v>736</v>
      </c>
      <c r="D62" s="487" t="s">
        <v>620</v>
      </c>
      <c r="E62" s="458">
        <v>1</v>
      </c>
      <c r="F62" s="482"/>
      <c r="G62" s="482"/>
      <c r="H62" s="482"/>
      <c r="I62" s="482"/>
      <c r="J62" s="482"/>
      <c r="K62" s="482"/>
      <c r="L62" s="489"/>
      <c r="M62" s="489"/>
      <c r="N62" s="489"/>
      <c r="O62" s="489"/>
      <c r="P62" s="489"/>
      <c r="Q62" s="489"/>
      <c r="R62" s="489"/>
      <c r="S62" s="489"/>
      <c r="T62" s="489"/>
      <c r="U62" s="489"/>
      <c r="V62" s="489"/>
      <c r="W62" s="464"/>
      <c r="X62" s="464"/>
      <c r="Y62" s="464"/>
      <c r="Z62" s="464"/>
      <c r="AA62" s="464"/>
      <c r="AB62" s="464"/>
      <c r="AC62" s="464"/>
      <c r="AD62" s="482">
        <v>83535.857999999993</v>
      </c>
      <c r="AE62" s="464">
        <f t="shared" si="28"/>
        <v>83535.857999999993</v>
      </c>
      <c r="AF62" s="464"/>
      <c r="AG62" s="464"/>
      <c r="AH62" s="464"/>
      <c r="AI62" s="464"/>
      <c r="AJ62" s="464"/>
      <c r="AK62" s="464"/>
      <c r="AL62" s="464"/>
      <c r="AM62" s="464"/>
      <c r="AN62" s="464"/>
      <c r="AO62" s="464"/>
      <c r="AP62" s="464"/>
      <c r="AQ62" s="464"/>
      <c r="AR62" s="464"/>
      <c r="AS62" s="464"/>
      <c r="AT62" s="464"/>
      <c r="AU62" s="464"/>
      <c r="AV62" s="464"/>
      <c r="AW62" s="464"/>
      <c r="AX62" s="464"/>
      <c r="AY62" s="464"/>
      <c r="AZ62" s="464"/>
      <c r="BA62" s="464"/>
      <c r="BB62" s="464"/>
      <c r="BC62" s="464"/>
      <c r="BD62" s="464"/>
      <c r="BE62" s="464"/>
      <c r="BF62" s="464"/>
      <c r="BG62" s="464"/>
      <c r="BH62" s="464"/>
      <c r="BI62" s="464"/>
      <c r="BJ62" s="464"/>
      <c r="BK62" s="464"/>
      <c r="BL62" s="464"/>
      <c r="BM62" s="464"/>
      <c r="BN62" s="464"/>
      <c r="BO62" s="464"/>
      <c r="BP62" s="464"/>
      <c r="BQ62" s="464"/>
      <c r="BR62" s="464"/>
      <c r="BS62" s="464"/>
      <c r="BT62" s="464"/>
      <c r="BU62" s="464"/>
      <c r="BV62" s="464"/>
      <c r="BW62" s="464"/>
      <c r="BX62" s="464"/>
      <c r="BY62" s="464"/>
      <c r="BZ62" s="464"/>
      <c r="CA62" s="464"/>
      <c r="CB62" s="464"/>
      <c r="CC62" s="464"/>
      <c r="CD62" s="464"/>
      <c r="CE62" s="464"/>
      <c r="CF62" s="464"/>
      <c r="CG62" s="464"/>
      <c r="CH62" s="464"/>
      <c r="CI62" s="464"/>
      <c r="CJ62" s="464"/>
      <c r="CK62" s="464"/>
      <c r="CL62" s="464"/>
      <c r="CM62" s="464"/>
      <c r="CN62" s="464"/>
      <c r="CO62" s="464"/>
      <c r="CP62" s="464"/>
      <c r="CQ62" s="464"/>
      <c r="CR62" s="464">
        <v>62874</v>
      </c>
      <c r="CS62" s="464">
        <f t="shared" ref="CS62" si="33">+CR62*E62</f>
        <v>62874</v>
      </c>
      <c r="CT62" s="464"/>
      <c r="CU62" s="464"/>
      <c r="CV62" s="464"/>
      <c r="CW62" s="464"/>
      <c r="CX62" s="464"/>
      <c r="CY62" s="464"/>
      <c r="CZ62" s="464"/>
      <c r="DA62" s="464"/>
      <c r="DB62" s="464"/>
      <c r="DC62" s="464"/>
      <c r="DD62" s="464"/>
      <c r="DE62" s="464"/>
      <c r="DF62" s="464"/>
      <c r="DG62" s="464"/>
      <c r="DH62" s="464"/>
      <c r="DI62" s="464"/>
      <c r="DJ62" s="464"/>
      <c r="DK62" s="464"/>
      <c r="DL62" s="464"/>
      <c r="DM62" s="464"/>
      <c r="DN62" s="464"/>
      <c r="DO62" s="464"/>
      <c r="DP62" s="464"/>
      <c r="DQ62" s="464"/>
      <c r="DR62" s="464"/>
      <c r="DS62" s="464"/>
      <c r="DT62" s="464"/>
      <c r="DU62" s="464"/>
      <c r="DV62" s="464"/>
      <c r="DW62" s="464"/>
      <c r="DX62" s="464"/>
      <c r="DY62" s="464"/>
      <c r="DZ62" s="464"/>
      <c r="EA62" s="464"/>
      <c r="EB62" s="464"/>
      <c r="EC62" s="464"/>
      <c r="ED62" s="464"/>
      <c r="EE62" s="464"/>
      <c r="EF62" s="464"/>
      <c r="EG62" s="464"/>
      <c r="EH62" s="464"/>
      <c r="EI62" s="464"/>
      <c r="EJ62" s="464"/>
      <c r="EK62" s="464"/>
      <c r="EL62" s="464"/>
      <c r="EM62" s="464"/>
      <c r="EN62" s="464"/>
      <c r="EO62" s="464"/>
      <c r="EP62" s="464"/>
      <c r="EQ62" s="464"/>
      <c r="ER62" s="464"/>
      <c r="ES62" s="464"/>
      <c r="ET62" s="464"/>
      <c r="EU62" s="464"/>
      <c r="EV62" s="464"/>
      <c r="EW62" s="464"/>
      <c r="EX62" s="464"/>
      <c r="EY62" s="464"/>
      <c r="EZ62" s="464"/>
      <c r="FA62" s="464"/>
      <c r="FB62" s="464"/>
      <c r="FC62" s="464"/>
      <c r="FD62" s="464"/>
      <c r="FE62" s="464"/>
      <c r="FF62" s="472">
        <f>MEDIAN(AD62,CR62)</f>
        <v>73204.929000000004</v>
      </c>
      <c r="FG62" s="472">
        <f>AVERAGE(AD62,CR62)</f>
        <v>73204.929000000004</v>
      </c>
      <c r="FH62" s="473">
        <f>STDEV(AD62,CR62)</f>
        <v>14610.139903713403</v>
      </c>
      <c r="FI62" s="476">
        <f t="shared" si="12"/>
        <v>0.19957863634719736</v>
      </c>
      <c r="FJ62" s="475">
        <f t="shared" si="13"/>
        <v>73205</v>
      </c>
      <c r="FK62" s="469">
        <f t="shared" si="18"/>
        <v>73205</v>
      </c>
      <c r="FL62" s="467" t="s">
        <v>632</v>
      </c>
      <c r="FM62" s="470"/>
    </row>
    <row r="63" spans="1:169" ht="32.5" customHeight="1" x14ac:dyDescent="0.35">
      <c r="A63" s="458">
        <v>59</v>
      </c>
      <c r="B63" s="485" t="s">
        <v>737</v>
      </c>
      <c r="C63" s="486" t="s">
        <v>738</v>
      </c>
      <c r="D63" s="487" t="s">
        <v>620</v>
      </c>
      <c r="E63" s="458">
        <v>1</v>
      </c>
      <c r="F63" s="482"/>
      <c r="G63" s="482"/>
      <c r="H63" s="482"/>
      <c r="I63" s="482"/>
      <c r="J63" s="482"/>
      <c r="K63" s="482"/>
      <c r="L63" s="489"/>
      <c r="M63" s="489"/>
      <c r="N63" s="489"/>
      <c r="O63" s="489"/>
      <c r="P63" s="489"/>
      <c r="Q63" s="489"/>
      <c r="R63" s="489"/>
      <c r="S63" s="489"/>
      <c r="T63" s="489"/>
      <c r="U63" s="489"/>
      <c r="V63" s="489"/>
      <c r="W63" s="464"/>
      <c r="X63" s="464"/>
      <c r="Y63" s="464"/>
      <c r="Z63" s="464"/>
      <c r="AA63" s="464"/>
      <c r="AB63" s="464"/>
      <c r="AC63" s="464"/>
      <c r="AD63" s="482">
        <v>9548.56</v>
      </c>
      <c r="AE63" s="464">
        <f t="shared" si="28"/>
        <v>9548.56</v>
      </c>
      <c r="AF63" s="464"/>
      <c r="AG63" s="464"/>
      <c r="AH63" s="464"/>
      <c r="AI63" s="464"/>
      <c r="AJ63" s="464"/>
      <c r="AK63" s="464"/>
      <c r="AL63" s="464"/>
      <c r="AM63" s="464"/>
      <c r="AN63" s="464"/>
      <c r="AO63" s="464"/>
      <c r="AP63" s="464"/>
      <c r="AQ63" s="464"/>
      <c r="AR63" s="464"/>
      <c r="AS63" s="464"/>
      <c r="AT63" s="464"/>
      <c r="AU63" s="464"/>
      <c r="AV63" s="464"/>
      <c r="AW63" s="464"/>
      <c r="AX63" s="464"/>
      <c r="AY63" s="464"/>
      <c r="AZ63" s="464">
        <v>5000</v>
      </c>
      <c r="BA63" s="464"/>
      <c r="BB63" s="464"/>
      <c r="BC63" s="464"/>
      <c r="BD63" s="464">
        <v>4000</v>
      </c>
      <c r="BE63" s="464"/>
      <c r="BF63" s="464"/>
      <c r="BG63" s="464"/>
      <c r="BH63" s="464"/>
      <c r="BI63" s="464"/>
      <c r="BJ63" s="464"/>
      <c r="BK63" s="464"/>
      <c r="BL63" s="464"/>
      <c r="BM63" s="464"/>
      <c r="BN63" s="464"/>
      <c r="BO63" s="464"/>
      <c r="BP63" s="464"/>
      <c r="BQ63" s="464"/>
      <c r="BR63" s="464"/>
      <c r="BS63" s="464"/>
      <c r="BT63" s="464"/>
      <c r="BU63" s="464"/>
      <c r="BV63" s="464"/>
      <c r="BW63" s="464"/>
      <c r="BX63" s="464"/>
      <c r="BY63" s="464"/>
      <c r="BZ63" s="464"/>
      <c r="CA63" s="464"/>
      <c r="CB63" s="464"/>
      <c r="CC63" s="464"/>
      <c r="CD63" s="464"/>
      <c r="CE63" s="464"/>
      <c r="CF63" s="464"/>
      <c r="CG63" s="464"/>
      <c r="CH63" s="464"/>
      <c r="CI63" s="464"/>
      <c r="CJ63" s="464"/>
      <c r="CK63" s="464"/>
      <c r="CL63" s="464"/>
      <c r="CM63" s="464"/>
      <c r="CN63" s="464"/>
      <c r="CO63" s="464"/>
      <c r="CP63" s="464"/>
      <c r="CQ63" s="464"/>
      <c r="CR63" s="464"/>
      <c r="CS63" s="464"/>
      <c r="CT63" s="464"/>
      <c r="CU63" s="464"/>
      <c r="CV63" s="464"/>
      <c r="CW63" s="464"/>
      <c r="CX63" s="464"/>
      <c r="CY63" s="464"/>
      <c r="CZ63" s="464"/>
      <c r="DA63" s="464"/>
      <c r="DB63" s="464"/>
      <c r="DC63" s="464"/>
      <c r="DD63" s="464"/>
      <c r="DE63" s="464"/>
      <c r="DF63" s="464"/>
      <c r="DG63" s="464"/>
      <c r="DH63" s="464"/>
      <c r="DI63" s="464"/>
      <c r="DJ63" s="464"/>
      <c r="DK63" s="464"/>
      <c r="DL63" s="464"/>
      <c r="DM63" s="464"/>
      <c r="DN63" s="464"/>
      <c r="DO63" s="464"/>
      <c r="DP63" s="464"/>
      <c r="DQ63" s="464"/>
      <c r="DR63" s="464"/>
      <c r="DS63" s="464"/>
      <c r="DT63" s="464"/>
      <c r="DU63" s="464"/>
      <c r="DV63" s="464"/>
      <c r="DW63" s="464"/>
      <c r="DX63" s="464"/>
      <c r="DY63" s="464"/>
      <c r="DZ63" s="464"/>
      <c r="EA63" s="464"/>
      <c r="EB63" s="464"/>
      <c r="EC63" s="464"/>
      <c r="ED63" s="464"/>
      <c r="EE63" s="464"/>
      <c r="EF63" s="464"/>
      <c r="EG63" s="464"/>
      <c r="EH63" s="464"/>
      <c r="EI63" s="464"/>
      <c r="EJ63" s="464"/>
      <c r="EK63" s="464"/>
      <c r="EL63" s="464"/>
      <c r="EM63" s="464"/>
      <c r="EN63" s="464"/>
      <c r="EO63" s="464"/>
      <c r="EP63" s="464"/>
      <c r="EQ63" s="464"/>
      <c r="ER63" s="464"/>
      <c r="ES63" s="464"/>
      <c r="ET63" s="464"/>
      <c r="EU63" s="464"/>
      <c r="EV63" s="464"/>
      <c r="EW63" s="464"/>
      <c r="EX63" s="464"/>
      <c r="EY63" s="464"/>
      <c r="EZ63" s="464"/>
      <c r="FA63" s="464"/>
      <c r="FB63" s="464"/>
      <c r="FC63" s="464"/>
      <c r="FD63" s="464"/>
      <c r="FE63" s="464"/>
      <c r="FF63" s="472">
        <f>MEDIAN(AZ63,BD63)</f>
        <v>4500</v>
      </c>
      <c r="FG63" s="472">
        <f>AVERAGE(AZ63,BD63)</f>
        <v>4500</v>
      </c>
      <c r="FH63" s="473">
        <f>STDEV(AZ63,BD63)</f>
        <v>707.10678118654755</v>
      </c>
      <c r="FI63" s="476">
        <f t="shared" si="12"/>
        <v>0.15713484026367724</v>
      </c>
      <c r="FJ63" s="475">
        <f t="shared" si="13"/>
        <v>4500</v>
      </c>
      <c r="FK63" s="469">
        <f t="shared" si="18"/>
        <v>4500</v>
      </c>
      <c r="FL63" s="467" t="s">
        <v>632</v>
      </c>
      <c r="FM63" s="470"/>
    </row>
    <row r="64" spans="1:169" ht="32.5" customHeight="1" x14ac:dyDescent="0.35">
      <c r="A64" s="458">
        <v>60</v>
      </c>
      <c r="B64" s="485" t="s">
        <v>739</v>
      </c>
      <c r="C64" s="486" t="s">
        <v>740</v>
      </c>
      <c r="D64" s="487" t="s">
        <v>620</v>
      </c>
      <c r="E64" s="458">
        <v>1</v>
      </c>
      <c r="F64" s="482"/>
      <c r="G64" s="482"/>
      <c r="H64" s="482"/>
      <c r="I64" s="482"/>
      <c r="J64" s="482"/>
      <c r="K64" s="482"/>
      <c r="L64" s="489"/>
      <c r="M64" s="489"/>
      <c r="N64" s="489"/>
      <c r="O64" s="489"/>
      <c r="P64" s="489"/>
      <c r="Q64" s="489"/>
      <c r="R64" s="489"/>
      <c r="S64" s="489"/>
      <c r="T64" s="489"/>
      <c r="U64" s="489"/>
      <c r="V64" s="489"/>
      <c r="W64" s="464"/>
      <c r="X64" s="464"/>
      <c r="Y64" s="464"/>
      <c r="Z64" s="464"/>
      <c r="AA64" s="464"/>
      <c r="AB64" s="464"/>
      <c r="AC64" s="464"/>
      <c r="AD64" s="482">
        <v>7021</v>
      </c>
      <c r="AE64" s="464">
        <f t="shared" si="28"/>
        <v>7021</v>
      </c>
      <c r="AF64" s="464"/>
      <c r="AG64" s="464"/>
      <c r="AH64" s="464"/>
      <c r="AI64" s="464"/>
      <c r="AJ64" s="464"/>
      <c r="AK64" s="464"/>
      <c r="AL64" s="464"/>
      <c r="AM64" s="464"/>
      <c r="AN64" s="464"/>
      <c r="AO64" s="464"/>
      <c r="AP64" s="464"/>
      <c r="AQ64" s="464"/>
      <c r="AR64" s="464"/>
      <c r="AS64" s="464"/>
      <c r="AT64" s="464"/>
      <c r="AU64" s="464"/>
      <c r="AV64" s="464"/>
      <c r="AW64" s="464"/>
      <c r="AX64" s="464"/>
      <c r="AY64" s="464"/>
      <c r="AZ64" s="464"/>
      <c r="BA64" s="464"/>
      <c r="BB64" s="464"/>
      <c r="BC64" s="464"/>
      <c r="BD64" s="464"/>
      <c r="BE64" s="464"/>
      <c r="BF64" s="464"/>
      <c r="BG64" s="464"/>
      <c r="BH64" s="464"/>
      <c r="BI64" s="464"/>
      <c r="BJ64" s="464"/>
      <c r="BK64" s="464"/>
      <c r="BL64" s="464"/>
      <c r="BM64" s="464"/>
      <c r="BN64" s="464"/>
      <c r="BO64" s="464"/>
      <c r="BP64" s="464"/>
      <c r="BQ64" s="464"/>
      <c r="BR64" s="464"/>
      <c r="BS64" s="464"/>
      <c r="BT64" s="464"/>
      <c r="BU64" s="464"/>
      <c r="BV64" s="464"/>
      <c r="BW64" s="464"/>
      <c r="BX64" s="464"/>
      <c r="BY64" s="464"/>
      <c r="BZ64" s="464"/>
      <c r="CA64" s="464"/>
      <c r="CB64" s="464"/>
      <c r="CC64" s="464"/>
      <c r="CD64" s="464"/>
      <c r="CE64" s="464"/>
      <c r="CF64" s="464"/>
      <c r="CG64" s="464"/>
      <c r="CH64" s="464"/>
      <c r="CI64" s="464"/>
      <c r="CJ64" s="464"/>
      <c r="CK64" s="464"/>
      <c r="CL64" s="464"/>
      <c r="CM64" s="464"/>
      <c r="CN64" s="464"/>
      <c r="CO64" s="464"/>
      <c r="CP64" s="464"/>
      <c r="CQ64" s="464"/>
      <c r="CR64" s="464">
        <v>6287</v>
      </c>
      <c r="CS64" s="464">
        <f t="shared" ref="CS64" si="34">+CR64*E64</f>
        <v>6287</v>
      </c>
      <c r="CT64" s="464"/>
      <c r="CU64" s="464"/>
      <c r="CV64" s="464"/>
      <c r="CW64" s="464"/>
      <c r="CX64" s="464"/>
      <c r="CY64" s="464"/>
      <c r="CZ64" s="464"/>
      <c r="DA64" s="464"/>
      <c r="DB64" s="464"/>
      <c r="DC64" s="464"/>
      <c r="DD64" s="464"/>
      <c r="DE64" s="464"/>
      <c r="DF64" s="464"/>
      <c r="DG64" s="464"/>
      <c r="DH64" s="464"/>
      <c r="DI64" s="464"/>
      <c r="DJ64" s="464"/>
      <c r="DK64" s="464"/>
      <c r="DL64" s="464"/>
      <c r="DM64" s="464"/>
      <c r="DN64" s="464"/>
      <c r="DO64" s="464"/>
      <c r="DP64" s="464"/>
      <c r="DQ64" s="464"/>
      <c r="DR64" s="464"/>
      <c r="DS64" s="464"/>
      <c r="DT64" s="464"/>
      <c r="DU64" s="464"/>
      <c r="DV64" s="464"/>
      <c r="DW64" s="464"/>
      <c r="DX64" s="464"/>
      <c r="DY64" s="464"/>
      <c r="DZ64" s="464"/>
      <c r="EA64" s="464"/>
      <c r="EB64" s="464"/>
      <c r="EC64" s="464"/>
      <c r="ED64" s="464"/>
      <c r="EE64" s="464"/>
      <c r="EF64" s="464"/>
      <c r="EG64" s="464"/>
      <c r="EH64" s="464"/>
      <c r="EI64" s="464"/>
      <c r="EJ64" s="464"/>
      <c r="EK64" s="464"/>
      <c r="EL64" s="464"/>
      <c r="EM64" s="464"/>
      <c r="EN64" s="464"/>
      <c r="EO64" s="464"/>
      <c r="EP64" s="464"/>
      <c r="EQ64" s="464"/>
      <c r="ER64" s="464"/>
      <c r="ES64" s="464"/>
      <c r="ET64" s="464"/>
      <c r="EU64" s="464"/>
      <c r="EV64" s="464"/>
      <c r="EW64" s="464"/>
      <c r="EX64" s="464"/>
      <c r="EY64" s="464"/>
      <c r="EZ64" s="464"/>
      <c r="FA64" s="464"/>
      <c r="FB64" s="464"/>
      <c r="FC64" s="464"/>
      <c r="FD64" s="464"/>
      <c r="FE64" s="464"/>
      <c r="FF64" s="472">
        <f>MEDIAN(AD64,CR64)</f>
        <v>6654</v>
      </c>
      <c r="FG64" s="472">
        <f>AVERAGE(AD64,CR64)</f>
        <v>6654</v>
      </c>
      <c r="FH64" s="473">
        <f>STDEV(AD64,CR64)</f>
        <v>519.01637739092587</v>
      </c>
      <c r="FI64" s="476">
        <f t="shared" si="12"/>
        <v>7.800065785857016E-2</v>
      </c>
      <c r="FJ64" s="475">
        <f t="shared" si="13"/>
        <v>6654</v>
      </c>
      <c r="FK64" s="469">
        <f t="shared" si="18"/>
        <v>6654</v>
      </c>
      <c r="FL64" s="467" t="s">
        <v>621</v>
      </c>
      <c r="FM64" s="470"/>
    </row>
    <row r="65" spans="1:169" ht="32.5" customHeight="1" x14ac:dyDescent="0.35">
      <c r="A65" s="458">
        <v>61</v>
      </c>
      <c r="B65" s="485" t="s">
        <v>741</v>
      </c>
      <c r="C65" s="486" t="s">
        <v>742</v>
      </c>
      <c r="D65" s="487" t="s">
        <v>620</v>
      </c>
      <c r="E65" s="458">
        <v>1</v>
      </c>
      <c r="F65" s="482"/>
      <c r="G65" s="482"/>
      <c r="H65" s="482"/>
      <c r="I65" s="482"/>
      <c r="J65" s="482"/>
      <c r="K65" s="482"/>
      <c r="L65" s="489"/>
      <c r="M65" s="489"/>
      <c r="N65" s="489"/>
      <c r="O65" s="489"/>
      <c r="P65" s="489"/>
      <c r="Q65" s="489"/>
      <c r="R65" s="489"/>
      <c r="S65" s="489"/>
      <c r="T65" s="489"/>
      <c r="U65" s="489"/>
      <c r="V65" s="489"/>
      <c r="W65" s="464"/>
      <c r="X65" s="464"/>
      <c r="Y65" s="464"/>
      <c r="Z65" s="464"/>
      <c r="AA65" s="464"/>
      <c r="AB65" s="464"/>
      <c r="AC65" s="464"/>
      <c r="AD65" s="482">
        <v>28666.742999999995</v>
      </c>
      <c r="AE65" s="464">
        <f t="shared" si="28"/>
        <v>28666.742999999995</v>
      </c>
      <c r="AF65" s="464"/>
      <c r="AG65" s="464"/>
      <c r="AH65" s="464"/>
      <c r="AI65" s="464"/>
      <c r="AJ65" s="464"/>
      <c r="AK65" s="464"/>
      <c r="AL65" s="464"/>
      <c r="AM65" s="464"/>
      <c r="AN65" s="464"/>
      <c r="AO65" s="464"/>
      <c r="AP65" s="464"/>
      <c r="AQ65" s="464"/>
      <c r="AR65" s="464"/>
      <c r="AS65" s="464"/>
      <c r="AT65" s="464"/>
      <c r="AU65" s="464"/>
      <c r="AV65" s="464"/>
      <c r="AW65" s="464"/>
      <c r="AX65" s="464"/>
      <c r="AY65" s="464"/>
      <c r="AZ65" s="464"/>
      <c r="BA65" s="464"/>
      <c r="BB65" s="464"/>
      <c r="BC65" s="464"/>
      <c r="BD65" s="464"/>
      <c r="BE65" s="464"/>
      <c r="BF65" s="464"/>
      <c r="BG65" s="464"/>
      <c r="BH65" s="464">
        <v>25000</v>
      </c>
      <c r="BI65" s="464"/>
      <c r="BJ65" s="464"/>
      <c r="BK65" s="464"/>
      <c r="BL65" s="464"/>
      <c r="BM65" s="464"/>
      <c r="BN65" s="464"/>
      <c r="BO65" s="464"/>
      <c r="BP65" s="464">
        <v>45000</v>
      </c>
      <c r="BQ65" s="464"/>
      <c r="BR65" s="464"/>
      <c r="BS65" s="464"/>
      <c r="BT65" s="464"/>
      <c r="BU65" s="464"/>
      <c r="BV65" s="464"/>
      <c r="BW65" s="464"/>
      <c r="BX65" s="464"/>
      <c r="BY65" s="464"/>
      <c r="BZ65" s="464"/>
      <c r="CA65" s="464"/>
      <c r="CB65" s="464"/>
      <c r="CC65" s="464"/>
      <c r="CD65" s="464"/>
      <c r="CE65" s="464"/>
      <c r="CF65" s="464"/>
      <c r="CG65" s="464"/>
      <c r="CH65" s="464"/>
      <c r="CI65" s="464"/>
      <c r="CJ65" s="464"/>
      <c r="CK65" s="464"/>
      <c r="CL65" s="464"/>
      <c r="CM65" s="464"/>
      <c r="CN65" s="464"/>
      <c r="CO65" s="464"/>
      <c r="CP65" s="464"/>
      <c r="CQ65" s="464"/>
      <c r="CR65" s="464"/>
      <c r="CS65" s="464"/>
      <c r="CT65" s="464"/>
      <c r="CU65" s="464"/>
      <c r="CV65" s="464"/>
      <c r="CW65" s="464"/>
      <c r="CX65" s="464"/>
      <c r="CY65" s="464"/>
      <c r="CZ65" s="464"/>
      <c r="DA65" s="464"/>
      <c r="DB65" s="464"/>
      <c r="DC65" s="464"/>
      <c r="DD65" s="464"/>
      <c r="DE65" s="464"/>
      <c r="DF65" s="464"/>
      <c r="DG65" s="464"/>
      <c r="DH65" s="464"/>
      <c r="DI65" s="464"/>
      <c r="DJ65" s="464"/>
      <c r="DK65" s="464"/>
      <c r="DL65" s="464"/>
      <c r="DM65" s="464"/>
      <c r="DN65" s="464"/>
      <c r="DO65" s="464"/>
      <c r="DP65" s="464"/>
      <c r="DQ65" s="464"/>
      <c r="DR65" s="464"/>
      <c r="DS65" s="464"/>
      <c r="DT65" s="464"/>
      <c r="DU65" s="464"/>
      <c r="DV65" s="464"/>
      <c r="DW65" s="464"/>
      <c r="DX65" s="464"/>
      <c r="DY65" s="464"/>
      <c r="DZ65" s="464"/>
      <c r="EA65" s="464"/>
      <c r="EB65" s="464"/>
      <c r="EC65" s="464"/>
      <c r="ED65" s="464"/>
      <c r="EE65" s="464"/>
      <c r="EF65" s="464"/>
      <c r="EG65" s="464"/>
      <c r="EH65" s="464"/>
      <c r="EI65" s="464"/>
      <c r="EJ65" s="464"/>
      <c r="EK65" s="464"/>
      <c r="EL65" s="464"/>
      <c r="EM65" s="464"/>
      <c r="EN65" s="464"/>
      <c r="EO65" s="464"/>
      <c r="EP65" s="464"/>
      <c r="EQ65" s="464"/>
      <c r="ER65" s="464"/>
      <c r="ES65" s="464"/>
      <c r="ET65" s="464"/>
      <c r="EU65" s="464"/>
      <c r="EV65" s="464"/>
      <c r="EW65" s="464"/>
      <c r="EX65" s="464"/>
      <c r="EY65" s="464"/>
      <c r="EZ65" s="464"/>
      <c r="FA65" s="464"/>
      <c r="FB65" s="464"/>
      <c r="FC65" s="464"/>
      <c r="FD65" s="464"/>
      <c r="FE65" s="464"/>
      <c r="FF65" s="472">
        <f>MEDIAN(AD65,BH65)</f>
        <v>26833.371499999997</v>
      </c>
      <c r="FG65" s="472">
        <f>AVERAGE(AD65,BH65)</f>
        <v>26833.371499999997</v>
      </c>
      <c r="FH65" s="473">
        <f>STDEV(AD65,BH65)</f>
        <v>2592.7788401683015</v>
      </c>
      <c r="FI65" s="476">
        <f t="shared" si="12"/>
        <v>9.6625160955577341E-2</v>
      </c>
      <c r="FJ65" s="475">
        <f t="shared" si="13"/>
        <v>26834</v>
      </c>
      <c r="FK65" s="469">
        <f t="shared" si="18"/>
        <v>26834</v>
      </c>
      <c r="FL65" s="467" t="s">
        <v>621</v>
      </c>
      <c r="FM65" s="470"/>
    </row>
    <row r="66" spans="1:169" ht="32.5" customHeight="1" x14ac:dyDescent="0.35">
      <c r="A66" s="458">
        <v>62</v>
      </c>
      <c r="B66" s="485" t="s">
        <v>743</v>
      </c>
      <c r="C66" s="486" t="s">
        <v>744</v>
      </c>
      <c r="D66" s="487" t="s">
        <v>620</v>
      </c>
      <c r="E66" s="458">
        <v>1</v>
      </c>
      <c r="F66" s="482"/>
      <c r="G66" s="482"/>
      <c r="H66" s="482"/>
      <c r="I66" s="482"/>
      <c r="J66" s="482"/>
      <c r="K66" s="482"/>
      <c r="L66" s="489"/>
      <c r="M66" s="489"/>
      <c r="N66" s="489"/>
      <c r="O66" s="489"/>
      <c r="P66" s="489"/>
      <c r="Q66" s="489"/>
      <c r="R66" s="489"/>
      <c r="S66" s="489"/>
      <c r="T66" s="489"/>
      <c r="U66" s="489"/>
      <c r="V66" s="489"/>
      <c r="W66" s="464"/>
      <c r="X66" s="464"/>
      <c r="Y66" s="464"/>
      <c r="Z66" s="464"/>
      <c r="AA66" s="464"/>
      <c r="AB66" s="464"/>
      <c r="AC66" s="464"/>
      <c r="AD66" s="482">
        <v>40440.959999999999</v>
      </c>
      <c r="AE66" s="464">
        <f t="shared" si="28"/>
        <v>40440.959999999999</v>
      </c>
      <c r="AF66" s="464"/>
      <c r="AG66" s="464"/>
      <c r="AH66" s="464"/>
      <c r="AI66" s="464"/>
      <c r="AJ66" s="464"/>
      <c r="AK66" s="464"/>
      <c r="AL66" s="464"/>
      <c r="AM66" s="464"/>
      <c r="AN66" s="464"/>
      <c r="AO66" s="464"/>
      <c r="AP66" s="464"/>
      <c r="AQ66" s="464"/>
      <c r="AR66" s="464"/>
      <c r="AS66" s="464"/>
      <c r="AT66" s="464"/>
      <c r="AU66" s="464"/>
      <c r="AV66" s="464"/>
      <c r="AW66" s="464"/>
      <c r="AX66" s="464"/>
      <c r="AY66" s="464"/>
      <c r="AZ66" s="464"/>
      <c r="BA66" s="464"/>
      <c r="BB66" s="464"/>
      <c r="BC66" s="464"/>
      <c r="BD66" s="464"/>
      <c r="BE66" s="464"/>
      <c r="BF66" s="464"/>
      <c r="BG66" s="464"/>
      <c r="BH66" s="464"/>
      <c r="BI66" s="464"/>
      <c r="BJ66" s="464"/>
      <c r="BK66" s="464"/>
      <c r="BL66" s="464"/>
      <c r="BM66" s="464"/>
      <c r="BN66" s="464"/>
      <c r="BO66" s="464"/>
      <c r="BP66" s="464"/>
      <c r="BQ66" s="464"/>
      <c r="BR66" s="464"/>
      <c r="BS66" s="464"/>
      <c r="BT66" s="464"/>
      <c r="BU66" s="464"/>
      <c r="BV66" s="464"/>
      <c r="BW66" s="464"/>
      <c r="BX66" s="464"/>
      <c r="BY66" s="464"/>
      <c r="BZ66" s="464"/>
      <c r="CA66" s="464"/>
      <c r="CB66" s="464"/>
      <c r="CC66" s="464"/>
      <c r="CD66" s="464"/>
      <c r="CE66" s="464"/>
      <c r="CF66" s="464"/>
      <c r="CG66" s="464"/>
      <c r="CH66" s="464"/>
      <c r="CI66" s="464"/>
      <c r="CJ66" s="464"/>
      <c r="CK66" s="464"/>
      <c r="CL66" s="464"/>
      <c r="CM66" s="464"/>
      <c r="CN66" s="464"/>
      <c r="CO66" s="464"/>
      <c r="CP66" s="464"/>
      <c r="CQ66" s="464"/>
      <c r="CR66" s="464">
        <v>55000</v>
      </c>
      <c r="CS66" s="464">
        <f t="shared" ref="CS66" si="35">+CR66*E66</f>
        <v>55000</v>
      </c>
      <c r="CT66" s="464"/>
      <c r="CU66" s="464"/>
      <c r="CV66" s="464"/>
      <c r="CW66" s="464"/>
      <c r="CX66" s="464"/>
      <c r="CY66" s="464"/>
      <c r="CZ66" s="464"/>
      <c r="DA66" s="464"/>
      <c r="DB66" s="464"/>
      <c r="DC66" s="464"/>
      <c r="DD66" s="464"/>
      <c r="DE66" s="464"/>
      <c r="DF66" s="464"/>
      <c r="DG66" s="464"/>
      <c r="DH66" s="464"/>
      <c r="DI66" s="464"/>
      <c r="DJ66" s="464"/>
      <c r="DK66" s="464"/>
      <c r="DL66" s="464"/>
      <c r="DM66" s="464"/>
      <c r="DN66" s="464"/>
      <c r="DO66" s="464"/>
      <c r="DP66" s="464"/>
      <c r="DQ66" s="464"/>
      <c r="DR66" s="464"/>
      <c r="DS66" s="464"/>
      <c r="DT66" s="464"/>
      <c r="DU66" s="464"/>
      <c r="DV66" s="464"/>
      <c r="DW66" s="464"/>
      <c r="DX66" s="464"/>
      <c r="DY66" s="464"/>
      <c r="DZ66" s="464"/>
      <c r="EA66" s="464"/>
      <c r="EB66" s="464"/>
      <c r="EC66" s="464"/>
      <c r="ED66" s="464"/>
      <c r="EE66" s="464"/>
      <c r="EF66" s="464"/>
      <c r="EG66" s="464"/>
      <c r="EH66" s="464"/>
      <c r="EI66" s="464"/>
      <c r="EJ66" s="464"/>
      <c r="EK66" s="464"/>
      <c r="EL66" s="464"/>
      <c r="EM66" s="464"/>
      <c r="EN66" s="464"/>
      <c r="EO66" s="464"/>
      <c r="EP66" s="464"/>
      <c r="EQ66" s="464"/>
      <c r="ER66" s="464"/>
      <c r="ES66" s="464"/>
      <c r="ET66" s="464"/>
      <c r="EU66" s="464"/>
      <c r="EV66" s="464"/>
      <c r="EW66" s="464"/>
      <c r="EX66" s="464"/>
      <c r="EY66" s="464"/>
      <c r="EZ66" s="464"/>
      <c r="FA66" s="464"/>
      <c r="FB66" s="464"/>
      <c r="FC66" s="464"/>
      <c r="FD66" s="464"/>
      <c r="FE66" s="464"/>
      <c r="FF66" s="472">
        <f>MEDIAN(AD66,CR66)</f>
        <v>47720.479999999996</v>
      </c>
      <c r="FG66" s="472">
        <f>AVERAGE(AD66,CR66)</f>
        <v>47720.479999999996</v>
      </c>
      <c r="FH66" s="473">
        <f>STDEV(AD66,CR66)</f>
        <v>10294.795911566229</v>
      </c>
      <c r="FI66" s="476">
        <f t="shared" si="12"/>
        <v>0.21573118945086533</v>
      </c>
      <c r="FJ66" s="475">
        <f t="shared" si="13"/>
        <v>47721</v>
      </c>
      <c r="FK66" s="469">
        <f t="shared" si="18"/>
        <v>47721</v>
      </c>
      <c r="FL66" s="467" t="s">
        <v>632</v>
      </c>
      <c r="FM66" s="470"/>
    </row>
    <row r="67" spans="1:169" ht="32.5" customHeight="1" x14ac:dyDescent="0.35">
      <c r="A67" s="458">
        <v>63</v>
      </c>
      <c r="B67" s="485" t="s">
        <v>745</v>
      </c>
      <c r="C67" s="486" t="s">
        <v>746</v>
      </c>
      <c r="D67" s="487" t="s">
        <v>620</v>
      </c>
      <c r="E67" s="458">
        <v>1</v>
      </c>
      <c r="F67" s="482"/>
      <c r="G67" s="482"/>
      <c r="H67" s="482"/>
      <c r="I67" s="482"/>
      <c r="J67" s="482"/>
      <c r="K67" s="482"/>
      <c r="L67" s="489"/>
      <c r="M67" s="489"/>
      <c r="N67" s="489"/>
      <c r="O67" s="489"/>
      <c r="P67" s="489"/>
      <c r="Q67" s="489"/>
      <c r="R67" s="489"/>
      <c r="S67" s="489"/>
      <c r="T67" s="489"/>
      <c r="U67" s="489"/>
      <c r="V67" s="489"/>
      <c r="W67" s="464"/>
      <c r="X67" s="464"/>
      <c r="Y67" s="464"/>
      <c r="Z67" s="464"/>
      <c r="AA67" s="464"/>
      <c r="AB67" s="464"/>
      <c r="AC67" s="464"/>
      <c r="AD67" s="482">
        <v>226918.72</v>
      </c>
      <c r="AE67" s="464">
        <f t="shared" si="28"/>
        <v>226918.72</v>
      </c>
      <c r="AF67" s="464"/>
      <c r="AG67" s="464"/>
      <c r="AH67" s="464"/>
      <c r="AI67" s="464"/>
      <c r="AJ67" s="464"/>
      <c r="AK67" s="464"/>
      <c r="AL67" s="464"/>
      <c r="AM67" s="464"/>
      <c r="AN67" s="464">
        <v>213000</v>
      </c>
      <c r="AO67" s="464"/>
      <c r="AP67" s="464"/>
      <c r="AQ67" s="464"/>
      <c r="AR67" s="464"/>
      <c r="AS67" s="464"/>
      <c r="AT67" s="464"/>
      <c r="AU67" s="464"/>
      <c r="AV67" s="464"/>
      <c r="AW67" s="464"/>
      <c r="AX67" s="464"/>
      <c r="AY67" s="464"/>
      <c r="AZ67" s="464"/>
      <c r="BA67" s="464"/>
      <c r="BB67" s="464"/>
      <c r="BC67" s="464"/>
      <c r="BD67" s="464"/>
      <c r="BE67" s="464"/>
      <c r="BF67" s="464"/>
      <c r="BG67" s="464"/>
      <c r="BH67" s="464"/>
      <c r="BI67" s="464"/>
      <c r="BJ67" s="464"/>
      <c r="BK67" s="464"/>
      <c r="BL67" s="464"/>
      <c r="BM67" s="464"/>
      <c r="BN67" s="464"/>
      <c r="BO67" s="464"/>
      <c r="BP67" s="464"/>
      <c r="BQ67" s="464"/>
      <c r="BR67" s="464"/>
      <c r="BS67" s="464"/>
      <c r="BT67" s="464"/>
      <c r="BU67" s="464"/>
      <c r="BV67" s="464"/>
      <c r="BW67" s="464"/>
      <c r="BX67" s="464"/>
      <c r="BY67" s="464"/>
      <c r="BZ67" s="464"/>
      <c r="CA67" s="464"/>
      <c r="CB67" s="464"/>
      <c r="CC67" s="464"/>
      <c r="CD67" s="464"/>
      <c r="CE67" s="464"/>
      <c r="CF67" s="464"/>
      <c r="CG67" s="464"/>
      <c r="CH67" s="464"/>
      <c r="CI67" s="464"/>
      <c r="CJ67" s="464"/>
      <c r="CK67" s="464"/>
      <c r="CL67" s="464"/>
      <c r="CM67" s="464"/>
      <c r="CN67" s="464"/>
      <c r="CO67" s="464"/>
      <c r="CP67" s="464"/>
      <c r="CQ67" s="464"/>
      <c r="CR67" s="464"/>
      <c r="CS67" s="464"/>
      <c r="CT67" s="464"/>
      <c r="CU67" s="464"/>
      <c r="CV67" s="464"/>
      <c r="CW67" s="464"/>
      <c r="CX67" s="464"/>
      <c r="CY67" s="464"/>
      <c r="CZ67" s="464"/>
      <c r="DA67" s="464"/>
      <c r="DB67" s="464"/>
      <c r="DC67" s="464"/>
      <c r="DD67" s="464"/>
      <c r="DE67" s="464"/>
      <c r="DF67" s="464"/>
      <c r="DG67" s="464"/>
      <c r="DH67" s="464"/>
      <c r="DI67" s="464"/>
      <c r="DJ67" s="464"/>
      <c r="DK67" s="464"/>
      <c r="DL67" s="464"/>
      <c r="DM67" s="464"/>
      <c r="DN67" s="464"/>
      <c r="DO67" s="464"/>
      <c r="DP67" s="464"/>
      <c r="DQ67" s="464"/>
      <c r="DR67" s="464"/>
      <c r="DS67" s="464"/>
      <c r="DT67" s="464"/>
      <c r="DU67" s="464"/>
      <c r="DV67" s="464"/>
      <c r="DW67" s="464"/>
      <c r="DX67" s="464"/>
      <c r="DY67" s="464"/>
      <c r="DZ67" s="464"/>
      <c r="EA67" s="464"/>
      <c r="EB67" s="464"/>
      <c r="EC67" s="464"/>
      <c r="ED67" s="464"/>
      <c r="EE67" s="464"/>
      <c r="EF67" s="464"/>
      <c r="EG67" s="464"/>
      <c r="EH67" s="464"/>
      <c r="EI67" s="464"/>
      <c r="EJ67" s="464">
        <v>150000</v>
      </c>
      <c r="EK67" s="464">
        <f>+EJ67*E67</f>
        <v>150000</v>
      </c>
      <c r="EL67" s="464"/>
      <c r="EM67" s="464"/>
      <c r="EN67" s="464"/>
      <c r="EO67" s="464"/>
      <c r="EP67" s="464"/>
      <c r="EQ67" s="464"/>
      <c r="ER67" s="464"/>
      <c r="ES67" s="464"/>
      <c r="ET67" s="464"/>
      <c r="EU67" s="464"/>
      <c r="EV67" s="464"/>
      <c r="EW67" s="464"/>
      <c r="EX67" s="464"/>
      <c r="EY67" s="464"/>
      <c r="EZ67" s="464"/>
      <c r="FA67" s="464"/>
      <c r="FB67" s="464"/>
      <c r="FC67" s="464"/>
      <c r="FD67" s="464"/>
      <c r="FE67" s="464"/>
      <c r="FF67" s="472">
        <f>MEDIAN(AD67,AN67)</f>
        <v>219959.36</v>
      </c>
      <c r="FG67" s="472">
        <f>AVERAGE(AD67,AN67)</f>
        <v>219959.36</v>
      </c>
      <c r="FH67" s="473">
        <f>STDEV(AD67,AN67)</f>
        <v>9842.0212974368242</v>
      </c>
      <c r="FI67" s="476">
        <f t="shared" si="12"/>
        <v>4.4744726014100171E-2</v>
      </c>
      <c r="FJ67" s="475">
        <f t="shared" si="13"/>
        <v>219960</v>
      </c>
      <c r="FK67" s="469">
        <f t="shared" si="18"/>
        <v>219960</v>
      </c>
      <c r="FL67" s="467" t="s">
        <v>621</v>
      </c>
      <c r="FM67" s="470"/>
    </row>
    <row r="68" spans="1:169" ht="32.5" customHeight="1" x14ac:dyDescent="0.35">
      <c r="A68" s="458">
        <v>64</v>
      </c>
      <c r="B68" s="485" t="s">
        <v>747</v>
      </c>
      <c r="C68" s="486" t="s">
        <v>748</v>
      </c>
      <c r="D68" s="487" t="s">
        <v>620</v>
      </c>
      <c r="E68" s="458">
        <v>1</v>
      </c>
      <c r="F68" s="482"/>
      <c r="G68" s="482"/>
      <c r="H68" s="482"/>
      <c r="I68" s="482"/>
      <c r="J68" s="482"/>
      <c r="K68" s="482"/>
      <c r="L68" s="489"/>
      <c r="M68" s="489"/>
      <c r="N68" s="489"/>
      <c r="O68" s="489"/>
      <c r="P68" s="489"/>
      <c r="Q68" s="489"/>
      <c r="R68" s="489"/>
      <c r="S68" s="489"/>
      <c r="T68" s="489"/>
      <c r="U68" s="489"/>
      <c r="V68" s="489"/>
      <c r="W68" s="464"/>
      <c r="X68" s="464"/>
      <c r="Y68" s="464"/>
      <c r="Z68" s="464"/>
      <c r="AA68" s="464"/>
      <c r="AB68" s="464"/>
      <c r="AC68" s="464"/>
      <c r="AD68" s="482">
        <v>30892.399999999998</v>
      </c>
      <c r="AE68" s="464">
        <f t="shared" si="28"/>
        <v>30892.399999999998</v>
      </c>
      <c r="AF68" s="464"/>
      <c r="AG68" s="464"/>
      <c r="AH68" s="464"/>
      <c r="AI68" s="464"/>
      <c r="AJ68" s="464"/>
      <c r="AK68" s="464"/>
      <c r="AL68" s="464"/>
      <c r="AM68" s="464"/>
      <c r="AN68" s="464"/>
      <c r="AO68" s="464"/>
      <c r="AP68" s="464"/>
      <c r="AQ68" s="464"/>
      <c r="AR68" s="464"/>
      <c r="AS68" s="464"/>
      <c r="AT68" s="464"/>
      <c r="AU68" s="464"/>
      <c r="AV68" s="464"/>
      <c r="AW68" s="464"/>
      <c r="AX68" s="464">
        <v>1800</v>
      </c>
      <c r="AY68" s="464"/>
      <c r="AZ68" s="464"/>
      <c r="BA68" s="464"/>
      <c r="BB68" s="464"/>
      <c r="BC68" s="464"/>
      <c r="BD68" s="464"/>
      <c r="BE68" s="464"/>
      <c r="BF68" s="464"/>
      <c r="BG68" s="464"/>
      <c r="BH68" s="464"/>
      <c r="BI68" s="464"/>
      <c r="BJ68" s="464"/>
      <c r="BK68" s="464"/>
      <c r="BL68" s="464"/>
      <c r="BM68" s="464"/>
      <c r="BN68" s="464">
        <v>3000</v>
      </c>
      <c r="BO68" s="464"/>
      <c r="BP68" s="464"/>
      <c r="BQ68" s="464"/>
      <c r="BR68" s="464"/>
      <c r="BS68" s="464"/>
      <c r="BT68" s="464"/>
      <c r="BU68" s="464"/>
      <c r="BV68" s="464"/>
      <c r="BW68" s="464"/>
      <c r="BX68" s="464"/>
      <c r="BY68" s="464"/>
      <c r="BZ68" s="464"/>
      <c r="CA68" s="464"/>
      <c r="CB68" s="464"/>
      <c r="CC68" s="464"/>
      <c r="CD68" s="464"/>
      <c r="CE68" s="464"/>
      <c r="CF68" s="464"/>
      <c r="CG68" s="464"/>
      <c r="CH68" s="464"/>
      <c r="CI68" s="464"/>
      <c r="CJ68" s="464"/>
      <c r="CK68" s="464"/>
      <c r="CL68" s="464"/>
      <c r="CM68" s="464"/>
      <c r="CN68" s="464"/>
      <c r="CO68" s="464"/>
      <c r="CP68" s="464"/>
      <c r="CQ68" s="464"/>
      <c r="CR68" s="464">
        <v>4500</v>
      </c>
      <c r="CS68" s="464">
        <f t="shared" ref="CS68" si="36">+CR68*E68</f>
        <v>4500</v>
      </c>
      <c r="CT68" s="464"/>
      <c r="CU68" s="464"/>
      <c r="CV68" s="464"/>
      <c r="CW68" s="464"/>
      <c r="CX68" s="464"/>
      <c r="CY68" s="464"/>
      <c r="CZ68" s="464"/>
      <c r="DA68" s="464"/>
      <c r="DB68" s="464"/>
      <c r="DC68" s="464"/>
      <c r="DD68" s="464"/>
      <c r="DE68" s="464"/>
      <c r="DF68" s="464"/>
      <c r="DG68" s="464"/>
      <c r="DH68" s="464"/>
      <c r="DI68" s="464"/>
      <c r="DJ68" s="464"/>
      <c r="DK68" s="464"/>
      <c r="DL68" s="464"/>
      <c r="DM68" s="464"/>
      <c r="DN68" s="464"/>
      <c r="DO68" s="464"/>
      <c r="DP68" s="464"/>
      <c r="DQ68" s="464"/>
      <c r="DR68" s="464"/>
      <c r="DS68" s="464"/>
      <c r="DT68" s="464"/>
      <c r="DU68" s="464"/>
      <c r="DV68" s="464"/>
      <c r="DW68" s="464"/>
      <c r="DX68" s="464"/>
      <c r="DY68" s="464"/>
      <c r="DZ68" s="464"/>
      <c r="EA68" s="464"/>
      <c r="EB68" s="464"/>
      <c r="EC68" s="464"/>
      <c r="ED68" s="464"/>
      <c r="EE68" s="464"/>
      <c r="EF68" s="464"/>
      <c r="EG68" s="464"/>
      <c r="EH68" s="464"/>
      <c r="EI68" s="464"/>
      <c r="EJ68" s="464"/>
      <c r="EK68" s="464"/>
      <c r="EL68" s="464"/>
      <c r="EM68" s="464"/>
      <c r="EN68" s="464"/>
      <c r="EO68" s="464"/>
      <c r="EP68" s="464"/>
      <c r="EQ68" s="464"/>
      <c r="ER68" s="464"/>
      <c r="ES68" s="464"/>
      <c r="ET68" s="464"/>
      <c r="EU68" s="464"/>
      <c r="EV68" s="464"/>
      <c r="EW68" s="464"/>
      <c r="EX68" s="464"/>
      <c r="EY68" s="464"/>
      <c r="EZ68" s="464"/>
      <c r="FA68" s="464"/>
      <c r="FB68" s="464"/>
      <c r="FC68" s="464"/>
      <c r="FD68" s="464"/>
      <c r="FE68" s="464"/>
      <c r="FF68" s="472">
        <f>MEDIAN(BN68,CR68)</f>
        <v>3750</v>
      </c>
      <c r="FG68" s="472">
        <f>AVERAGE(BN68,CR68)</f>
        <v>3750</v>
      </c>
      <c r="FH68" s="473">
        <f>STDEV(BN68,CR68)</f>
        <v>1060.6601717798212</v>
      </c>
      <c r="FI68" s="476">
        <f t="shared" si="12"/>
        <v>0.28284271247461901</v>
      </c>
      <c r="FJ68" s="475">
        <f t="shared" si="13"/>
        <v>3750</v>
      </c>
      <c r="FK68" s="469">
        <f t="shared" si="18"/>
        <v>3750</v>
      </c>
      <c r="FL68" s="467" t="s">
        <v>632</v>
      </c>
      <c r="FM68" s="470"/>
    </row>
    <row r="69" spans="1:169" ht="32.5" customHeight="1" x14ac:dyDescent="0.35">
      <c r="A69" s="458">
        <v>65</v>
      </c>
      <c r="B69" s="485" t="s">
        <v>749</v>
      </c>
      <c r="C69" s="486" t="s">
        <v>750</v>
      </c>
      <c r="D69" s="487" t="s">
        <v>620</v>
      </c>
      <c r="E69" s="458">
        <v>1</v>
      </c>
      <c r="F69" s="482"/>
      <c r="G69" s="482"/>
      <c r="H69" s="482"/>
      <c r="I69" s="482"/>
      <c r="J69" s="482"/>
      <c r="K69" s="482"/>
      <c r="L69" s="489"/>
      <c r="M69" s="489"/>
      <c r="N69" s="489"/>
      <c r="O69" s="489"/>
      <c r="P69" s="489"/>
      <c r="Q69" s="489"/>
      <c r="R69" s="489"/>
      <c r="S69" s="489"/>
      <c r="T69" s="489"/>
      <c r="U69" s="489"/>
      <c r="V69" s="489"/>
      <c r="W69" s="464"/>
      <c r="X69" s="464"/>
      <c r="Y69" s="464"/>
      <c r="Z69" s="464"/>
      <c r="AA69" s="464"/>
      <c r="AB69" s="464"/>
      <c r="AC69" s="464"/>
      <c r="AD69" s="482">
        <v>23730.98</v>
      </c>
      <c r="AE69" s="464">
        <f t="shared" si="28"/>
        <v>23730.98</v>
      </c>
      <c r="AF69" s="464"/>
      <c r="AG69" s="464"/>
      <c r="AH69" s="464"/>
      <c r="AI69" s="464"/>
      <c r="AJ69" s="464"/>
      <c r="AK69" s="464"/>
      <c r="AL69" s="464"/>
      <c r="AM69" s="464"/>
      <c r="AN69" s="464"/>
      <c r="AO69" s="464"/>
      <c r="AP69" s="464"/>
      <c r="AQ69" s="464"/>
      <c r="AR69" s="464"/>
      <c r="AS69" s="464"/>
      <c r="AT69" s="464"/>
      <c r="AU69" s="464"/>
      <c r="AV69" s="464"/>
      <c r="AW69" s="464"/>
      <c r="AX69" s="464"/>
      <c r="AY69" s="464"/>
      <c r="AZ69" s="464"/>
      <c r="BA69" s="464"/>
      <c r="BB69" s="464"/>
      <c r="BC69" s="464"/>
      <c r="BD69" s="464"/>
      <c r="BE69" s="464"/>
      <c r="BF69" s="464"/>
      <c r="BG69" s="464"/>
      <c r="BH69" s="464"/>
      <c r="BI69" s="464"/>
      <c r="BJ69" s="464"/>
      <c r="BK69" s="464"/>
      <c r="BL69" s="464"/>
      <c r="BM69" s="464"/>
      <c r="BN69" s="464"/>
      <c r="BO69" s="464"/>
      <c r="BP69" s="464"/>
      <c r="BQ69" s="464"/>
      <c r="BR69" s="464"/>
      <c r="BS69" s="464"/>
      <c r="BT69" s="464"/>
      <c r="BU69" s="464"/>
      <c r="BV69" s="464"/>
      <c r="BW69" s="464"/>
      <c r="BX69" s="464"/>
      <c r="BY69" s="464"/>
      <c r="BZ69" s="464"/>
      <c r="CA69" s="464"/>
      <c r="CB69" s="464"/>
      <c r="CC69" s="464"/>
      <c r="CD69" s="464"/>
      <c r="CE69" s="464"/>
      <c r="CF69" s="464"/>
      <c r="CG69" s="464"/>
      <c r="CH69" s="464"/>
      <c r="CI69" s="464"/>
      <c r="CJ69" s="464"/>
      <c r="CK69" s="464"/>
      <c r="CL69" s="464"/>
      <c r="CM69" s="464"/>
      <c r="CN69" s="464"/>
      <c r="CO69" s="464"/>
      <c r="CP69" s="464"/>
      <c r="CQ69" s="464"/>
      <c r="CR69" s="464"/>
      <c r="CS69" s="464"/>
      <c r="CT69" s="464"/>
      <c r="CU69" s="464"/>
      <c r="CV69" s="464"/>
      <c r="CW69" s="464"/>
      <c r="CX69" s="464"/>
      <c r="CY69" s="464"/>
      <c r="CZ69" s="464"/>
      <c r="DA69" s="464"/>
      <c r="DB69" s="464"/>
      <c r="DC69" s="464"/>
      <c r="DD69" s="464"/>
      <c r="DE69" s="464"/>
      <c r="DF69" s="464"/>
      <c r="DG69" s="464"/>
      <c r="DH69" s="464"/>
      <c r="DI69" s="464"/>
      <c r="DJ69" s="464"/>
      <c r="DK69" s="464"/>
      <c r="DL69" s="464"/>
      <c r="DM69" s="464"/>
      <c r="DN69" s="464">
        <v>21294</v>
      </c>
      <c r="DO69" s="464">
        <f>+DN69*E69</f>
        <v>21294</v>
      </c>
      <c r="DP69" s="464"/>
      <c r="DQ69" s="464"/>
      <c r="DR69" s="464"/>
      <c r="DS69" s="464"/>
      <c r="DT69" s="464"/>
      <c r="DU69" s="464"/>
      <c r="DV69" s="464"/>
      <c r="DW69" s="464"/>
      <c r="DX69" s="464"/>
      <c r="DY69" s="464"/>
      <c r="DZ69" s="464"/>
      <c r="EA69" s="464"/>
      <c r="EB69" s="464"/>
      <c r="EC69" s="464"/>
      <c r="ED69" s="464"/>
      <c r="EE69" s="464"/>
      <c r="EF69" s="464"/>
      <c r="EG69" s="464"/>
      <c r="EH69" s="464"/>
      <c r="EI69" s="464"/>
      <c r="EJ69" s="464"/>
      <c r="EK69" s="464"/>
      <c r="EL69" s="464"/>
      <c r="EM69" s="464"/>
      <c r="EN69" s="464"/>
      <c r="EO69" s="464"/>
      <c r="EP69" s="464"/>
      <c r="EQ69" s="464"/>
      <c r="ER69" s="464"/>
      <c r="ES69" s="464"/>
      <c r="ET69" s="464"/>
      <c r="EU69" s="464"/>
      <c r="EV69" s="464"/>
      <c r="EW69" s="464"/>
      <c r="EX69" s="464"/>
      <c r="EY69" s="464"/>
      <c r="EZ69" s="464"/>
      <c r="FA69" s="464"/>
      <c r="FB69" s="464"/>
      <c r="FC69" s="464"/>
      <c r="FD69" s="464"/>
      <c r="FE69" s="464"/>
      <c r="FF69" s="472">
        <f>MEDIAN(AD69,DN69)</f>
        <v>22512.489999999998</v>
      </c>
      <c r="FG69" s="472">
        <f>AVERAGE(AD69,DN69)</f>
        <v>22512.489999999998</v>
      </c>
      <c r="FH69" s="473">
        <f>STDEV(AD69,DN69)</f>
        <v>1723.2050836159922</v>
      </c>
      <c r="FI69" s="476">
        <f t="shared" si="12"/>
        <v>7.6544401957135452E-2</v>
      </c>
      <c r="FJ69" s="475">
        <f t="shared" si="13"/>
        <v>22513</v>
      </c>
      <c r="FK69" s="469">
        <f t="shared" si="18"/>
        <v>22513</v>
      </c>
      <c r="FL69" s="467" t="s">
        <v>621</v>
      </c>
      <c r="FM69" s="470"/>
    </row>
    <row r="70" spans="1:169" ht="32.5" customHeight="1" x14ac:dyDescent="0.35">
      <c r="A70" s="458">
        <v>66</v>
      </c>
      <c r="B70" s="485" t="s">
        <v>751</v>
      </c>
      <c r="C70" s="493" t="s">
        <v>752</v>
      </c>
      <c r="D70" s="487" t="s">
        <v>620</v>
      </c>
      <c r="E70" s="458">
        <v>1</v>
      </c>
      <c r="F70" s="482"/>
      <c r="G70" s="482"/>
      <c r="H70" s="482"/>
      <c r="I70" s="482"/>
      <c r="J70" s="482"/>
      <c r="K70" s="482"/>
      <c r="L70" s="489"/>
      <c r="M70" s="489"/>
      <c r="N70" s="489"/>
      <c r="O70" s="489"/>
      <c r="P70" s="489"/>
      <c r="Q70" s="489"/>
      <c r="R70" s="489"/>
      <c r="S70" s="489"/>
      <c r="T70" s="489"/>
      <c r="U70" s="489"/>
      <c r="V70" s="489"/>
      <c r="W70" s="464"/>
      <c r="X70" s="464"/>
      <c r="Y70" s="464"/>
      <c r="Z70" s="464"/>
      <c r="AA70" s="464"/>
      <c r="AB70" s="464"/>
      <c r="AC70" s="464"/>
      <c r="AD70" s="482">
        <v>129186.4</v>
      </c>
      <c r="AE70" s="464">
        <f t="shared" si="28"/>
        <v>129186.4</v>
      </c>
      <c r="AF70" s="464"/>
      <c r="AG70" s="464"/>
      <c r="AH70" s="464"/>
      <c r="AI70" s="464"/>
      <c r="AJ70" s="464"/>
      <c r="AK70" s="464"/>
      <c r="AL70" s="464"/>
      <c r="AM70" s="464"/>
      <c r="AN70" s="464"/>
      <c r="AO70" s="464"/>
      <c r="AP70" s="464"/>
      <c r="AQ70" s="464"/>
      <c r="AR70" s="464"/>
      <c r="AS70" s="464"/>
      <c r="AT70" s="464"/>
      <c r="AU70" s="464"/>
      <c r="AV70" s="464"/>
      <c r="AW70" s="464"/>
      <c r="AX70" s="464"/>
      <c r="AY70" s="464"/>
      <c r="AZ70" s="464"/>
      <c r="BA70" s="464"/>
      <c r="BB70" s="464"/>
      <c r="BC70" s="464"/>
      <c r="BD70" s="464"/>
      <c r="BE70" s="464"/>
      <c r="BF70" s="464"/>
      <c r="BG70" s="464"/>
      <c r="BH70" s="464"/>
      <c r="BI70" s="464"/>
      <c r="BJ70" s="464"/>
      <c r="BK70" s="464"/>
      <c r="BL70" s="464"/>
      <c r="BM70" s="464"/>
      <c r="BN70" s="464"/>
      <c r="BO70" s="464"/>
      <c r="BP70" s="464"/>
      <c r="BQ70" s="464"/>
      <c r="BR70" s="464"/>
      <c r="BS70" s="464"/>
      <c r="BT70" s="464"/>
      <c r="BU70" s="464"/>
      <c r="BV70" s="464"/>
      <c r="BW70" s="464"/>
      <c r="BX70" s="464"/>
      <c r="BY70" s="464"/>
      <c r="BZ70" s="464"/>
      <c r="CA70" s="464"/>
      <c r="CB70" s="464"/>
      <c r="CC70" s="464"/>
      <c r="CD70" s="464"/>
      <c r="CE70" s="464"/>
      <c r="CF70" s="464"/>
      <c r="CG70" s="464"/>
      <c r="CH70" s="464"/>
      <c r="CI70" s="464"/>
      <c r="CJ70" s="464"/>
      <c r="CK70" s="464"/>
      <c r="CL70" s="464"/>
      <c r="CM70" s="464"/>
      <c r="CN70" s="464"/>
      <c r="CO70" s="464"/>
      <c r="CP70" s="464"/>
      <c r="CQ70" s="464"/>
      <c r="CR70" s="464"/>
      <c r="CS70" s="464"/>
      <c r="CT70" s="464"/>
      <c r="CU70" s="464"/>
      <c r="CV70" s="464"/>
      <c r="CW70" s="464"/>
      <c r="CX70" s="464"/>
      <c r="CY70" s="464"/>
      <c r="CZ70" s="464"/>
      <c r="DA70" s="464"/>
      <c r="DB70" s="464"/>
      <c r="DC70" s="464"/>
      <c r="DD70" s="464">
        <v>140000</v>
      </c>
      <c r="DE70" s="464">
        <f>+DD70*E70</f>
        <v>140000</v>
      </c>
      <c r="DF70" s="464"/>
      <c r="DG70" s="464"/>
      <c r="DH70" s="464"/>
      <c r="DI70" s="464"/>
      <c r="DJ70" s="464"/>
      <c r="DK70" s="464"/>
      <c r="DL70" s="464"/>
      <c r="DM70" s="464"/>
      <c r="DN70" s="464"/>
      <c r="DO70" s="464"/>
      <c r="DP70" s="464"/>
      <c r="DQ70" s="464"/>
      <c r="DR70" s="464"/>
      <c r="DS70" s="464"/>
      <c r="DT70" s="464"/>
      <c r="DU70" s="464"/>
      <c r="DV70" s="464"/>
      <c r="DW70" s="464"/>
      <c r="DX70" s="464"/>
      <c r="DY70" s="464"/>
      <c r="DZ70" s="464"/>
      <c r="EA70" s="464"/>
      <c r="EB70" s="464"/>
      <c r="EC70" s="464"/>
      <c r="ED70" s="464"/>
      <c r="EE70" s="464"/>
      <c r="EF70" s="464"/>
      <c r="EG70" s="464"/>
      <c r="EH70" s="464"/>
      <c r="EI70" s="464"/>
      <c r="EJ70" s="464"/>
      <c r="EK70" s="464"/>
      <c r="EL70" s="464"/>
      <c r="EM70" s="464"/>
      <c r="EN70" s="464"/>
      <c r="EO70" s="464"/>
      <c r="EP70" s="464"/>
      <c r="EQ70" s="464"/>
      <c r="ER70" s="464"/>
      <c r="ES70" s="464"/>
      <c r="ET70" s="464"/>
      <c r="EU70" s="464"/>
      <c r="EV70" s="464"/>
      <c r="EW70" s="464"/>
      <c r="EX70" s="464"/>
      <c r="EY70" s="464"/>
      <c r="EZ70" s="464"/>
      <c r="FA70" s="464"/>
      <c r="FB70" s="464"/>
      <c r="FC70" s="464"/>
      <c r="FD70" s="464"/>
      <c r="FE70" s="464"/>
      <c r="FF70" s="472">
        <f>MEDIAN(AD70,DD70)</f>
        <v>134593.20000000001</v>
      </c>
      <c r="FG70" s="472">
        <f>AVERAGE(AD70,DD70)</f>
        <v>134593.20000000001</v>
      </c>
      <c r="FH70" s="473">
        <f>STDEV(AD70,DD70)</f>
        <v>7646.3698890388541</v>
      </c>
      <c r="FI70" s="476">
        <f t="shared" si="12"/>
        <v>5.6810967337420117E-2</v>
      </c>
      <c r="FJ70" s="475">
        <f t="shared" si="13"/>
        <v>134594</v>
      </c>
      <c r="FK70" s="469">
        <f t="shared" si="18"/>
        <v>134594</v>
      </c>
      <c r="FL70" s="467" t="s">
        <v>621</v>
      </c>
      <c r="FM70" s="470"/>
    </row>
    <row r="71" spans="1:169" ht="63" customHeight="1" x14ac:dyDescent="0.35">
      <c r="A71" s="458">
        <v>67</v>
      </c>
      <c r="B71" s="485" t="s">
        <v>753</v>
      </c>
      <c r="C71" s="494" t="s">
        <v>754</v>
      </c>
      <c r="D71" s="495" t="s">
        <v>755</v>
      </c>
      <c r="E71" s="458">
        <v>1</v>
      </c>
      <c r="F71" s="482"/>
      <c r="G71" s="482"/>
      <c r="H71" s="482"/>
      <c r="I71" s="482"/>
      <c r="J71" s="482"/>
      <c r="K71" s="482"/>
      <c r="L71" s="489"/>
      <c r="M71" s="489"/>
      <c r="N71" s="489"/>
      <c r="O71" s="489"/>
      <c r="P71" s="489"/>
      <c r="Q71" s="489"/>
      <c r="R71" s="489"/>
      <c r="S71" s="489"/>
      <c r="T71" s="489"/>
      <c r="U71" s="489"/>
      <c r="V71" s="489"/>
      <c r="W71" s="464"/>
      <c r="X71" s="464"/>
      <c r="Y71" s="464"/>
      <c r="Z71" s="464"/>
      <c r="AA71" s="464"/>
      <c r="AB71" s="464"/>
      <c r="AC71" s="464"/>
      <c r="AD71" s="464"/>
      <c r="AE71" s="464"/>
      <c r="AF71" s="464"/>
      <c r="AG71" s="464"/>
      <c r="AH71" s="464"/>
      <c r="AI71" s="464"/>
      <c r="AJ71" s="464"/>
      <c r="AK71" s="464"/>
      <c r="AL71" s="464"/>
      <c r="AM71" s="464"/>
      <c r="AN71" s="464"/>
      <c r="AO71" s="464"/>
      <c r="AP71" s="464"/>
      <c r="AQ71" s="464"/>
      <c r="AR71" s="464"/>
      <c r="AS71" s="464"/>
      <c r="AT71" s="464"/>
      <c r="AU71" s="464"/>
      <c r="AV71" s="464"/>
      <c r="AW71" s="464"/>
      <c r="AX71" s="464"/>
      <c r="AY71" s="464"/>
      <c r="AZ71" s="464"/>
      <c r="BA71" s="464"/>
      <c r="BB71" s="464"/>
      <c r="BC71" s="464"/>
      <c r="BD71" s="464"/>
      <c r="BE71" s="464"/>
      <c r="BF71" s="464"/>
      <c r="BG71" s="464"/>
      <c r="BH71" s="464"/>
      <c r="BI71" s="464"/>
      <c r="BJ71" s="464"/>
      <c r="BK71" s="464"/>
      <c r="BL71" s="464"/>
      <c r="BM71" s="464"/>
      <c r="BN71" s="464"/>
      <c r="BO71" s="464"/>
      <c r="BP71" s="464"/>
      <c r="BQ71" s="464"/>
      <c r="BR71" s="464"/>
      <c r="BS71" s="464"/>
      <c r="BT71" s="464"/>
      <c r="BU71" s="464"/>
      <c r="BV71" s="464"/>
      <c r="BW71" s="464"/>
      <c r="BX71" s="464"/>
      <c r="BY71" s="464"/>
      <c r="BZ71" s="464"/>
      <c r="CA71" s="464"/>
      <c r="CB71" s="464"/>
      <c r="CC71" s="464"/>
      <c r="CD71" s="464"/>
      <c r="CE71" s="464"/>
      <c r="CF71" s="464"/>
      <c r="CG71" s="464"/>
      <c r="CH71" s="464"/>
      <c r="CI71" s="464"/>
      <c r="CJ71" s="464"/>
      <c r="CK71" s="464"/>
      <c r="CL71" s="464"/>
      <c r="CM71" s="464"/>
      <c r="CN71" s="464"/>
      <c r="CO71" s="464"/>
      <c r="CP71" s="464"/>
      <c r="CQ71" s="464"/>
      <c r="CR71" s="464">
        <v>10500</v>
      </c>
      <c r="CS71" s="464"/>
      <c r="CT71" s="464"/>
      <c r="CU71" s="464"/>
      <c r="CV71" s="464">
        <v>11100</v>
      </c>
      <c r="CW71" s="464"/>
      <c r="CX71" s="464"/>
      <c r="CY71" s="464"/>
      <c r="CZ71" s="464"/>
      <c r="DA71" s="464"/>
      <c r="DB71" s="464"/>
      <c r="DC71" s="464"/>
      <c r="DD71" s="464"/>
      <c r="DE71" s="464"/>
      <c r="DF71" s="464"/>
      <c r="DG71" s="464"/>
      <c r="DH71" s="464"/>
      <c r="DI71" s="464"/>
      <c r="DJ71" s="464"/>
      <c r="DK71" s="464"/>
      <c r="DL71" s="464"/>
      <c r="DM71" s="464"/>
      <c r="DN71" s="464"/>
      <c r="DO71" s="464"/>
      <c r="DP71" s="464"/>
      <c r="DQ71" s="464"/>
      <c r="DR71" s="464"/>
      <c r="DS71" s="464"/>
      <c r="DT71" s="464"/>
      <c r="DU71" s="464"/>
      <c r="DV71" s="464"/>
      <c r="DW71" s="464"/>
      <c r="DX71" s="464"/>
      <c r="DY71" s="464"/>
      <c r="DZ71" s="464"/>
      <c r="EA71" s="464"/>
      <c r="EB71" s="464"/>
      <c r="EC71" s="464"/>
      <c r="ED71" s="464"/>
      <c r="EE71" s="464"/>
      <c r="EF71" s="464"/>
      <c r="EG71" s="464"/>
      <c r="EH71" s="464"/>
      <c r="EI71" s="464"/>
      <c r="EJ71" s="464"/>
      <c r="EK71" s="464"/>
      <c r="EL71" s="464"/>
      <c r="EM71" s="464"/>
      <c r="EN71" s="464"/>
      <c r="EO71" s="464"/>
      <c r="EP71" s="464"/>
      <c r="EQ71" s="464"/>
      <c r="ER71" s="464"/>
      <c r="ES71" s="464"/>
      <c r="ET71" s="464"/>
      <c r="EU71" s="464"/>
      <c r="EV71" s="464"/>
      <c r="EW71" s="464"/>
      <c r="EX71" s="464"/>
      <c r="EY71" s="464"/>
      <c r="EZ71" s="464"/>
      <c r="FA71" s="464"/>
      <c r="FB71" s="464"/>
      <c r="FC71" s="464"/>
      <c r="FD71" s="464"/>
      <c r="FE71" s="464"/>
      <c r="FF71" s="472">
        <f>MEDIAN(CR71,CV71)</f>
        <v>10800</v>
      </c>
      <c r="FG71" s="472">
        <f>AVERAGE(CR71,CV71)</f>
        <v>10800</v>
      </c>
      <c r="FH71" s="473">
        <f>STDEV(CR71,CV71)</f>
        <v>424.26406871192853</v>
      </c>
      <c r="FI71" s="476">
        <f t="shared" si="12"/>
        <v>3.9283710065919311E-2</v>
      </c>
      <c r="FJ71" s="475">
        <f t="shared" si="13"/>
        <v>10800</v>
      </c>
      <c r="FK71" s="469">
        <f t="shared" si="18"/>
        <v>10800</v>
      </c>
      <c r="FL71" s="467" t="s">
        <v>621</v>
      </c>
      <c r="FM71" s="470"/>
    </row>
    <row r="72" spans="1:169" ht="45.75" customHeight="1" x14ac:dyDescent="0.35">
      <c r="A72" s="458">
        <v>68</v>
      </c>
      <c r="B72" s="485" t="s">
        <v>756</v>
      </c>
      <c r="C72" s="486" t="s">
        <v>757</v>
      </c>
      <c r="D72" s="487" t="s">
        <v>620</v>
      </c>
      <c r="E72" s="458">
        <v>1</v>
      </c>
      <c r="F72" s="482"/>
      <c r="G72" s="482"/>
      <c r="H72" s="482"/>
      <c r="I72" s="482"/>
      <c r="J72" s="482"/>
      <c r="K72" s="482"/>
      <c r="L72" s="489">
        <v>25000</v>
      </c>
      <c r="M72" s="489">
        <f t="shared" ref="M72:M75" si="37">+L72*E72</f>
        <v>25000</v>
      </c>
      <c r="N72" s="489"/>
      <c r="O72" s="489"/>
      <c r="P72" s="489"/>
      <c r="Q72" s="489"/>
      <c r="R72" s="489"/>
      <c r="S72" s="489"/>
      <c r="T72" s="489"/>
      <c r="U72" s="489"/>
      <c r="V72" s="489"/>
      <c r="W72" s="464"/>
      <c r="X72" s="464"/>
      <c r="Y72" s="464"/>
      <c r="Z72" s="464"/>
      <c r="AA72" s="464"/>
      <c r="AB72" s="464"/>
      <c r="AC72" s="464"/>
      <c r="AD72" s="482">
        <v>77090.58</v>
      </c>
      <c r="AE72" s="464">
        <f t="shared" ref="AE72:AE77" si="38">AD72*E72</f>
        <v>77090.58</v>
      </c>
      <c r="AF72" s="464"/>
      <c r="AG72" s="464"/>
      <c r="AH72" s="464"/>
      <c r="AI72" s="464"/>
      <c r="AJ72" s="464"/>
      <c r="AK72" s="464"/>
      <c r="AL72" s="464"/>
      <c r="AM72" s="464"/>
      <c r="AN72" s="464"/>
      <c r="AO72" s="464"/>
      <c r="AP72" s="464"/>
      <c r="AQ72" s="464"/>
      <c r="AR72" s="464"/>
      <c r="AS72" s="464"/>
      <c r="AT72" s="464"/>
      <c r="AU72" s="464"/>
      <c r="AV72" s="464"/>
      <c r="AW72" s="464"/>
      <c r="AX72" s="464"/>
      <c r="AY72" s="464"/>
      <c r="AZ72" s="464"/>
      <c r="BA72" s="464"/>
      <c r="BB72" s="464"/>
      <c r="BC72" s="464"/>
      <c r="BD72" s="464"/>
      <c r="BE72" s="464"/>
      <c r="BF72" s="464"/>
      <c r="BG72" s="464"/>
      <c r="BH72" s="464"/>
      <c r="BI72" s="464"/>
      <c r="BJ72" s="464"/>
      <c r="BK72" s="464"/>
      <c r="BL72" s="464"/>
      <c r="BM72" s="464"/>
      <c r="BN72" s="464"/>
      <c r="BO72" s="464"/>
      <c r="BP72" s="464"/>
      <c r="BQ72" s="464"/>
      <c r="BR72" s="464"/>
      <c r="BS72" s="464"/>
      <c r="BT72" s="464"/>
      <c r="BU72" s="464"/>
      <c r="BV72" s="464"/>
      <c r="BW72" s="464"/>
      <c r="BX72" s="464"/>
      <c r="BY72" s="464"/>
      <c r="BZ72" s="464"/>
      <c r="CA72" s="464"/>
      <c r="CB72" s="464"/>
      <c r="CC72" s="464"/>
      <c r="CD72" s="464"/>
      <c r="CE72" s="464"/>
      <c r="CF72" s="464"/>
      <c r="CG72" s="464"/>
      <c r="CH72" s="464"/>
      <c r="CI72" s="464"/>
      <c r="CJ72" s="464"/>
      <c r="CK72" s="464"/>
      <c r="CL72" s="464"/>
      <c r="CM72" s="464"/>
      <c r="CN72" s="464"/>
      <c r="CO72" s="464"/>
      <c r="CP72" s="464"/>
      <c r="CQ72" s="464"/>
      <c r="CR72" s="464">
        <v>63000</v>
      </c>
      <c r="CS72" s="464">
        <f t="shared" ref="CS72:CS81" si="39">+CR72*E72</f>
        <v>63000</v>
      </c>
      <c r="CT72" s="464"/>
      <c r="CU72" s="464"/>
      <c r="CV72" s="464"/>
      <c r="CW72" s="464"/>
      <c r="CX72" s="464"/>
      <c r="CY72" s="464"/>
      <c r="CZ72" s="464"/>
      <c r="DA72" s="464"/>
      <c r="DB72" s="464"/>
      <c r="DC72" s="464"/>
      <c r="DD72" s="464"/>
      <c r="DE72" s="464"/>
      <c r="DF72" s="464"/>
      <c r="DG72" s="464"/>
      <c r="DH72" s="464"/>
      <c r="DI72" s="464"/>
      <c r="DJ72" s="464"/>
      <c r="DK72" s="464"/>
      <c r="DL72" s="464"/>
      <c r="DM72" s="464"/>
      <c r="DN72" s="464"/>
      <c r="DO72" s="464"/>
      <c r="DP72" s="464"/>
      <c r="DQ72" s="464"/>
      <c r="DR72" s="464"/>
      <c r="DS72" s="464"/>
      <c r="DT72" s="464"/>
      <c r="DU72" s="464"/>
      <c r="DV72" s="464"/>
      <c r="DW72" s="464"/>
      <c r="DX72" s="464"/>
      <c r="DY72" s="464"/>
      <c r="DZ72" s="464"/>
      <c r="EA72" s="464"/>
      <c r="EB72" s="464"/>
      <c r="EC72" s="464"/>
      <c r="ED72" s="464"/>
      <c r="EE72" s="464"/>
      <c r="EF72" s="464"/>
      <c r="EG72" s="464"/>
      <c r="EH72" s="464"/>
      <c r="EI72" s="464"/>
      <c r="EJ72" s="464"/>
      <c r="EK72" s="464"/>
      <c r="EL72" s="464"/>
      <c r="EM72" s="464"/>
      <c r="EN72" s="464"/>
      <c r="EO72" s="464"/>
      <c r="EP72" s="464"/>
      <c r="EQ72" s="464"/>
      <c r="ER72" s="464"/>
      <c r="ES72" s="464"/>
      <c r="ET72" s="464"/>
      <c r="EU72" s="464"/>
      <c r="EV72" s="464"/>
      <c r="EW72" s="464"/>
      <c r="EX72" s="464"/>
      <c r="EY72" s="464"/>
      <c r="EZ72" s="464"/>
      <c r="FA72" s="464"/>
      <c r="FB72" s="464"/>
      <c r="FC72" s="464"/>
      <c r="FD72" s="464"/>
      <c r="FE72" s="464"/>
      <c r="FF72" s="472">
        <f>MEDIAN(AD72,CR72)</f>
        <v>70045.290000000008</v>
      </c>
      <c r="FG72" s="472">
        <f>AVERAGE(AD72,CR72)</f>
        <v>70045.290000000008</v>
      </c>
      <c r="FH72" s="473">
        <f>STDEV(AD72,CR72)</f>
        <v>9963.5446688514621</v>
      </c>
      <c r="FI72" s="476">
        <f t="shared" si="12"/>
        <v>0.14224432033690576</v>
      </c>
      <c r="FJ72" s="475">
        <f t="shared" si="13"/>
        <v>70046</v>
      </c>
      <c r="FK72" s="469">
        <f t="shared" si="18"/>
        <v>70046</v>
      </c>
      <c r="FL72" s="467" t="s">
        <v>758</v>
      </c>
      <c r="FM72" s="470"/>
    </row>
    <row r="73" spans="1:169" ht="32.5" customHeight="1" x14ac:dyDescent="0.35">
      <c r="A73" s="458">
        <v>69</v>
      </c>
      <c r="B73" s="485" t="s">
        <v>759</v>
      </c>
      <c r="C73" s="486" t="s">
        <v>760</v>
      </c>
      <c r="D73" s="487" t="s">
        <v>620</v>
      </c>
      <c r="E73" s="458">
        <v>1</v>
      </c>
      <c r="F73" s="482"/>
      <c r="G73" s="482"/>
      <c r="H73" s="482"/>
      <c r="I73" s="482"/>
      <c r="J73" s="482"/>
      <c r="K73" s="482"/>
      <c r="L73" s="489">
        <v>13500</v>
      </c>
      <c r="M73" s="489">
        <f t="shared" si="37"/>
        <v>13500</v>
      </c>
      <c r="N73" s="489"/>
      <c r="O73" s="489"/>
      <c r="P73" s="489"/>
      <c r="Q73" s="489"/>
      <c r="R73" s="489"/>
      <c r="S73" s="489"/>
      <c r="T73" s="489"/>
      <c r="U73" s="489"/>
      <c r="V73" s="489"/>
      <c r="W73" s="464"/>
      <c r="X73" s="464"/>
      <c r="Y73" s="464"/>
      <c r="Z73" s="464"/>
      <c r="AA73" s="464"/>
      <c r="AB73" s="464"/>
      <c r="AC73" s="464"/>
      <c r="AD73" s="482">
        <v>193779.6</v>
      </c>
      <c r="AE73" s="464">
        <f t="shared" si="38"/>
        <v>193779.6</v>
      </c>
      <c r="AF73" s="464"/>
      <c r="AG73" s="464"/>
      <c r="AH73" s="464"/>
      <c r="AI73" s="464"/>
      <c r="AJ73" s="464"/>
      <c r="AK73" s="464"/>
      <c r="AL73" s="464"/>
      <c r="AM73" s="464"/>
      <c r="AN73" s="464"/>
      <c r="AO73" s="464"/>
      <c r="AP73" s="464"/>
      <c r="AQ73" s="464"/>
      <c r="AR73" s="464"/>
      <c r="AS73" s="464"/>
      <c r="AT73" s="464"/>
      <c r="AU73" s="464"/>
      <c r="AV73" s="464"/>
      <c r="AW73" s="464"/>
      <c r="AX73" s="464"/>
      <c r="AY73" s="464"/>
      <c r="AZ73" s="464"/>
      <c r="BA73" s="464"/>
      <c r="BB73" s="464"/>
      <c r="BC73" s="464"/>
      <c r="BD73" s="464"/>
      <c r="BE73" s="464"/>
      <c r="BF73" s="464"/>
      <c r="BG73" s="464"/>
      <c r="BH73" s="464"/>
      <c r="BI73" s="464"/>
      <c r="BJ73" s="464"/>
      <c r="BK73" s="464"/>
      <c r="BL73" s="464"/>
      <c r="BM73" s="464"/>
      <c r="BN73" s="464"/>
      <c r="BO73" s="464"/>
      <c r="BP73" s="464"/>
      <c r="BQ73" s="464"/>
      <c r="BR73" s="464"/>
      <c r="BS73" s="464"/>
      <c r="BT73" s="464"/>
      <c r="BU73" s="464"/>
      <c r="BV73" s="464"/>
      <c r="BW73" s="464"/>
      <c r="BX73" s="464"/>
      <c r="BY73" s="464"/>
      <c r="BZ73" s="464"/>
      <c r="CA73" s="464"/>
      <c r="CB73" s="464"/>
      <c r="CC73" s="464"/>
      <c r="CD73" s="464"/>
      <c r="CE73" s="464"/>
      <c r="CF73" s="464"/>
      <c r="CG73" s="464"/>
      <c r="CH73" s="464"/>
      <c r="CI73" s="464"/>
      <c r="CJ73" s="464"/>
      <c r="CK73" s="464"/>
      <c r="CL73" s="464"/>
      <c r="CM73" s="464"/>
      <c r="CN73" s="464"/>
      <c r="CO73" s="464"/>
      <c r="CP73" s="464"/>
      <c r="CQ73" s="464"/>
      <c r="CR73" s="464">
        <v>20034</v>
      </c>
      <c r="CS73" s="464">
        <f t="shared" si="39"/>
        <v>20034</v>
      </c>
      <c r="CT73" s="464">
        <v>17388</v>
      </c>
      <c r="CU73" s="464"/>
      <c r="CV73" s="464"/>
      <c r="CW73" s="464"/>
      <c r="CX73" s="464"/>
      <c r="CY73" s="464"/>
      <c r="CZ73" s="464"/>
      <c r="DA73" s="464"/>
      <c r="DB73" s="464"/>
      <c r="DC73" s="464"/>
      <c r="DD73" s="464"/>
      <c r="DE73" s="464"/>
      <c r="DF73" s="464"/>
      <c r="DG73" s="464"/>
      <c r="DH73" s="464"/>
      <c r="DI73" s="464"/>
      <c r="DJ73" s="464"/>
      <c r="DK73" s="464"/>
      <c r="DL73" s="464"/>
      <c r="DM73" s="464"/>
      <c r="DN73" s="464"/>
      <c r="DO73" s="464"/>
      <c r="DP73" s="464"/>
      <c r="DQ73" s="464"/>
      <c r="DR73" s="464"/>
      <c r="DS73" s="464"/>
      <c r="DT73" s="464"/>
      <c r="DU73" s="464"/>
      <c r="DV73" s="464"/>
      <c r="DW73" s="464"/>
      <c r="DX73" s="464"/>
      <c r="DY73" s="464"/>
      <c r="DZ73" s="464"/>
      <c r="EA73" s="464"/>
      <c r="EB73" s="464"/>
      <c r="EC73" s="464"/>
      <c r="ED73" s="464"/>
      <c r="EE73" s="464"/>
      <c r="EF73" s="464"/>
      <c r="EG73" s="464"/>
      <c r="EH73" s="464"/>
      <c r="EI73" s="464"/>
      <c r="EJ73" s="464"/>
      <c r="EK73" s="464"/>
      <c r="EL73" s="464"/>
      <c r="EM73" s="464"/>
      <c r="EN73" s="464"/>
      <c r="EO73" s="464"/>
      <c r="EP73" s="464"/>
      <c r="EQ73" s="464"/>
      <c r="ER73" s="464"/>
      <c r="ES73" s="464"/>
      <c r="ET73" s="464"/>
      <c r="EU73" s="464"/>
      <c r="EV73" s="464"/>
      <c r="EW73" s="464"/>
      <c r="EX73" s="464"/>
      <c r="EY73" s="464"/>
      <c r="EZ73" s="464"/>
      <c r="FA73" s="464"/>
      <c r="FB73" s="464"/>
      <c r="FC73" s="464"/>
      <c r="FD73" s="464"/>
      <c r="FE73" s="464"/>
      <c r="FF73" s="472">
        <f>MEDIAN(CR73,CT73)</f>
        <v>18711</v>
      </c>
      <c r="FG73" s="472">
        <f>AVERAGE(CR73,CT73)</f>
        <v>18711</v>
      </c>
      <c r="FH73" s="473">
        <f>STDEV(CR73,CT73)</f>
        <v>1871.0045430196049</v>
      </c>
      <c r="FI73" s="476">
        <f t="shared" si="12"/>
        <v>9.9994898349612782E-2</v>
      </c>
      <c r="FJ73" s="475">
        <f t="shared" si="13"/>
        <v>18711</v>
      </c>
      <c r="FK73" s="469">
        <f t="shared" si="18"/>
        <v>18711</v>
      </c>
      <c r="FL73" s="467" t="s">
        <v>621</v>
      </c>
      <c r="FM73" s="470"/>
    </row>
    <row r="74" spans="1:169" ht="32.5" customHeight="1" x14ac:dyDescent="0.35">
      <c r="A74" s="458">
        <v>70</v>
      </c>
      <c r="B74" s="485" t="s">
        <v>761</v>
      </c>
      <c r="C74" s="486" t="s">
        <v>762</v>
      </c>
      <c r="D74" s="487" t="s">
        <v>620</v>
      </c>
      <c r="E74" s="458">
        <v>1</v>
      </c>
      <c r="F74" s="482"/>
      <c r="G74" s="482"/>
      <c r="H74" s="482"/>
      <c r="I74" s="482"/>
      <c r="J74" s="482"/>
      <c r="K74" s="482"/>
      <c r="L74" s="489">
        <v>1500</v>
      </c>
      <c r="M74" s="489">
        <f t="shared" si="37"/>
        <v>1500</v>
      </c>
      <c r="N74" s="489"/>
      <c r="O74" s="489"/>
      <c r="P74" s="489"/>
      <c r="Q74" s="489"/>
      <c r="R74" s="489"/>
      <c r="S74" s="489"/>
      <c r="T74" s="489"/>
      <c r="U74" s="489"/>
      <c r="V74" s="489"/>
      <c r="W74" s="464"/>
      <c r="X74" s="464"/>
      <c r="Y74" s="464"/>
      <c r="Z74" s="464"/>
      <c r="AA74" s="464"/>
      <c r="AB74" s="464"/>
      <c r="AC74" s="464"/>
      <c r="AD74" s="482">
        <v>3744.5333333333328</v>
      </c>
      <c r="AE74" s="464">
        <f t="shared" si="38"/>
        <v>3744.5333333333328</v>
      </c>
      <c r="AF74" s="464"/>
      <c r="AG74" s="464"/>
      <c r="AH74" s="464"/>
      <c r="AI74" s="464"/>
      <c r="AJ74" s="464"/>
      <c r="AK74" s="464"/>
      <c r="AL74" s="464"/>
      <c r="AM74" s="464"/>
      <c r="AN74" s="464"/>
      <c r="AO74" s="464"/>
      <c r="AP74" s="464"/>
      <c r="AQ74" s="464"/>
      <c r="AR74" s="464"/>
      <c r="AS74" s="464"/>
      <c r="AT74" s="464"/>
      <c r="AU74" s="464"/>
      <c r="AV74" s="464"/>
      <c r="AW74" s="464"/>
      <c r="AX74" s="464"/>
      <c r="AY74" s="464"/>
      <c r="AZ74" s="464"/>
      <c r="BA74" s="464"/>
      <c r="BB74" s="464"/>
      <c r="BC74" s="464"/>
      <c r="BD74" s="464"/>
      <c r="BE74" s="464"/>
      <c r="BF74" s="464"/>
      <c r="BG74" s="464"/>
      <c r="BH74" s="464"/>
      <c r="BI74" s="464"/>
      <c r="BJ74" s="464"/>
      <c r="BK74" s="464"/>
      <c r="BL74" s="464"/>
      <c r="BM74" s="464"/>
      <c r="BN74" s="464"/>
      <c r="BO74" s="464"/>
      <c r="BP74" s="464"/>
      <c r="BQ74" s="464"/>
      <c r="BR74" s="464"/>
      <c r="BS74" s="464"/>
      <c r="BT74" s="464"/>
      <c r="BU74" s="464"/>
      <c r="BV74" s="464"/>
      <c r="BW74" s="464"/>
      <c r="BX74" s="464"/>
      <c r="BY74" s="464"/>
      <c r="BZ74" s="464"/>
      <c r="CA74" s="464"/>
      <c r="CB74" s="464"/>
      <c r="CC74" s="464"/>
      <c r="CD74" s="464"/>
      <c r="CE74" s="464"/>
      <c r="CF74" s="464"/>
      <c r="CG74" s="464"/>
      <c r="CH74" s="464"/>
      <c r="CI74" s="464"/>
      <c r="CJ74" s="464"/>
      <c r="CK74" s="464"/>
      <c r="CL74" s="464"/>
      <c r="CM74" s="464"/>
      <c r="CN74" s="464"/>
      <c r="CO74" s="464"/>
      <c r="CP74" s="464"/>
      <c r="CQ74" s="464"/>
      <c r="CR74" s="464"/>
      <c r="CS74" s="464">
        <f t="shared" si="39"/>
        <v>0</v>
      </c>
      <c r="CT74" s="464">
        <v>2100</v>
      </c>
      <c r="CU74" s="464"/>
      <c r="CV74" s="464"/>
      <c r="CW74" s="464"/>
      <c r="CX74" s="464"/>
      <c r="CY74" s="464"/>
      <c r="CZ74" s="464"/>
      <c r="DA74" s="464"/>
      <c r="DB74" s="464"/>
      <c r="DC74" s="464"/>
      <c r="DD74" s="464"/>
      <c r="DE74" s="464"/>
      <c r="DF74" s="464"/>
      <c r="DG74" s="464"/>
      <c r="DH74" s="464"/>
      <c r="DI74" s="464"/>
      <c r="DJ74" s="464"/>
      <c r="DK74" s="464"/>
      <c r="DL74" s="464"/>
      <c r="DM74" s="464"/>
      <c r="DN74" s="464"/>
      <c r="DO74" s="464"/>
      <c r="DP74" s="464"/>
      <c r="DQ74" s="464"/>
      <c r="DR74" s="464"/>
      <c r="DS74" s="464"/>
      <c r="DT74" s="464"/>
      <c r="DU74" s="464"/>
      <c r="DV74" s="464"/>
      <c r="DW74" s="464"/>
      <c r="DX74" s="464"/>
      <c r="DY74" s="464"/>
      <c r="DZ74" s="464"/>
      <c r="EA74" s="464"/>
      <c r="EB74" s="464"/>
      <c r="EC74" s="464"/>
      <c r="ED74" s="464"/>
      <c r="EE74" s="464"/>
      <c r="EF74" s="464"/>
      <c r="EG74" s="464"/>
      <c r="EH74" s="464"/>
      <c r="EI74" s="464"/>
      <c r="EJ74" s="464"/>
      <c r="EK74" s="464"/>
      <c r="EL74" s="464"/>
      <c r="EM74" s="464"/>
      <c r="EN74" s="464"/>
      <c r="EO74" s="464"/>
      <c r="EP74" s="464"/>
      <c r="EQ74" s="464"/>
      <c r="ER74" s="464"/>
      <c r="ES74" s="464"/>
      <c r="ET74" s="464"/>
      <c r="EU74" s="464"/>
      <c r="EV74" s="464"/>
      <c r="EW74" s="464"/>
      <c r="EX74" s="464"/>
      <c r="EY74" s="464"/>
      <c r="EZ74" s="464"/>
      <c r="FA74" s="464"/>
      <c r="FB74" s="464"/>
      <c r="FC74" s="464"/>
      <c r="FD74" s="464"/>
      <c r="FE74" s="464"/>
      <c r="FF74" s="472">
        <f>MEDIAN(L74,CT74)</f>
        <v>1800</v>
      </c>
      <c r="FG74" s="472">
        <f>AVERAGE(L74,CT74)</f>
        <v>1800</v>
      </c>
      <c r="FH74" s="473">
        <f>STDEV(L74,CT74)</f>
        <v>424.26406871192853</v>
      </c>
      <c r="FI74" s="476">
        <f t="shared" si="12"/>
        <v>0.23570226039551584</v>
      </c>
      <c r="FJ74" s="475">
        <f t="shared" si="13"/>
        <v>1800</v>
      </c>
      <c r="FK74" s="469">
        <f t="shared" si="18"/>
        <v>1800</v>
      </c>
      <c r="FL74" s="467" t="s">
        <v>632</v>
      </c>
      <c r="FM74" s="470"/>
    </row>
    <row r="75" spans="1:169" ht="32.5" customHeight="1" x14ac:dyDescent="0.35">
      <c r="A75" s="458">
        <v>71</v>
      </c>
      <c r="B75" s="485" t="s">
        <v>763</v>
      </c>
      <c r="C75" s="486" t="s">
        <v>764</v>
      </c>
      <c r="D75" s="487" t="s">
        <v>620</v>
      </c>
      <c r="E75" s="458">
        <v>1</v>
      </c>
      <c r="F75" s="482"/>
      <c r="G75" s="482"/>
      <c r="H75" s="482"/>
      <c r="I75" s="482"/>
      <c r="J75" s="482"/>
      <c r="K75" s="482"/>
      <c r="L75" s="489">
        <v>6500</v>
      </c>
      <c r="M75" s="489">
        <f t="shared" si="37"/>
        <v>6500</v>
      </c>
      <c r="N75" s="489"/>
      <c r="O75" s="489"/>
      <c r="P75" s="489"/>
      <c r="Q75" s="489"/>
      <c r="R75" s="489"/>
      <c r="S75" s="489"/>
      <c r="T75" s="489"/>
      <c r="U75" s="489"/>
      <c r="V75" s="489"/>
      <c r="W75" s="464"/>
      <c r="X75" s="464"/>
      <c r="Y75" s="464"/>
      <c r="Z75" s="464"/>
      <c r="AA75" s="464"/>
      <c r="AB75" s="464"/>
      <c r="AC75" s="464"/>
      <c r="AD75" s="482">
        <v>8317</v>
      </c>
      <c r="AE75" s="464">
        <f t="shared" si="38"/>
        <v>8317</v>
      </c>
      <c r="AF75" s="464"/>
      <c r="AG75" s="464"/>
      <c r="AH75" s="464"/>
      <c r="AI75" s="464"/>
      <c r="AJ75" s="464"/>
      <c r="AK75" s="464"/>
      <c r="AL75" s="464"/>
      <c r="AM75" s="464"/>
      <c r="AN75" s="464"/>
      <c r="AO75" s="464"/>
      <c r="AP75" s="464"/>
      <c r="AQ75" s="464"/>
      <c r="AR75" s="464"/>
      <c r="AS75" s="464"/>
      <c r="AT75" s="464"/>
      <c r="AU75" s="464"/>
      <c r="AV75" s="464"/>
      <c r="AW75" s="464"/>
      <c r="AX75" s="464"/>
      <c r="AY75" s="464"/>
      <c r="AZ75" s="464"/>
      <c r="BA75" s="464"/>
      <c r="BB75" s="464"/>
      <c r="BC75" s="464"/>
      <c r="BD75" s="464"/>
      <c r="BE75" s="464"/>
      <c r="BF75" s="464"/>
      <c r="BG75" s="464"/>
      <c r="BH75" s="464"/>
      <c r="BI75" s="464"/>
      <c r="BJ75" s="464"/>
      <c r="BK75" s="464"/>
      <c r="BL75" s="464"/>
      <c r="BM75" s="464"/>
      <c r="BN75" s="464"/>
      <c r="BO75" s="464"/>
      <c r="BP75" s="464"/>
      <c r="BQ75" s="464"/>
      <c r="BR75" s="464"/>
      <c r="BS75" s="464"/>
      <c r="BT75" s="464"/>
      <c r="BU75" s="464"/>
      <c r="BV75" s="464"/>
      <c r="BW75" s="464"/>
      <c r="BX75" s="464"/>
      <c r="BY75" s="464"/>
      <c r="BZ75" s="464"/>
      <c r="CA75" s="464"/>
      <c r="CB75" s="464"/>
      <c r="CC75" s="464"/>
      <c r="CD75" s="464"/>
      <c r="CE75" s="464"/>
      <c r="CF75" s="464"/>
      <c r="CG75" s="464"/>
      <c r="CH75" s="464"/>
      <c r="CI75" s="464"/>
      <c r="CJ75" s="464"/>
      <c r="CK75" s="464"/>
      <c r="CL75" s="464"/>
      <c r="CM75" s="464"/>
      <c r="CN75" s="464"/>
      <c r="CO75" s="464"/>
      <c r="CP75" s="464"/>
      <c r="CQ75" s="464"/>
      <c r="CR75" s="464"/>
      <c r="CS75" s="464">
        <f t="shared" si="39"/>
        <v>0</v>
      </c>
      <c r="CT75" s="464"/>
      <c r="CU75" s="464"/>
      <c r="CV75" s="464"/>
      <c r="CW75" s="464"/>
      <c r="CX75" s="464"/>
      <c r="CY75" s="464"/>
      <c r="CZ75" s="464"/>
      <c r="DA75" s="464"/>
      <c r="DB75" s="464"/>
      <c r="DC75" s="464"/>
      <c r="DD75" s="464"/>
      <c r="DE75" s="464"/>
      <c r="DF75" s="464"/>
      <c r="DG75" s="464"/>
      <c r="DH75" s="464"/>
      <c r="DI75" s="464"/>
      <c r="DJ75" s="464"/>
      <c r="DK75" s="464"/>
      <c r="DL75" s="464"/>
      <c r="DM75" s="464"/>
      <c r="DN75" s="464"/>
      <c r="DO75" s="464"/>
      <c r="DP75" s="464"/>
      <c r="DQ75" s="464"/>
      <c r="DR75" s="464"/>
      <c r="DS75" s="464"/>
      <c r="DT75" s="464"/>
      <c r="DU75" s="464"/>
      <c r="DV75" s="464"/>
      <c r="DW75" s="464"/>
      <c r="DX75" s="464"/>
      <c r="DY75" s="464"/>
      <c r="DZ75" s="464"/>
      <c r="EA75" s="464"/>
      <c r="EB75" s="464"/>
      <c r="EC75" s="464"/>
      <c r="ED75" s="464"/>
      <c r="EE75" s="464"/>
      <c r="EF75" s="464"/>
      <c r="EG75" s="464"/>
      <c r="EH75" s="464"/>
      <c r="EI75" s="464"/>
      <c r="EJ75" s="464"/>
      <c r="EK75" s="464"/>
      <c r="EL75" s="464"/>
      <c r="EM75" s="464"/>
      <c r="EN75" s="464"/>
      <c r="EO75" s="464"/>
      <c r="EP75" s="464"/>
      <c r="EQ75" s="464"/>
      <c r="ER75" s="464"/>
      <c r="ES75" s="464"/>
      <c r="ET75" s="464"/>
      <c r="EU75" s="464"/>
      <c r="EV75" s="464"/>
      <c r="EW75" s="464"/>
      <c r="EX75" s="464"/>
      <c r="EY75" s="464"/>
      <c r="EZ75" s="464"/>
      <c r="FA75" s="464"/>
      <c r="FB75" s="464"/>
      <c r="FC75" s="464"/>
      <c r="FD75" s="464"/>
      <c r="FE75" s="464"/>
      <c r="FF75" s="472">
        <f>MEDIAN(L75,AD75)</f>
        <v>7408.5</v>
      </c>
      <c r="FG75" s="472">
        <f>AVERAGE(L75,AD75)</f>
        <v>7408.5</v>
      </c>
      <c r="FH75" s="473">
        <f>STDEV(L75,AD75)</f>
        <v>1284.8130214159569</v>
      </c>
      <c r="FI75" s="476">
        <f t="shared" si="12"/>
        <v>0.173424177824925</v>
      </c>
      <c r="FJ75" s="475">
        <f t="shared" si="13"/>
        <v>7409</v>
      </c>
      <c r="FK75" s="469">
        <f t="shared" si="18"/>
        <v>7409</v>
      </c>
      <c r="FL75" s="467" t="s">
        <v>632</v>
      </c>
      <c r="FM75" s="470"/>
    </row>
    <row r="76" spans="1:169" ht="32.5" customHeight="1" x14ac:dyDescent="0.35">
      <c r="A76" s="458">
        <v>72</v>
      </c>
      <c r="B76" s="485" t="s">
        <v>765</v>
      </c>
      <c r="C76" s="486" t="s">
        <v>766</v>
      </c>
      <c r="D76" s="487" t="s">
        <v>620</v>
      </c>
      <c r="E76" s="458">
        <v>1</v>
      </c>
      <c r="F76" s="482"/>
      <c r="G76" s="482"/>
      <c r="H76" s="482"/>
      <c r="I76" s="482"/>
      <c r="J76" s="482"/>
      <c r="K76" s="482"/>
      <c r="L76" s="489">
        <v>4500</v>
      </c>
      <c r="M76" s="489">
        <f>+L76*E76</f>
        <v>4500</v>
      </c>
      <c r="N76" s="489"/>
      <c r="O76" s="489"/>
      <c r="P76" s="489"/>
      <c r="Q76" s="489"/>
      <c r="R76" s="489"/>
      <c r="S76" s="489"/>
      <c r="T76" s="489"/>
      <c r="U76" s="489"/>
      <c r="V76" s="489"/>
      <c r="W76" s="464"/>
      <c r="X76" s="464"/>
      <c r="Y76" s="464"/>
      <c r="Z76" s="464"/>
      <c r="AA76" s="464"/>
      <c r="AB76" s="464"/>
      <c r="AC76" s="464"/>
      <c r="AD76" s="482">
        <v>6318.9</v>
      </c>
      <c r="AE76" s="464">
        <f t="shared" si="38"/>
        <v>6318.9</v>
      </c>
      <c r="AF76" s="464"/>
      <c r="AG76" s="464"/>
      <c r="AH76" s="464"/>
      <c r="AI76" s="464"/>
      <c r="AJ76" s="464"/>
      <c r="AK76" s="464"/>
      <c r="AL76" s="464"/>
      <c r="AM76" s="464"/>
      <c r="AN76" s="464"/>
      <c r="AO76" s="464"/>
      <c r="AP76" s="464"/>
      <c r="AQ76" s="464"/>
      <c r="AR76" s="464"/>
      <c r="AS76" s="464"/>
      <c r="AT76" s="464"/>
      <c r="AU76" s="464"/>
      <c r="AV76" s="464"/>
      <c r="AW76" s="464"/>
      <c r="AX76" s="464"/>
      <c r="AY76" s="464"/>
      <c r="AZ76" s="464"/>
      <c r="BA76" s="464"/>
      <c r="BB76" s="464"/>
      <c r="BC76" s="464"/>
      <c r="BD76" s="464"/>
      <c r="BE76" s="464"/>
      <c r="BF76" s="464"/>
      <c r="BG76" s="464"/>
      <c r="BH76" s="464"/>
      <c r="BI76" s="464"/>
      <c r="BJ76" s="464"/>
      <c r="BK76" s="464"/>
      <c r="BL76" s="464"/>
      <c r="BM76" s="464"/>
      <c r="BN76" s="464"/>
      <c r="BO76" s="464"/>
      <c r="BP76" s="464"/>
      <c r="BQ76" s="464"/>
      <c r="BR76" s="464"/>
      <c r="BS76" s="464"/>
      <c r="BT76" s="464"/>
      <c r="BU76" s="464"/>
      <c r="BV76" s="464"/>
      <c r="BW76" s="464"/>
      <c r="BX76" s="464"/>
      <c r="BY76" s="464"/>
      <c r="BZ76" s="464"/>
      <c r="CA76" s="464"/>
      <c r="CB76" s="464"/>
      <c r="CC76" s="464"/>
      <c r="CD76" s="464"/>
      <c r="CE76" s="464"/>
      <c r="CF76" s="464"/>
      <c r="CG76" s="464"/>
      <c r="CH76" s="464"/>
      <c r="CI76" s="464"/>
      <c r="CJ76" s="464"/>
      <c r="CK76" s="464"/>
      <c r="CL76" s="464"/>
      <c r="CM76" s="464"/>
      <c r="CN76" s="464"/>
      <c r="CO76" s="464"/>
      <c r="CP76" s="464"/>
      <c r="CQ76" s="464"/>
      <c r="CR76" s="464"/>
      <c r="CS76" s="464">
        <f t="shared" si="39"/>
        <v>0</v>
      </c>
      <c r="CT76" s="464"/>
      <c r="CU76" s="464"/>
      <c r="CV76" s="464"/>
      <c r="CW76" s="464"/>
      <c r="CX76" s="464"/>
      <c r="CY76" s="464"/>
      <c r="CZ76" s="464"/>
      <c r="DA76" s="464"/>
      <c r="DB76" s="464"/>
      <c r="DC76" s="464"/>
      <c r="DD76" s="464"/>
      <c r="DE76" s="464"/>
      <c r="DF76" s="464"/>
      <c r="DG76" s="464"/>
      <c r="DH76" s="464"/>
      <c r="DI76" s="464"/>
      <c r="DJ76" s="464"/>
      <c r="DK76" s="464"/>
      <c r="DL76" s="464"/>
      <c r="DM76" s="464"/>
      <c r="DN76" s="464"/>
      <c r="DO76" s="464"/>
      <c r="DP76" s="464"/>
      <c r="DQ76" s="464"/>
      <c r="DR76" s="464"/>
      <c r="DS76" s="464"/>
      <c r="DT76" s="464"/>
      <c r="DU76" s="464"/>
      <c r="DV76" s="464"/>
      <c r="DW76" s="464"/>
      <c r="DX76" s="464"/>
      <c r="DY76" s="464"/>
      <c r="DZ76" s="464"/>
      <c r="EA76" s="464"/>
      <c r="EB76" s="464"/>
      <c r="EC76" s="464"/>
      <c r="ED76" s="464"/>
      <c r="EE76" s="464"/>
      <c r="EF76" s="464"/>
      <c r="EG76" s="464"/>
      <c r="EH76" s="464"/>
      <c r="EI76" s="464"/>
      <c r="EJ76" s="464"/>
      <c r="EK76" s="464"/>
      <c r="EL76" s="464"/>
      <c r="EM76" s="464"/>
      <c r="EN76" s="464"/>
      <c r="EO76" s="464"/>
      <c r="EP76" s="464"/>
      <c r="EQ76" s="464"/>
      <c r="ER76" s="464"/>
      <c r="ES76" s="464"/>
      <c r="ET76" s="464"/>
      <c r="EU76" s="464"/>
      <c r="EV76" s="464"/>
      <c r="EW76" s="464"/>
      <c r="EX76" s="464"/>
      <c r="EY76" s="464"/>
      <c r="EZ76" s="464"/>
      <c r="FA76" s="464"/>
      <c r="FB76" s="464"/>
      <c r="FC76" s="464"/>
      <c r="FD76" s="464"/>
      <c r="FE76" s="464"/>
      <c r="FF76" s="472">
        <f>MEDIAN(L76,AD76)</f>
        <v>5409.45</v>
      </c>
      <c r="FG76" s="472">
        <f>AVERAGE(L76,AD76)</f>
        <v>5409.45</v>
      </c>
      <c r="FH76" s="473">
        <f>STDEV(L76,AD76)</f>
        <v>1286.1565243002101</v>
      </c>
      <c r="FI76" s="476">
        <f t="shared" si="12"/>
        <v>0.23776105228816424</v>
      </c>
      <c r="FJ76" s="475">
        <f t="shared" si="13"/>
        <v>5410</v>
      </c>
      <c r="FK76" s="469">
        <f t="shared" si="18"/>
        <v>5410</v>
      </c>
      <c r="FL76" s="467" t="s">
        <v>632</v>
      </c>
      <c r="FM76" s="470"/>
    </row>
    <row r="77" spans="1:169" ht="32.5" customHeight="1" x14ac:dyDescent="0.35">
      <c r="A77" s="458">
        <v>73</v>
      </c>
      <c r="B77" s="485" t="s">
        <v>767</v>
      </c>
      <c r="C77" s="486" t="s">
        <v>768</v>
      </c>
      <c r="D77" s="487" t="s">
        <v>620</v>
      </c>
      <c r="E77" s="458">
        <v>1</v>
      </c>
      <c r="F77" s="482"/>
      <c r="G77" s="482"/>
      <c r="H77" s="482"/>
      <c r="I77" s="482"/>
      <c r="J77" s="482"/>
      <c r="K77" s="482"/>
      <c r="L77" s="489"/>
      <c r="M77" s="489"/>
      <c r="N77" s="489"/>
      <c r="O77" s="489"/>
      <c r="P77" s="489"/>
      <c r="Q77" s="489"/>
      <c r="R77" s="489"/>
      <c r="S77" s="489"/>
      <c r="T77" s="489"/>
      <c r="U77" s="489"/>
      <c r="V77" s="489"/>
      <c r="W77" s="464"/>
      <c r="X77" s="464"/>
      <c r="Y77" s="464"/>
      <c r="Z77" s="464"/>
      <c r="AA77" s="464"/>
      <c r="AB77" s="464"/>
      <c r="AC77" s="464"/>
      <c r="AD77" s="482">
        <v>22467.200000000001</v>
      </c>
      <c r="AE77" s="464">
        <f t="shared" si="38"/>
        <v>22467.200000000001</v>
      </c>
      <c r="AF77" s="464"/>
      <c r="AG77" s="464"/>
      <c r="AH77" s="464"/>
      <c r="AI77" s="464"/>
      <c r="AJ77" s="464"/>
      <c r="AK77" s="464"/>
      <c r="AL77" s="464"/>
      <c r="AM77" s="464"/>
      <c r="AN77" s="464"/>
      <c r="AO77" s="464"/>
      <c r="AP77" s="464"/>
      <c r="AQ77" s="464"/>
      <c r="AR77" s="464"/>
      <c r="AS77" s="464"/>
      <c r="AT77" s="464"/>
      <c r="AU77" s="464"/>
      <c r="AV77" s="464"/>
      <c r="AW77" s="464"/>
      <c r="AX77" s="464"/>
      <c r="AY77" s="464"/>
      <c r="AZ77" s="464"/>
      <c r="BA77" s="464"/>
      <c r="BB77" s="464"/>
      <c r="BC77" s="464"/>
      <c r="BD77" s="464"/>
      <c r="BE77" s="464"/>
      <c r="BF77" s="464"/>
      <c r="BG77" s="464"/>
      <c r="BH77" s="464"/>
      <c r="BI77" s="464"/>
      <c r="BJ77" s="464"/>
      <c r="BK77" s="464"/>
      <c r="BL77" s="464"/>
      <c r="BM77" s="464"/>
      <c r="BN77" s="464"/>
      <c r="BO77" s="464"/>
      <c r="BP77" s="464"/>
      <c r="BQ77" s="464"/>
      <c r="BR77" s="464"/>
      <c r="BS77" s="464"/>
      <c r="BT77" s="464"/>
      <c r="BU77" s="464"/>
      <c r="BV77" s="464"/>
      <c r="BW77" s="464"/>
      <c r="BX77" s="464"/>
      <c r="BY77" s="464"/>
      <c r="BZ77" s="464"/>
      <c r="CA77" s="464"/>
      <c r="CB77" s="464"/>
      <c r="CC77" s="464"/>
      <c r="CD77" s="464"/>
      <c r="CE77" s="464"/>
      <c r="CF77" s="464"/>
      <c r="CG77" s="464"/>
      <c r="CH77" s="464"/>
      <c r="CI77" s="464"/>
      <c r="CJ77" s="464"/>
      <c r="CK77" s="464"/>
      <c r="CL77" s="464"/>
      <c r="CM77" s="464"/>
      <c r="CN77" s="464"/>
      <c r="CO77" s="464"/>
      <c r="CP77" s="464"/>
      <c r="CQ77" s="464"/>
      <c r="CR77" s="464">
        <v>20000</v>
      </c>
      <c r="CS77" s="464">
        <f t="shared" si="39"/>
        <v>20000</v>
      </c>
      <c r="CT77" s="464"/>
      <c r="CU77" s="464"/>
      <c r="CV77" s="464"/>
      <c r="CW77" s="464"/>
      <c r="CX77" s="464"/>
      <c r="CY77" s="464"/>
      <c r="CZ77" s="464"/>
      <c r="DA77" s="464"/>
      <c r="DB77" s="464"/>
      <c r="DC77" s="464"/>
      <c r="DD77" s="464"/>
      <c r="DE77" s="464"/>
      <c r="DF77" s="464"/>
      <c r="DG77" s="464"/>
      <c r="DH77" s="464"/>
      <c r="DI77" s="464"/>
      <c r="DJ77" s="464"/>
      <c r="DK77" s="464"/>
      <c r="DL77" s="464"/>
      <c r="DM77" s="464"/>
      <c r="DN77" s="464"/>
      <c r="DO77" s="464"/>
      <c r="DP77" s="464"/>
      <c r="DQ77" s="464"/>
      <c r="DR77" s="464"/>
      <c r="DS77" s="464"/>
      <c r="DT77" s="464"/>
      <c r="DU77" s="464"/>
      <c r="DV77" s="464"/>
      <c r="DW77" s="464"/>
      <c r="DX77" s="464"/>
      <c r="DY77" s="464"/>
      <c r="DZ77" s="464"/>
      <c r="EA77" s="464"/>
      <c r="EB77" s="464"/>
      <c r="EC77" s="464"/>
      <c r="ED77" s="464"/>
      <c r="EE77" s="464"/>
      <c r="EF77" s="464"/>
      <c r="EG77" s="464"/>
      <c r="EH77" s="464"/>
      <c r="EI77" s="464"/>
      <c r="EJ77" s="464"/>
      <c r="EK77" s="464"/>
      <c r="EL77" s="464"/>
      <c r="EM77" s="464"/>
      <c r="EN77" s="464"/>
      <c r="EO77" s="464"/>
      <c r="EP77" s="464"/>
      <c r="EQ77" s="464"/>
      <c r="ER77" s="464"/>
      <c r="ES77" s="464"/>
      <c r="ET77" s="464"/>
      <c r="EU77" s="464"/>
      <c r="EV77" s="464"/>
      <c r="EW77" s="464"/>
      <c r="EX77" s="464"/>
      <c r="EY77" s="464"/>
      <c r="EZ77" s="464"/>
      <c r="FA77" s="464"/>
      <c r="FB77" s="464"/>
      <c r="FC77" s="464"/>
      <c r="FD77" s="464"/>
      <c r="FE77" s="464"/>
      <c r="FF77" s="472">
        <f>MEDIAN(AD77,CR77)</f>
        <v>21233.599999999999</v>
      </c>
      <c r="FG77" s="472">
        <f>AVERAGE(AD77,CR77)</f>
        <v>21233.599999999999</v>
      </c>
      <c r="FH77" s="473">
        <f>STDEV(AD77,CR77)</f>
        <v>1744.5738505434506</v>
      </c>
      <c r="FI77" s="476">
        <f t="shared" si="12"/>
        <v>8.2161001928238775E-2</v>
      </c>
      <c r="FJ77" s="475">
        <f t="shared" si="13"/>
        <v>21234</v>
      </c>
      <c r="FK77" s="469">
        <f t="shared" si="18"/>
        <v>21234</v>
      </c>
      <c r="FL77" s="467" t="s">
        <v>621</v>
      </c>
      <c r="FM77" s="470"/>
    </row>
    <row r="78" spans="1:169" ht="32.5" customHeight="1" x14ac:dyDescent="0.35">
      <c r="A78" s="458">
        <v>74</v>
      </c>
      <c r="B78" s="488" t="s">
        <v>769</v>
      </c>
      <c r="C78" s="486" t="s">
        <v>770</v>
      </c>
      <c r="D78" s="487" t="s">
        <v>649</v>
      </c>
      <c r="E78" s="458">
        <v>1</v>
      </c>
      <c r="F78" s="482"/>
      <c r="G78" s="482"/>
      <c r="H78" s="482"/>
      <c r="I78" s="482"/>
      <c r="J78" s="482"/>
      <c r="K78" s="482"/>
      <c r="L78" s="489"/>
      <c r="M78" s="489"/>
      <c r="N78" s="489"/>
      <c r="O78" s="489"/>
      <c r="P78" s="489"/>
      <c r="Q78" s="489"/>
      <c r="R78" s="489"/>
      <c r="S78" s="489"/>
      <c r="T78" s="489"/>
      <c r="U78" s="489"/>
      <c r="V78" s="489"/>
      <c r="W78" s="464"/>
      <c r="X78" s="464"/>
      <c r="Y78" s="464"/>
      <c r="Z78" s="464"/>
      <c r="AA78" s="464"/>
      <c r="AB78" s="464"/>
      <c r="AC78" s="464"/>
      <c r="AD78" s="482">
        <v>11472.314</v>
      </c>
      <c r="AE78" s="464">
        <f>+AD78*E78</f>
        <v>11472.314</v>
      </c>
      <c r="AF78" s="464"/>
      <c r="AG78" s="464"/>
      <c r="AH78" s="464"/>
      <c r="AI78" s="464"/>
      <c r="AJ78" s="464"/>
      <c r="AK78" s="464"/>
      <c r="AL78" s="464"/>
      <c r="AM78" s="464"/>
      <c r="AN78" s="464"/>
      <c r="AO78" s="464"/>
      <c r="AP78" s="464"/>
      <c r="AQ78" s="464"/>
      <c r="AR78" s="464"/>
      <c r="AS78" s="464"/>
      <c r="AT78" s="464"/>
      <c r="AU78" s="464"/>
      <c r="AV78" s="464"/>
      <c r="AW78" s="464"/>
      <c r="AX78" s="464"/>
      <c r="AY78" s="464"/>
      <c r="AZ78" s="464"/>
      <c r="BA78" s="464"/>
      <c r="BB78" s="464"/>
      <c r="BC78" s="464"/>
      <c r="BD78" s="464"/>
      <c r="BE78" s="464"/>
      <c r="BF78" s="464"/>
      <c r="BG78" s="464"/>
      <c r="BH78" s="464"/>
      <c r="BI78" s="464"/>
      <c r="BJ78" s="464"/>
      <c r="BK78" s="464"/>
      <c r="BL78" s="464"/>
      <c r="BM78" s="464"/>
      <c r="BN78" s="464"/>
      <c r="BO78" s="464"/>
      <c r="BP78" s="464"/>
      <c r="BQ78" s="464"/>
      <c r="BR78" s="464"/>
      <c r="BS78" s="464"/>
      <c r="BT78" s="464"/>
      <c r="BU78" s="464"/>
      <c r="BV78" s="464"/>
      <c r="BW78" s="464"/>
      <c r="BX78" s="464"/>
      <c r="BY78" s="464"/>
      <c r="BZ78" s="464"/>
      <c r="CA78" s="464"/>
      <c r="CB78" s="464"/>
      <c r="CC78" s="464"/>
      <c r="CD78" s="464"/>
      <c r="CE78" s="464"/>
      <c r="CF78" s="464"/>
      <c r="CG78" s="464"/>
      <c r="CH78" s="464"/>
      <c r="CI78" s="464"/>
      <c r="CJ78" s="464"/>
      <c r="CK78" s="464"/>
      <c r="CL78" s="464"/>
      <c r="CM78" s="464"/>
      <c r="CN78" s="464"/>
      <c r="CO78" s="464"/>
      <c r="CP78" s="464"/>
      <c r="CQ78" s="464"/>
      <c r="CR78" s="464">
        <v>12348</v>
      </c>
      <c r="CS78" s="464">
        <f t="shared" si="39"/>
        <v>12348</v>
      </c>
      <c r="CT78" s="464"/>
      <c r="CU78" s="464"/>
      <c r="CV78" s="464"/>
      <c r="CW78" s="464"/>
      <c r="CX78" s="464"/>
      <c r="CY78" s="464"/>
      <c r="CZ78" s="464"/>
      <c r="DA78" s="464"/>
      <c r="DB78" s="464"/>
      <c r="DC78" s="464"/>
      <c r="DD78" s="464"/>
      <c r="DE78" s="464"/>
      <c r="DF78" s="464"/>
      <c r="DG78" s="464"/>
      <c r="DH78" s="464"/>
      <c r="DI78" s="464"/>
      <c r="DJ78" s="464"/>
      <c r="DK78" s="464"/>
      <c r="DL78" s="464"/>
      <c r="DM78" s="464"/>
      <c r="DN78" s="464"/>
      <c r="DO78" s="464"/>
      <c r="DP78" s="464"/>
      <c r="DQ78" s="464"/>
      <c r="DR78" s="464"/>
      <c r="DS78" s="464"/>
      <c r="DT78" s="464"/>
      <c r="DU78" s="464"/>
      <c r="DV78" s="464"/>
      <c r="DW78" s="464"/>
      <c r="DX78" s="464"/>
      <c r="DY78" s="464"/>
      <c r="DZ78" s="464"/>
      <c r="EA78" s="464"/>
      <c r="EB78" s="464"/>
      <c r="EC78" s="464"/>
      <c r="ED78" s="464"/>
      <c r="EE78" s="464"/>
      <c r="EF78" s="464"/>
      <c r="EG78" s="464"/>
      <c r="EH78" s="464"/>
      <c r="EI78" s="464"/>
      <c r="EJ78" s="464"/>
      <c r="EK78" s="464"/>
      <c r="EL78" s="464"/>
      <c r="EM78" s="464"/>
      <c r="EN78" s="464"/>
      <c r="EO78" s="464"/>
      <c r="EP78" s="464"/>
      <c r="EQ78" s="464"/>
      <c r="ER78" s="464"/>
      <c r="ES78" s="464"/>
      <c r="ET78" s="464"/>
      <c r="EU78" s="464"/>
      <c r="EV78" s="464"/>
      <c r="EW78" s="464"/>
      <c r="EX78" s="464"/>
      <c r="EY78" s="464"/>
      <c r="EZ78" s="464"/>
      <c r="FA78" s="464"/>
      <c r="FB78" s="464"/>
      <c r="FC78" s="464"/>
      <c r="FD78" s="464"/>
      <c r="FE78" s="464"/>
      <c r="FF78" s="472">
        <f>MEDIAN(AD78,CR78)</f>
        <v>11910.156999999999</v>
      </c>
      <c r="FG78" s="472">
        <f>AVERAGE(AD78,CR78)</f>
        <v>11910.156999999999</v>
      </c>
      <c r="FH78" s="473">
        <f>STDEV(AD78,CR78)</f>
        <v>619.20350879012278</v>
      </c>
      <c r="FI78" s="476">
        <f t="shared" si="12"/>
        <v>5.1989533705569357E-2</v>
      </c>
      <c r="FJ78" s="475">
        <f t="shared" si="13"/>
        <v>11911</v>
      </c>
      <c r="FK78" s="469">
        <f t="shared" si="18"/>
        <v>11911</v>
      </c>
      <c r="FL78" s="467" t="s">
        <v>621</v>
      </c>
      <c r="FM78" s="470"/>
    </row>
    <row r="79" spans="1:169" ht="32.5" customHeight="1" x14ac:dyDescent="0.35">
      <c r="A79" s="458">
        <v>75</v>
      </c>
      <c r="B79" s="485" t="s">
        <v>771</v>
      </c>
      <c r="C79" s="486" t="s">
        <v>772</v>
      </c>
      <c r="D79" s="487" t="s">
        <v>620</v>
      </c>
      <c r="E79" s="458">
        <v>1</v>
      </c>
      <c r="F79" s="482"/>
      <c r="G79" s="482"/>
      <c r="H79" s="482"/>
      <c r="I79" s="482"/>
      <c r="J79" s="482"/>
      <c r="K79" s="482"/>
      <c r="L79" s="489"/>
      <c r="M79" s="489"/>
      <c r="N79" s="489"/>
      <c r="O79" s="489"/>
      <c r="P79" s="489"/>
      <c r="Q79" s="489"/>
      <c r="R79" s="489"/>
      <c r="S79" s="489"/>
      <c r="T79" s="489"/>
      <c r="U79" s="489"/>
      <c r="V79" s="489"/>
      <c r="W79" s="464"/>
      <c r="X79" s="464"/>
      <c r="Y79" s="464"/>
      <c r="Z79" s="464"/>
      <c r="AA79" s="464"/>
      <c r="AB79" s="464"/>
      <c r="AC79" s="464"/>
      <c r="AD79" s="482">
        <v>9408.14</v>
      </c>
      <c r="AE79" s="464">
        <f t="shared" ref="AE79:AE82" si="40">+AD79*E79</f>
        <v>9408.14</v>
      </c>
      <c r="AF79" s="464"/>
      <c r="AG79" s="464"/>
      <c r="AH79" s="464"/>
      <c r="AI79" s="464"/>
      <c r="AJ79" s="464"/>
      <c r="AK79" s="464"/>
      <c r="AL79" s="464"/>
      <c r="AM79" s="464"/>
      <c r="AN79" s="464"/>
      <c r="AO79" s="464"/>
      <c r="AP79" s="464"/>
      <c r="AQ79" s="464"/>
      <c r="AR79" s="464"/>
      <c r="AS79" s="464"/>
      <c r="AT79" s="464"/>
      <c r="AU79" s="464"/>
      <c r="AV79" s="464"/>
      <c r="AW79" s="464"/>
      <c r="AX79" s="464"/>
      <c r="AY79" s="464"/>
      <c r="AZ79" s="464"/>
      <c r="BA79" s="464"/>
      <c r="BB79" s="464"/>
      <c r="BC79" s="464"/>
      <c r="BD79" s="464"/>
      <c r="BE79" s="464"/>
      <c r="BF79" s="464"/>
      <c r="BG79" s="464"/>
      <c r="BH79" s="464"/>
      <c r="BI79" s="464"/>
      <c r="BJ79" s="464"/>
      <c r="BK79" s="464"/>
      <c r="BL79" s="464"/>
      <c r="BM79" s="464"/>
      <c r="BN79" s="464"/>
      <c r="BO79" s="464"/>
      <c r="BP79" s="464"/>
      <c r="BQ79" s="464"/>
      <c r="BR79" s="464"/>
      <c r="BS79" s="464"/>
      <c r="BT79" s="464"/>
      <c r="BU79" s="464"/>
      <c r="BV79" s="464"/>
      <c r="BW79" s="464"/>
      <c r="BX79" s="464"/>
      <c r="BY79" s="464"/>
      <c r="BZ79" s="464"/>
      <c r="CA79" s="464"/>
      <c r="CB79" s="464"/>
      <c r="CC79" s="464"/>
      <c r="CD79" s="464"/>
      <c r="CE79" s="464"/>
      <c r="CF79" s="464"/>
      <c r="CG79" s="464"/>
      <c r="CH79" s="464"/>
      <c r="CI79" s="464"/>
      <c r="CJ79" s="464"/>
      <c r="CK79" s="464"/>
      <c r="CL79" s="464"/>
      <c r="CM79" s="464"/>
      <c r="CN79" s="464"/>
      <c r="CO79" s="464"/>
      <c r="CP79" s="464"/>
      <c r="CQ79" s="464"/>
      <c r="CR79" s="464"/>
      <c r="CS79" s="464">
        <f t="shared" si="39"/>
        <v>0</v>
      </c>
      <c r="CT79" s="489">
        <v>4202</v>
      </c>
      <c r="CU79" s="489">
        <v>3200</v>
      </c>
      <c r="CV79" s="489">
        <v>3415</v>
      </c>
      <c r="CW79" s="464">
        <f>+CV79*E79</f>
        <v>3415</v>
      </c>
      <c r="CX79" s="464"/>
      <c r="CY79" s="464"/>
      <c r="CZ79" s="464"/>
      <c r="DA79" s="464"/>
      <c r="DB79" s="464"/>
      <c r="DC79" s="464"/>
      <c r="DD79" s="464"/>
      <c r="DE79" s="464"/>
      <c r="DF79" s="464"/>
      <c r="DG79" s="464"/>
      <c r="DH79" s="464"/>
      <c r="DI79" s="464"/>
      <c r="DJ79" s="464"/>
      <c r="DK79" s="464"/>
      <c r="DL79" s="464"/>
      <c r="DM79" s="464"/>
      <c r="DN79" s="464"/>
      <c r="DO79" s="464"/>
      <c r="DP79" s="464"/>
      <c r="DQ79" s="464"/>
      <c r="DR79" s="464"/>
      <c r="DS79" s="464"/>
      <c r="DT79" s="464"/>
      <c r="DU79" s="464"/>
      <c r="DV79" s="464"/>
      <c r="DW79" s="464"/>
      <c r="DX79" s="464"/>
      <c r="DY79" s="464"/>
      <c r="DZ79" s="464"/>
      <c r="EA79" s="464"/>
      <c r="EB79" s="464"/>
      <c r="EC79" s="464"/>
      <c r="ED79" s="464"/>
      <c r="EE79" s="464"/>
      <c r="EF79" s="464"/>
      <c r="EG79" s="464"/>
      <c r="EH79" s="464"/>
      <c r="EI79" s="464"/>
      <c r="EJ79" s="464"/>
      <c r="EK79" s="464"/>
      <c r="EL79" s="464"/>
      <c r="EM79" s="464"/>
      <c r="EN79" s="464"/>
      <c r="EO79" s="464"/>
      <c r="EP79" s="464"/>
      <c r="EQ79" s="464"/>
      <c r="ER79" s="464"/>
      <c r="ES79" s="464"/>
      <c r="ET79" s="464"/>
      <c r="EU79" s="464"/>
      <c r="EV79" s="464"/>
      <c r="EW79" s="464"/>
      <c r="EX79" s="464"/>
      <c r="EY79" s="464"/>
      <c r="EZ79" s="464"/>
      <c r="FA79" s="464"/>
      <c r="FB79" s="464"/>
      <c r="FC79" s="464"/>
      <c r="FD79" s="464"/>
      <c r="FE79" s="464"/>
      <c r="FF79" s="472">
        <f>MEDIAN(CT79,CU79,CV79)</f>
        <v>3415</v>
      </c>
      <c r="FG79" s="472">
        <f>AVERAGE(CT79,CU79,CV79)</f>
        <v>3605.6666666666665</v>
      </c>
      <c r="FH79" s="473">
        <f>STDEV(CT79,CU79,CV79)</f>
        <v>527.50955757534109</v>
      </c>
      <c r="FI79" s="476">
        <f t="shared" si="12"/>
        <v>0.14630014539391914</v>
      </c>
      <c r="FJ79" s="475">
        <f t="shared" si="13"/>
        <v>3606</v>
      </c>
      <c r="FK79" s="469">
        <f t="shared" si="18"/>
        <v>3606</v>
      </c>
      <c r="FL79" s="467" t="s">
        <v>621</v>
      </c>
      <c r="FM79" s="470"/>
    </row>
    <row r="80" spans="1:169" ht="32.5" customHeight="1" x14ac:dyDescent="0.35">
      <c r="A80" s="458">
        <v>76</v>
      </c>
      <c r="B80" s="485" t="s">
        <v>773</v>
      </c>
      <c r="C80" s="486" t="s">
        <v>774</v>
      </c>
      <c r="D80" s="487" t="s">
        <v>649</v>
      </c>
      <c r="E80" s="458">
        <v>1</v>
      </c>
      <c r="F80" s="482"/>
      <c r="G80" s="482"/>
      <c r="H80" s="482"/>
      <c r="I80" s="482"/>
      <c r="J80" s="482"/>
      <c r="K80" s="482"/>
      <c r="L80" s="489">
        <v>7500</v>
      </c>
      <c r="M80" s="489">
        <f>+L80*E80</f>
        <v>7500</v>
      </c>
      <c r="N80" s="489"/>
      <c r="O80" s="489"/>
      <c r="P80" s="489"/>
      <c r="Q80" s="489"/>
      <c r="R80" s="489"/>
      <c r="S80" s="489"/>
      <c r="T80" s="489"/>
      <c r="U80" s="489"/>
      <c r="V80" s="489"/>
      <c r="W80" s="464"/>
      <c r="X80" s="464"/>
      <c r="Y80" s="464"/>
      <c r="Z80" s="464"/>
      <c r="AA80" s="464"/>
      <c r="AB80" s="464"/>
      <c r="AC80" s="464"/>
      <c r="AD80" s="482">
        <v>9688.98</v>
      </c>
      <c r="AE80" s="464">
        <f t="shared" si="40"/>
        <v>9688.98</v>
      </c>
      <c r="AF80" s="464"/>
      <c r="AG80" s="464"/>
      <c r="AH80" s="464"/>
      <c r="AI80" s="464"/>
      <c r="AJ80" s="464"/>
      <c r="AK80" s="464"/>
      <c r="AL80" s="464"/>
      <c r="AM80" s="464"/>
      <c r="AN80" s="464"/>
      <c r="AO80" s="464"/>
      <c r="AP80" s="464"/>
      <c r="AQ80" s="464"/>
      <c r="AR80" s="464"/>
      <c r="AS80" s="464"/>
      <c r="AT80" s="464"/>
      <c r="AU80" s="464"/>
      <c r="AV80" s="464"/>
      <c r="AW80" s="464"/>
      <c r="AX80" s="464"/>
      <c r="AY80" s="464"/>
      <c r="AZ80" s="464"/>
      <c r="BA80" s="464"/>
      <c r="BB80" s="464"/>
      <c r="BC80" s="464"/>
      <c r="BD80" s="464"/>
      <c r="BE80" s="464"/>
      <c r="BF80" s="464"/>
      <c r="BG80" s="464"/>
      <c r="BH80" s="464"/>
      <c r="BI80" s="464"/>
      <c r="BJ80" s="464"/>
      <c r="BK80" s="464"/>
      <c r="BL80" s="464"/>
      <c r="BM80" s="464"/>
      <c r="BN80" s="464"/>
      <c r="BO80" s="464"/>
      <c r="BP80" s="464"/>
      <c r="BQ80" s="464"/>
      <c r="BR80" s="464"/>
      <c r="BS80" s="464"/>
      <c r="BT80" s="464"/>
      <c r="BU80" s="464"/>
      <c r="BV80" s="464"/>
      <c r="BW80" s="464"/>
      <c r="BX80" s="464"/>
      <c r="BY80" s="464"/>
      <c r="BZ80" s="464"/>
      <c r="CA80" s="464"/>
      <c r="CB80" s="464"/>
      <c r="CC80" s="464"/>
      <c r="CD80" s="464"/>
      <c r="CE80" s="464"/>
      <c r="CF80" s="464"/>
      <c r="CG80" s="464"/>
      <c r="CH80" s="464"/>
      <c r="CI80" s="464"/>
      <c r="CJ80" s="464"/>
      <c r="CK80" s="464"/>
      <c r="CL80" s="464"/>
      <c r="CM80" s="464"/>
      <c r="CN80" s="464"/>
      <c r="CO80" s="464"/>
      <c r="CP80" s="464"/>
      <c r="CQ80" s="464"/>
      <c r="CR80" s="464"/>
      <c r="CS80" s="464">
        <f t="shared" si="39"/>
        <v>0</v>
      </c>
      <c r="CT80" s="464"/>
      <c r="CU80" s="464"/>
      <c r="CV80" s="464"/>
      <c r="CW80" s="464"/>
      <c r="CX80" s="464"/>
      <c r="CY80" s="464"/>
      <c r="CZ80" s="464"/>
      <c r="DA80" s="464"/>
      <c r="DB80" s="464"/>
      <c r="DC80" s="464"/>
      <c r="DD80" s="464"/>
      <c r="DE80" s="464"/>
      <c r="DF80" s="464"/>
      <c r="DG80" s="464"/>
      <c r="DH80" s="464"/>
      <c r="DI80" s="464"/>
      <c r="DJ80" s="464"/>
      <c r="DK80" s="464"/>
      <c r="DL80" s="464"/>
      <c r="DM80" s="464"/>
      <c r="DN80" s="464"/>
      <c r="DO80" s="464"/>
      <c r="DP80" s="464"/>
      <c r="DQ80" s="464"/>
      <c r="DR80" s="464"/>
      <c r="DS80" s="464"/>
      <c r="DT80" s="464"/>
      <c r="DU80" s="464"/>
      <c r="DV80" s="464"/>
      <c r="DW80" s="464"/>
      <c r="DX80" s="464"/>
      <c r="DY80" s="464"/>
      <c r="DZ80" s="464"/>
      <c r="EA80" s="464"/>
      <c r="EB80" s="464"/>
      <c r="EC80" s="464"/>
      <c r="ED80" s="464"/>
      <c r="EE80" s="464"/>
      <c r="EF80" s="464"/>
      <c r="EG80" s="464"/>
      <c r="EH80" s="464"/>
      <c r="EI80" s="464"/>
      <c r="EJ80" s="464"/>
      <c r="EK80" s="464"/>
      <c r="EL80" s="464"/>
      <c r="EM80" s="464"/>
      <c r="EN80" s="464"/>
      <c r="EO80" s="464"/>
      <c r="EP80" s="464"/>
      <c r="EQ80" s="464"/>
      <c r="ER80" s="464"/>
      <c r="ES80" s="464"/>
      <c r="ET80" s="464"/>
      <c r="EU80" s="464"/>
      <c r="EV80" s="464"/>
      <c r="EW80" s="464"/>
      <c r="EX80" s="464"/>
      <c r="EY80" s="464"/>
      <c r="EZ80" s="464"/>
      <c r="FA80" s="464"/>
      <c r="FB80" s="464"/>
      <c r="FC80" s="464"/>
      <c r="FD80" s="464"/>
      <c r="FE80" s="464"/>
      <c r="FF80" s="472">
        <f>MEDIAN(L80,AD80)</f>
        <v>8594.49</v>
      </c>
      <c r="FG80" s="472">
        <f>AVERAGE(L80,AD80)</f>
        <v>8594.49</v>
      </c>
      <c r="FH80" s="473">
        <f>STDEV(L80,AD80)</f>
        <v>1547.8426018817295</v>
      </c>
      <c r="FI80" s="476">
        <f t="shared" si="12"/>
        <v>0.1800970856771873</v>
      </c>
      <c r="FJ80" s="475">
        <f t="shared" si="13"/>
        <v>8595</v>
      </c>
      <c r="FK80" s="469">
        <f t="shared" si="18"/>
        <v>8595</v>
      </c>
      <c r="FL80" s="467" t="s">
        <v>632</v>
      </c>
      <c r="FM80" s="470"/>
    </row>
    <row r="81" spans="1:169" ht="32.5" customHeight="1" x14ac:dyDescent="0.35">
      <c r="A81" s="458">
        <v>77</v>
      </c>
      <c r="B81" s="485" t="s">
        <v>775</v>
      </c>
      <c r="C81" s="486" t="s">
        <v>776</v>
      </c>
      <c r="D81" s="487" t="s">
        <v>649</v>
      </c>
      <c r="E81" s="458">
        <v>1</v>
      </c>
      <c r="F81" s="482"/>
      <c r="G81" s="482"/>
      <c r="H81" s="482"/>
      <c r="I81" s="482"/>
      <c r="J81" s="482"/>
      <c r="K81" s="482"/>
      <c r="L81" s="489"/>
      <c r="M81" s="489">
        <f t="shared" ref="M81:M90" si="41">+L81*E81</f>
        <v>0</v>
      </c>
      <c r="N81" s="489"/>
      <c r="O81" s="489"/>
      <c r="P81" s="489"/>
      <c r="Q81" s="489"/>
      <c r="R81" s="489"/>
      <c r="S81" s="489"/>
      <c r="T81" s="489"/>
      <c r="U81" s="489"/>
      <c r="V81" s="489"/>
      <c r="W81" s="464"/>
      <c r="X81" s="464"/>
      <c r="Y81" s="464"/>
      <c r="Z81" s="464"/>
      <c r="AA81" s="464"/>
      <c r="AB81" s="464"/>
      <c r="AC81" s="464"/>
      <c r="AD81" s="482">
        <v>14298.968599999998</v>
      </c>
      <c r="AE81" s="464">
        <f t="shared" si="40"/>
        <v>14298.968599999998</v>
      </c>
      <c r="AF81" s="464"/>
      <c r="AG81" s="464"/>
      <c r="AH81" s="464"/>
      <c r="AI81" s="464"/>
      <c r="AJ81" s="464"/>
      <c r="AK81" s="464"/>
      <c r="AL81" s="464"/>
      <c r="AM81" s="464"/>
      <c r="AN81" s="464"/>
      <c r="AO81" s="464"/>
      <c r="AP81" s="464"/>
      <c r="AQ81" s="464"/>
      <c r="AR81" s="464"/>
      <c r="AS81" s="464"/>
      <c r="AT81" s="464"/>
      <c r="AU81" s="464"/>
      <c r="AV81" s="464"/>
      <c r="AW81" s="464"/>
      <c r="AX81" s="464"/>
      <c r="AY81" s="464"/>
      <c r="AZ81" s="464"/>
      <c r="BA81" s="464"/>
      <c r="BB81" s="464"/>
      <c r="BC81" s="464"/>
      <c r="BD81" s="464"/>
      <c r="BE81" s="464"/>
      <c r="BF81" s="464"/>
      <c r="BG81" s="464"/>
      <c r="BH81" s="464"/>
      <c r="BI81" s="464"/>
      <c r="BJ81" s="464"/>
      <c r="BK81" s="464"/>
      <c r="BL81" s="464"/>
      <c r="BM81" s="464"/>
      <c r="BN81" s="464"/>
      <c r="BO81" s="464"/>
      <c r="BP81" s="464"/>
      <c r="BQ81" s="464"/>
      <c r="BR81" s="464"/>
      <c r="BS81" s="464"/>
      <c r="BT81" s="464"/>
      <c r="BU81" s="464"/>
      <c r="BV81" s="464"/>
      <c r="BW81" s="464"/>
      <c r="BX81" s="464"/>
      <c r="BY81" s="464"/>
      <c r="BZ81" s="464"/>
      <c r="CA81" s="464"/>
      <c r="CB81" s="464"/>
      <c r="CC81" s="464"/>
      <c r="CD81" s="464"/>
      <c r="CE81" s="464"/>
      <c r="CF81" s="464"/>
      <c r="CG81" s="464"/>
      <c r="CH81" s="464"/>
      <c r="CI81" s="464"/>
      <c r="CJ81" s="464"/>
      <c r="CK81" s="464"/>
      <c r="CL81" s="464"/>
      <c r="CM81" s="464"/>
      <c r="CN81" s="464"/>
      <c r="CO81" s="464"/>
      <c r="CP81" s="464"/>
      <c r="CQ81" s="464"/>
      <c r="CR81" s="464">
        <v>19278</v>
      </c>
      <c r="CS81" s="464">
        <f t="shared" si="39"/>
        <v>19278</v>
      </c>
      <c r="CT81" s="464"/>
      <c r="CU81" s="464"/>
      <c r="CV81" s="464"/>
      <c r="CW81" s="464"/>
      <c r="CX81" s="464"/>
      <c r="CY81" s="464"/>
      <c r="CZ81" s="464"/>
      <c r="DA81" s="464"/>
      <c r="DB81" s="464"/>
      <c r="DC81" s="464"/>
      <c r="DD81" s="464"/>
      <c r="DE81" s="464"/>
      <c r="DF81" s="464"/>
      <c r="DG81" s="464"/>
      <c r="DH81" s="464"/>
      <c r="DI81" s="464"/>
      <c r="DJ81" s="464"/>
      <c r="DK81" s="464"/>
      <c r="DL81" s="464"/>
      <c r="DM81" s="464"/>
      <c r="DN81" s="464"/>
      <c r="DO81" s="464"/>
      <c r="DP81" s="464"/>
      <c r="DQ81" s="464"/>
      <c r="DR81" s="464"/>
      <c r="DS81" s="464"/>
      <c r="DT81" s="464"/>
      <c r="DU81" s="464"/>
      <c r="DV81" s="464"/>
      <c r="DW81" s="464"/>
      <c r="DX81" s="464"/>
      <c r="DY81" s="464"/>
      <c r="DZ81" s="464"/>
      <c r="EA81" s="464"/>
      <c r="EB81" s="464"/>
      <c r="EC81" s="464"/>
      <c r="ED81" s="464"/>
      <c r="EE81" s="464"/>
      <c r="EF81" s="464"/>
      <c r="EG81" s="464"/>
      <c r="EH81" s="464"/>
      <c r="EI81" s="464"/>
      <c r="EJ81" s="464"/>
      <c r="EK81" s="464"/>
      <c r="EL81" s="464"/>
      <c r="EM81" s="464"/>
      <c r="EN81" s="464"/>
      <c r="EO81" s="464"/>
      <c r="EP81" s="464"/>
      <c r="EQ81" s="464"/>
      <c r="ER81" s="464"/>
      <c r="ES81" s="464"/>
      <c r="ET81" s="464"/>
      <c r="EU81" s="464"/>
      <c r="EV81" s="464"/>
      <c r="EW81" s="464"/>
      <c r="EX81" s="464"/>
      <c r="EY81" s="464"/>
      <c r="EZ81" s="464"/>
      <c r="FA81" s="464"/>
      <c r="FB81" s="464"/>
      <c r="FC81" s="464"/>
      <c r="FD81" s="464"/>
      <c r="FE81" s="464"/>
      <c r="FF81" s="472">
        <f>MEDIAN(AD81,CR81)</f>
        <v>16788.4843</v>
      </c>
      <c r="FG81" s="472">
        <f>AVERAGE(AD81,CR81)</f>
        <v>16788.4843</v>
      </c>
      <c r="FH81" s="473">
        <f>STDEV(AD81,CR81)</f>
        <v>3520.7068666807445</v>
      </c>
      <c r="FI81" s="476">
        <f t="shared" si="12"/>
        <v>0.20970963213640104</v>
      </c>
      <c r="FJ81" s="475">
        <f t="shared" si="13"/>
        <v>16789</v>
      </c>
      <c r="FK81" s="469">
        <f t="shared" si="18"/>
        <v>16789</v>
      </c>
      <c r="FL81" s="467" t="s">
        <v>632</v>
      </c>
      <c r="FM81" s="470"/>
    </row>
    <row r="82" spans="1:169" ht="32.5" customHeight="1" x14ac:dyDescent="0.35">
      <c r="A82" s="458">
        <v>78</v>
      </c>
      <c r="B82" s="485" t="s">
        <v>777</v>
      </c>
      <c r="C82" s="486" t="s">
        <v>778</v>
      </c>
      <c r="D82" s="487" t="s">
        <v>620</v>
      </c>
      <c r="E82" s="458">
        <v>1</v>
      </c>
      <c r="F82" s="482"/>
      <c r="G82" s="482"/>
      <c r="H82" s="482"/>
      <c r="I82" s="482"/>
      <c r="J82" s="482"/>
      <c r="K82" s="482"/>
      <c r="L82" s="489">
        <v>45000</v>
      </c>
      <c r="M82" s="489">
        <f t="shared" si="41"/>
        <v>45000</v>
      </c>
      <c r="N82" s="489"/>
      <c r="O82" s="489"/>
      <c r="P82" s="489"/>
      <c r="Q82" s="489"/>
      <c r="R82" s="489"/>
      <c r="S82" s="489"/>
      <c r="T82" s="489"/>
      <c r="U82" s="489"/>
      <c r="V82" s="489"/>
      <c r="W82" s="464"/>
      <c r="X82" s="464"/>
      <c r="Y82" s="464"/>
      <c r="Z82" s="464"/>
      <c r="AA82" s="464"/>
      <c r="AB82" s="464"/>
      <c r="AC82" s="464"/>
      <c r="AD82" s="482">
        <v>41985.58</v>
      </c>
      <c r="AE82" s="464">
        <f t="shared" si="40"/>
        <v>41985.58</v>
      </c>
      <c r="AF82" s="464"/>
      <c r="AG82" s="464"/>
      <c r="AH82" s="464"/>
      <c r="AI82" s="464"/>
      <c r="AJ82" s="464"/>
      <c r="AK82" s="464"/>
      <c r="AL82" s="464"/>
      <c r="AM82" s="464"/>
      <c r="AN82" s="464"/>
      <c r="AO82" s="464"/>
      <c r="AP82" s="464"/>
      <c r="AQ82" s="464"/>
      <c r="AR82" s="464"/>
      <c r="AS82" s="464"/>
      <c r="AT82" s="464"/>
      <c r="AU82" s="464"/>
      <c r="AV82" s="464"/>
      <c r="AW82" s="464"/>
      <c r="AX82" s="464"/>
      <c r="AY82" s="464"/>
      <c r="AZ82" s="464"/>
      <c r="BA82" s="464"/>
      <c r="BB82" s="464"/>
      <c r="BC82" s="464"/>
      <c r="BD82" s="464"/>
      <c r="BE82" s="464"/>
      <c r="BF82" s="464"/>
      <c r="BG82" s="464"/>
      <c r="BH82" s="464"/>
      <c r="BI82" s="464"/>
      <c r="BJ82" s="464"/>
      <c r="BK82" s="464"/>
      <c r="BL82" s="464"/>
      <c r="BM82" s="464"/>
      <c r="BN82" s="464"/>
      <c r="BO82" s="464"/>
      <c r="BP82" s="464"/>
      <c r="BQ82" s="464"/>
      <c r="BR82" s="464"/>
      <c r="BS82" s="464"/>
      <c r="BT82" s="464"/>
      <c r="BU82" s="464"/>
      <c r="BV82" s="464"/>
      <c r="BW82" s="464"/>
      <c r="BX82" s="464"/>
      <c r="BY82" s="464"/>
      <c r="BZ82" s="464"/>
      <c r="CA82" s="464"/>
      <c r="CB82" s="464"/>
      <c r="CC82" s="464"/>
      <c r="CD82" s="464"/>
      <c r="CE82" s="464"/>
      <c r="CF82" s="464"/>
      <c r="CG82" s="464"/>
      <c r="CH82" s="464"/>
      <c r="CI82" s="464"/>
      <c r="CJ82" s="464"/>
      <c r="CK82" s="464"/>
      <c r="CL82" s="464"/>
      <c r="CM82" s="464"/>
      <c r="CN82" s="464"/>
      <c r="CO82" s="464"/>
      <c r="CP82" s="464"/>
      <c r="CQ82" s="464"/>
      <c r="CR82" s="464"/>
      <c r="CS82" s="464"/>
      <c r="CT82" s="464"/>
      <c r="CU82" s="464"/>
      <c r="CV82" s="464"/>
      <c r="CW82" s="464"/>
      <c r="CX82" s="464"/>
      <c r="CY82" s="464"/>
      <c r="CZ82" s="464"/>
      <c r="DA82" s="464"/>
      <c r="DB82" s="464"/>
      <c r="DC82" s="464"/>
      <c r="DD82" s="464"/>
      <c r="DE82" s="464"/>
      <c r="DF82" s="464"/>
      <c r="DG82" s="464"/>
      <c r="DH82" s="464"/>
      <c r="DI82" s="464"/>
      <c r="DJ82" s="464"/>
      <c r="DK82" s="464"/>
      <c r="DL82" s="464"/>
      <c r="DM82" s="464"/>
      <c r="DN82" s="464"/>
      <c r="DO82" s="464"/>
      <c r="DP82" s="464"/>
      <c r="DQ82" s="464"/>
      <c r="DR82" s="464"/>
      <c r="DS82" s="464"/>
      <c r="DT82" s="464"/>
      <c r="DU82" s="464"/>
      <c r="DV82" s="464"/>
      <c r="DW82" s="464"/>
      <c r="DX82" s="464"/>
      <c r="DY82" s="464"/>
      <c r="DZ82" s="464"/>
      <c r="EA82" s="464"/>
      <c r="EB82" s="464"/>
      <c r="EC82" s="464"/>
      <c r="ED82" s="464"/>
      <c r="EE82" s="464"/>
      <c r="EF82" s="464"/>
      <c r="EG82" s="464"/>
      <c r="EH82" s="464"/>
      <c r="EI82" s="464"/>
      <c r="EJ82" s="464"/>
      <c r="EK82" s="464"/>
      <c r="EL82" s="464"/>
      <c r="EM82" s="464"/>
      <c r="EN82" s="464"/>
      <c r="EO82" s="464"/>
      <c r="EP82" s="464"/>
      <c r="EQ82" s="464"/>
      <c r="ER82" s="464"/>
      <c r="ES82" s="464"/>
      <c r="ET82" s="464"/>
      <c r="EU82" s="464"/>
      <c r="EV82" s="464"/>
      <c r="EW82" s="464"/>
      <c r="EX82" s="464"/>
      <c r="EY82" s="464"/>
      <c r="EZ82" s="464"/>
      <c r="FA82" s="464"/>
      <c r="FB82" s="464"/>
      <c r="FC82" s="464"/>
      <c r="FD82" s="464"/>
      <c r="FE82" s="464"/>
      <c r="FF82" s="472">
        <f>MEDIAN(L82,AD82)</f>
        <v>43492.79</v>
      </c>
      <c r="FG82" s="472">
        <f>AVERAGE(AD82,L82)</f>
        <v>43492.79</v>
      </c>
      <c r="FH82" s="473">
        <f>STDEV(L82,AD82)</f>
        <v>2131.5168233443515</v>
      </c>
      <c r="FI82" s="476">
        <f t="shared" si="12"/>
        <v>4.9008509763212513E-2</v>
      </c>
      <c r="FJ82" s="475">
        <f t="shared" si="13"/>
        <v>43493</v>
      </c>
      <c r="FK82" s="469">
        <f t="shared" si="18"/>
        <v>43493</v>
      </c>
      <c r="FL82" s="467" t="s">
        <v>621</v>
      </c>
      <c r="FM82" s="470"/>
    </row>
    <row r="83" spans="1:169" ht="32.5" customHeight="1" x14ac:dyDescent="0.35">
      <c r="A83" s="458">
        <v>79</v>
      </c>
      <c r="B83" s="485" t="s">
        <v>779</v>
      </c>
      <c r="C83" s="486" t="s">
        <v>780</v>
      </c>
      <c r="D83" s="487" t="s">
        <v>620</v>
      </c>
      <c r="E83" s="458">
        <v>1</v>
      </c>
      <c r="F83" s="482"/>
      <c r="G83" s="482"/>
      <c r="H83" s="482"/>
      <c r="I83" s="482"/>
      <c r="J83" s="482"/>
      <c r="K83" s="482"/>
      <c r="L83" s="489"/>
      <c r="M83" s="489">
        <f t="shared" si="41"/>
        <v>0</v>
      </c>
      <c r="N83" s="489"/>
      <c r="O83" s="489"/>
      <c r="P83" s="489"/>
      <c r="Q83" s="489"/>
      <c r="R83" s="489"/>
      <c r="S83" s="489"/>
      <c r="T83" s="489"/>
      <c r="U83" s="489"/>
      <c r="V83" s="489"/>
      <c r="W83" s="464"/>
      <c r="X83" s="464"/>
      <c r="Y83" s="464"/>
      <c r="Z83" s="464"/>
      <c r="AA83" s="464"/>
      <c r="AB83" s="464"/>
      <c r="AC83" s="464"/>
      <c r="AD83" s="482"/>
      <c r="AE83" s="464"/>
      <c r="AF83" s="464"/>
      <c r="AG83" s="464"/>
      <c r="AH83" s="464"/>
      <c r="AI83" s="464"/>
      <c r="AJ83" s="464"/>
      <c r="AK83" s="464"/>
      <c r="AL83" s="464"/>
      <c r="AM83" s="464"/>
      <c r="AN83" s="464"/>
      <c r="AO83" s="464"/>
      <c r="AP83" s="464"/>
      <c r="AQ83" s="464"/>
      <c r="AR83" s="464"/>
      <c r="AS83" s="464"/>
      <c r="AT83" s="464"/>
      <c r="AU83" s="464"/>
      <c r="AV83" s="464"/>
      <c r="AW83" s="464"/>
      <c r="AX83" s="464"/>
      <c r="AY83" s="464"/>
      <c r="AZ83" s="464"/>
      <c r="BA83" s="464"/>
      <c r="BB83" s="464"/>
      <c r="BC83" s="464"/>
      <c r="BD83" s="464"/>
      <c r="BE83" s="464"/>
      <c r="BF83" s="464"/>
      <c r="BG83" s="464"/>
      <c r="BH83" s="464"/>
      <c r="BI83" s="464"/>
      <c r="BJ83" s="464"/>
      <c r="BK83" s="464"/>
      <c r="BL83" s="464"/>
      <c r="BM83" s="464"/>
      <c r="BN83" s="464"/>
      <c r="BO83" s="464"/>
      <c r="BP83" s="464"/>
      <c r="BQ83" s="464"/>
      <c r="BR83" s="464"/>
      <c r="BS83" s="464"/>
      <c r="BT83" s="464"/>
      <c r="BU83" s="464"/>
      <c r="BV83" s="464"/>
      <c r="BW83" s="464"/>
      <c r="BX83" s="464"/>
      <c r="BY83" s="464"/>
      <c r="BZ83" s="464"/>
      <c r="CA83" s="464"/>
      <c r="CB83" s="464"/>
      <c r="CC83" s="464"/>
      <c r="CD83" s="464"/>
      <c r="CE83" s="464"/>
      <c r="CF83" s="464"/>
      <c r="CG83" s="464"/>
      <c r="CH83" s="464"/>
      <c r="CI83" s="464"/>
      <c r="CJ83" s="464"/>
      <c r="CK83" s="464"/>
      <c r="CL83" s="464"/>
      <c r="CM83" s="464"/>
      <c r="CN83" s="464"/>
      <c r="CO83" s="464"/>
      <c r="CP83" s="464"/>
      <c r="CQ83" s="464"/>
      <c r="CR83" s="464"/>
      <c r="CS83" s="464"/>
      <c r="CT83" s="464">
        <v>62987</v>
      </c>
      <c r="CU83" s="464">
        <f>+E83</f>
        <v>1</v>
      </c>
      <c r="CV83" s="464"/>
      <c r="CW83" s="464"/>
      <c r="CX83" s="464"/>
      <c r="CY83" s="464"/>
      <c r="CZ83" s="464">
        <v>89000</v>
      </c>
      <c r="DA83" s="464">
        <f>+CZ83*E83</f>
        <v>89000</v>
      </c>
      <c r="DB83" s="464"/>
      <c r="DC83" s="464"/>
      <c r="DD83" s="464"/>
      <c r="DE83" s="464"/>
      <c r="DF83" s="464">
        <v>200000</v>
      </c>
      <c r="DG83" s="464">
        <f>+DF83*E83</f>
        <v>200000</v>
      </c>
      <c r="DH83" s="464"/>
      <c r="DI83" s="464"/>
      <c r="DJ83" s="464"/>
      <c r="DK83" s="464"/>
      <c r="DL83" s="464"/>
      <c r="DM83" s="464"/>
      <c r="DN83" s="464"/>
      <c r="DO83" s="464"/>
      <c r="DP83" s="464"/>
      <c r="DQ83" s="464"/>
      <c r="DR83" s="464"/>
      <c r="DS83" s="464"/>
      <c r="DT83" s="464"/>
      <c r="DU83" s="464"/>
      <c r="DV83" s="464"/>
      <c r="DW83" s="464"/>
      <c r="DX83" s="464"/>
      <c r="DY83" s="464"/>
      <c r="DZ83" s="464"/>
      <c r="EA83" s="464"/>
      <c r="EB83" s="464"/>
      <c r="EC83" s="464"/>
      <c r="ED83" s="464"/>
      <c r="EE83" s="464"/>
      <c r="EF83" s="464"/>
      <c r="EG83" s="464"/>
      <c r="EH83" s="464"/>
      <c r="EI83" s="464"/>
      <c r="EJ83" s="464"/>
      <c r="EK83" s="464"/>
      <c r="EL83" s="464"/>
      <c r="EM83" s="464"/>
      <c r="EN83" s="464"/>
      <c r="EO83" s="464"/>
      <c r="EP83" s="464"/>
      <c r="EQ83" s="464"/>
      <c r="ER83" s="464"/>
      <c r="ES83" s="464"/>
      <c r="ET83" s="464"/>
      <c r="EU83" s="464"/>
      <c r="EV83" s="464"/>
      <c r="EW83" s="464"/>
      <c r="EX83" s="464"/>
      <c r="EY83" s="464"/>
      <c r="EZ83" s="464"/>
      <c r="FA83" s="464"/>
      <c r="FB83" s="464"/>
      <c r="FC83" s="464"/>
      <c r="FD83" s="464"/>
      <c r="FE83" s="464"/>
      <c r="FF83" s="472">
        <f>MEDIAN(CT83,CZ83)</f>
        <v>75993.5</v>
      </c>
      <c r="FG83" s="472">
        <f>AVERAGE(CT83,CZ83)</f>
        <v>75993.5</v>
      </c>
      <c r="FH83" s="473">
        <f>STDEV(CT83,CZ83)</f>
        <v>18393.968699005662</v>
      </c>
      <c r="FI83" s="476">
        <f t="shared" si="12"/>
        <v>0.24204660528868471</v>
      </c>
      <c r="FJ83" s="475">
        <f t="shared" si="13"/>
        <v>75994</v>
      </c>
      <c r="FK83" s="469">
        <f t="shared" si="18"/>
        <v>75994</v>
      </c>
      <c r="FL83" s="467" t="s">
        <v>632</v>
      </c>
      <c r="FM83" s="470"/>
    </row>
    <row r="84" spans="1:169" ht="32.5" customHeight="1" x14ac:dyDescent="0.35">
      <c r="A84" s="458">
        <v>80</v>
      </c>
      <c r="B84" s="485" t="s">
        <v>781</v>
      </c>
      <c r="C84" s="486" t="s">
        <v>782</v>
      </c>
      <c r="D84" s="487" t="s">
        <v>620</v>
      </c>
      <c r="E84" s="458">
        <v>1</v>
      </c>
      <c r="F84" s="482"/>
      <c r="G84" s="482"/>
      <c r="H84" s="482"/>
      <c r="I84" s="482"/>
      <c r="J84" s="482"/>
      <c r="K84" s="482"/>
      <c r="L84" s="489"/>
      <c r="M84" s="489">
        <f t="shared" si="41"/>
        <v>0</v>
      </c>
      <c r="N84" s="489"/>
      <c r="O84" s="489"/>
      <c r="P84" s="489"/>
      <c r="Q84" s="489"/>
      <c r="R84" s="489"/>
      <c r="S84" s="489"/>
      <c r="T84" s="489"/>
      <c r="U84" s="489"/>
      <c r="V84" s="489"/>
      <c r="W84" s="464"/>
      <c r="X84" s="464"/>
      <c r="Y84" s="464"/>
      <c r="Z84" s="464"/>
      <c r="AA84" s="464"/>
      <c r="AB84" s="464"/>
      <c r="AC84" s="464"/>
      <c r="AD84" s="482"/>
      <c r="AE84" s="464"/>
      <c r="AF84" s="464"/>
      <c r="AG84" s="464"/>
      <c r="AH84" s="464"/>
      <c r="AI84" s="464"/>
      <c r="AJ84" s="464"/>
      <c r="AK84" s="464"/>
      <c r="AL84" s="464"/>
      <c r="AM84" s="464"/>
      <c r="AN84" s="464"/>
      <c r="AO84" s="464"/>
      <c r="AP84" s="464"/>
      <c r="AQ84" s="464"/>
      <c r="AR84" s="464"/>
      <c r="AS84" s="464"/>
      <c r="AT84" s="464"/>
      <c r="AU84" s="464"/>
      <c r="AV84" s="464"/>
      <c r="AW84" s="464"/>
      <c r="AX84" s="464"/>
      <c r="AY84" s="464"/>
      <c r="AZ84" s="464"/>
      <c r="BA84" s="464"/>
      <c r="BB84" s="464"/>
      <c r="BC84" s="464"/>
      <c r="BD84" s="464"/>
      <c r="BE84" s="464"/>
      <c r="BF84" s="464"/>
      <c r="BG84" s="464"/>
      <c r="BH84" s="464"/>
      <c r="BI84" s="464"/>
      <c r="BJ84" s="464"/>
      <c r="BK84" s="464"/>
      <c r="BL84" s="464"/>
      <c r="BM84" s="464"/>
      <c r="BN84" s="464"/>
      <c r="BO84" s="464"/>
      <c r="BP84" s="464"/>
      <c r="BQ84" s="464"/>
      <c r="BR84" s="464"/>
      <c r="BS84" s="464"/>
      <c r="BT84" s="464"/>
      <c r="BU84" s="464"/>
      <c r="BV84" s="464"/>
      <c r="BW84" s="464"/>
      <c r="BX84" s="464"/>
      <c r="BY84" s="464"/>
      <c r="BZ84" s="464"/>
      <c r="CA84" s="464"/>
      <c r="CB84" s="464"/>
      <c r="CC84" s="464"/>
      <c r="CD84" s="464"/>
      <c r="CE84" s="464"/>
      <c r="CF84" s="464"/>
      <c r="CG84" s="464"/>
      <c r="CH84" s="464"/>
      <c r="CI84" s="464"/>
      <c r="CJ84" s="464"/>
      <c r="CK84" s="464"/>
      <c r="CL84" s="464"/>
      <c r="CM84" s="464"/>
      <c r="CN84" s="464"/>
      <c r="CO84" s="464"/>
      <c r="CP84" s="464"/>
      <c r="CQ84" s="464"/>
      <c r="CR84" s="464"/>
      <c r="CS84" s="464"/>
      <c r="CT84" s="464">
        <v>77994</v>
      </c>
      <c r="CU84" s="464">
        <f>+E84</f>
        <v>1</v>
      </c>
      <c r="CV84" s="464"/>
      <c r="CW84" s="464"/>
      <c r="CX84" s="464"/>
      <c r="CY84" s="464"/>
      <c r="CZ84" s="464">
        <v>89900</v>
      </c>
      <c r="DA84" s="464">
        <f t="shared" ref="DA84:DA85" si="42">+CZ84*E84</f>
        <v>89900</v>
      </c>
      <c r="DB84" s="464"/>
      <c r="DC84" s="464"/>
      <c r="DD84" s="464"/>
      <c r="DE84" s="464"/>
      <c r="DF84" s="464">
        <v>100000</v>
      </c>
      <c r="DG84" s="464">
        <f t="shared" ref="DG84:DG85" si="43">+DF84*E84</f>
        <v>100000</v>
      </c>
      <c r="DH84" s="464"/>
      <c r="DI84" s="464"/>
      <c r="DJ84" s="464"/>
      <c r="DK84" s="464"/>
      <c r="DL84" s="464"/>
      <c r="DM84" s="464"/>
      <c r="DN84" s="464"/>
      <c r="DO84" s="464"/>
      <c r="DP84" s="464"/>
      <c r="DQ84" s="464"/>
      <c r="DR84" s="464"/>
      <c r="DS84" s="464"/>
      <c r="DT84" s="464"/>
      <c r="DU84" s="464"/>
      <c r="DV84" s="464"/>
      <c r="DW84" s="464"/>
      <c r="DX84" s="464"/>
      <c r="DY84" s="464"/>
      <c r="DZ84" s="464"/>
      <c r="EA84" s="464"/>
      <c r="EB84" s="464"/>
      <c r="EC84" s="464"/>
      <c r="ED84" s="464"/>
      <c r="EE84" s="464"/>
      <c r="EF84" s="464"/>
      <c r="EG84" s="464"/>
      <c r="EH84" s="464"/>
      <c r="EI84" s="464"/>
      <c r="EJ84" s="464"/>
      <c r="EK84" s="464"/>
      <c r="EL84" s="464"/>
      <c r="EM84" s="464"/>
      <c r="EN84" s="464"/>
      <c r="EO84" s="464"/>
      <c r="EP84" s="464"/>
      <c r="EQ84" s="464"/>
      <c r="ER84" s="464"/>
      <c r="ES84" s="464"/>
      <c r="ET84" s="464"/>
      <c r="EU84" s="464"/>
      <c r="EV84" s="464"/>
      <c r="EW84" s="464"/>
      <c r="EX84" s="464"/>
      <c r="EY84" s="464"/>
      <c r="EZ84" s="464"/>
      <c r="FA84" s="464"/>
      <c r="FB84" s="464"/>
      <c r="FC84" s="464"/>
      <c r="FD84" s="464"/>
      <c r="FE84" s="464"/>
      <c r="FF84" s="472">
        <f>MEDIAN(CT84,CZ84)</f>
        <v>83947</v>
      </c>
      <c r="FG84" s="472">
        <f>AVERAGE(CT84,CZ84)</f>
        <v>83947</v>
      </c>
      <c r="FH84" s="473">
        <f>STDEV(CT84,CZ84)</f>
        <v>8418.8133368070339</v>
      </c>
      <c r="FI84" s="476">
        <f t="shared" si="12"/>
        <v>0.10028724477118937</v>
      </c>
      <c r="FJ84" s="475">
        <f t="shared" si="13"/>
        <v>83947</v>
      </c>
      <c r="FK84" s="469">
        <f t="shared" si="18"/>
        <v>83947</v>
      </c>
      <c r="FL84" s="467" t="s">
        <v>621</v>
      </c>
      <c r="FM84" s="470"/>
    </row>
    <row r="85" spans="1:169" ht="32.5" customHeight="1" x14ac:dyDescent="0.35">
      <c r="A85" s="458">
        <v>81</v>
      </c>
      <c r="B85" s="485" t="s">
        <v>783</v>
      </c>
      <c r="C85" s="486" t="s">
        <v>784</v>
      </c>
      <c r="D85" s="487" t="s">
        <v>620</v>
      </c>
      <c r="E85" s="458">
        <v>1</v>
      </c>
      <c r="F85" s="482"/>
      <c r="G85" s="482"/>
      <c r="H85" s="482"/>
      <c r="I85" s="482"/>
      <c r="J85" s="482"/>
      <c r="K85" s="482"/>
      <c r="L85" s="489"/>
      <c r="M85" s="489">
        <f t="shared" si="41"/>
        <v>0</v>
      </c>
      <c r="N85" s="489"/>
      <c r="O85" s="489"/>
      <c r="P85" s="489"/>
      <c r="Q85" s="489"/>
      <c r="R85" s="489"/>
      <c r="S85" s="489"/>
      <c r="T85" s="489"/>
      <c r="U85" s="489"/>
      <c r="V85" s="489"/>
      <c r="W85" s="464"/>
      <c r="X85" s="464"/>
      <c r="Y85" s="464"/>
      <c r="Z85" s="464"/>
      <c r="AA85" s="464"/>
      <c r="AB85" s="464"/>
      <c r="AC85" s="464"/>
      <c r="AD85" s="482"/>
      <c r="AE85" s="464"/>
      <c r="AF85" s="464"/>
      <c r="AG85" s="464"/>
      <c r="AH85" s="464"/>
      <c r="AI85" s="464"/>
      <c r="AJ85" s="464"/>
      <c r="AK85" s="464"/>
      <c r="AL85" s="464"/>
      <c r="AM85" s="464"/>
      <c r="AN85" s="464"/>
      <c r="AO85" s="464"/>
      <c r="AP85" s="464"/>
      <c r="AQ85" s="464"/>
      <c r="AR85" s="464"/>
      <c r="AS85" s="464"/>
      <c r="AT85" s="464"/>
      <c r="AU85" s="464"/>
      <c r="AV85" s="464"/>
      <c r="AW85" s="464"/>
      <c r="AX85" s="464"/>
      <c r="AY85" s="464"/>
      <c r="AZ85" s="464"/>
      <c r="BA85" s="464"/>
      <c r="BB85" s="464"/>
      <c r="BC85" s="464"/>
      <c r="BD85" s="464"/>
      <c r="BE85" s="464"/>
      <c r="BF85" s="464"/>
      <c r="BG85" s="464"/>
      <c r="BH85" s="464"/>
      <c r="BI85" s="464"/>
      <c r="BJ85" s="464"/>
      <c r="BK85" s="464"/>
      <c r="BL85" s="464"/>
      <c r="BM85" s="464"/>
      <c r="BN85" s="464"/>
      <c r="BO85" s="464"/>
      <c r="BP85" s="464"/>
      <c r="BQ85" s="464"/>
      <c r="BR85" s="464"/>
      <c r="BS85" s="464"/>
      <c r="BT85" s="464"/>
      <c r="BU85" s="464"/>
      <c r="BV85" s="464"/>
      <c r="BW85" s="464"/>
      <c r="BX85" s="464"/>
      <c r="BY85" s="464"/>
      <c r="BZ85" s="464"/>
      <c r="CA85" s="464"/>
      <c r="CB85" s="464"/>
      <c r="CC85" s="464"/>
      <c r="CD85" s="464"/>
      <c r="CE85" s="464"/>
      <c r="CF85" s="464"/>
      <c r="CG85" s="464"/>
      <c r="CH85" s="464"/>
      <c r="CI85" s="464"/>
      <c r="CJ85" s="464"/>
      <c r="CK85" s="464"/>
      <c r="CL85" s="464"/>
      <c r="CM85" s="464"/>
      <c r="CN85" s="464"/>
      <c r="CO85" s="464"/>
      <c r="CP85" s="464"/>
      <c r="CQ85" s="464"/>
      <c r="CR85" s="464"/>
      <c r="CS85" s="464"/>
      <c r="CT85" s="464"/>
      <c r="CU85" s="464"/>
      <c r="CV85" s="464"/>
      <c r="CW85" s="464"/>
      <c r="CX85" s="464"/>
      <c r="CY85" s="464"/>
      <c r="CZ85" s="464">
        <v>89900</v>
      </c>
      <c r="DA85" s="464">
        <f t="shared" si="42"/>
        <v>89900</v>
      </c>
      <c r="DB85" s="464"/>
      <c r="DC85" s="464"/>
      <c r="DD85" s="464"/>
      <c r="DE85" s="464"/>
      <c r="DF85" s="464">
        <v>100000</v>
      </c>
      <c r="DG85" s="464">
        <f t="shared" si="43"/>
        <v>100000</v>
      </c>
      <c r="DH85" s="464"/>
      <c r="DI85" s="464"/>
      <c r="DJ85" s="464"/>
      <c r="DK85" s="464"/>
      <c r="DL85" s="464"/>
      <c r="DM85" s="464"/>
      <c r="DN85" s="464"/>
      <c r="DO85" s="464"/>
      <c r="DP85" s="464"/>
      <c r="DQ85" s="464"/>
      <c r="DR85" s="464"/>
      <c r="DS85" s="464"/>
      <c r="DT85" s="464"/>
      <c r="DU85" s="464"/>
      <c r="DV85" s="464"/>
      <c r="DW85" s="464"/>
      <c r="DX85" s="464"/>
      <c r="DY85" s="464"/>
      <c r="DZ85" s="464"/>
      <c r="EA85" s="464"/>
      <c r="EB85" s="464"/>
      <c r="EC85" s="464"/>
      <c r="ED85" s="464"/>
      <c r="EE85" s="464"/>
      <c r="EF85" s="464"/>
      <c r="EG85" s="464"/>
      <c r="EH85" s="464"/>
      <c r="EI85" s="464"/>
      <c r="EJ85" s="464"/>
      <c r="EK85" s="464"/>
      <c r="EL85" s="464"/>
      <c r="EM85" s="464"/>
      <c r="EN85" s="464"/>
      <c r="EO85" s="464"/>
      <c r="EP85" s="464"/>
      <c r="EQ85" s="464"/>
      <c r="ER85" s="464"/>
      <c r="ES85" s="464"/>
      <c r="ET85" s="464"/>
      <c r="EU85" s="464"/>
      <c r="EV85" s="464"/>
      <c r="EW85" s="464"/>
      <c r="EX85" s="464"/>
      <c r="EY85" s="464"/>
      <c r="EZ85" s="464"/>
      <c r="FA85" s="464"/>
      <c r="FB85" s="464"/>
      <c r="FC85" s="464"/>
      <c r="FD85" s="464"/>
      <c r="FE85" s="464"/>
      <c r="FF85" s="472">
        <f>MEDIAN(CZ85,DF85)</f>
        <v>94950</v>
      </c>
      <c r="FG85" s="472">
        <f>AVERAGE(CZ85,DF85)</f>
        <v>94950</v>
      </c>
      <c r="FH85" s="473">
        <f>STDEV(CZ85,DF85)</f>
        <v>7141.7784899841299</v>
      </c>
      <c r="FI85" s="476">
        <f t="shared" si="12"/>
        <v>7.5216203159390524E-2</v>
      </c>
      <c r="FJ85" s="475">
        <f t="shared" si="13"/>
        <v>94950</v>
      </c>
      <c r="FK85" s="469">
        <f t="shared" si="18"/>
        <v>94950</v>
      </c>
      <c r="FL85" s="467" t="s">
        <v>621</v>
      </c>
      <c r="FM85" s="470"/>
    </row>
    <row r="86" spans="1:169" s="457" customFormat="1" ht="32.5" customHeight="1" x14ac:dyDescent="0.35">
      <c r="A86" s="458">
        <v>82</v>
      </c>
      <c r="B86" s="459" t="s">
        <v>785</v>
      </c>
      <c r="C86" s="460" t="s">
        <v>786</v>
      </c>
      <c r="D86" s="461" t="s">
        <v>649</v>
      </c>
      <c r="E86" s="458">
        <v>1</v>
      </c>
      <c r="F86" s="463"/>
      <c r="G86" s="463"/>
      <c r="H86" s="463"/>
      <c r="I86" s="463"/>
      <c r="J86" s="463"/>
      <c r="K86" s="463"/>
      <c r="L86" s="464">
        <v>10000</v>
      </c>
      <c r="M86" s="489">
        <f t="shared" si="41"/>
        <v>10000</v>
      </c>
      <c r="N86" s="464"/>
      <c r="O86" s="464"/>
      <c r="P86" s="464"/>
      <c r="Q86" s="464"/>
      <c r="R86" s="464"/>
      <c r="S86" s="464"/>
      <c r="T86" s="464"/>
      <c r="U86" s="464"/>
      <c r="V86" s="464"/>
      <c r="W86" s="464"/>
      <c r="X86" s="464"/>
      <c r="Y86" s="464"/>
      <c r="Z86" s="464"/>
      <c r="AA86" s="464"/>
      <c r="AB86" s="464"/>
      <c r="AC86" s="464"/>
      <c r="AD86" s="482">
        <v>11233.6</v>
      </c>
      <c r="AE86" s="464">
        <f t="shared" ref="AE86:AE90" si="44">+AD86*E86</f>
        <v>11233.6</v>
      </c>
      <c r="AF86" s="464"/>
      <c r="AG86" s="464"/>
      <c r="AH86" s="464"/>
      <c r="AI86" s="464"/>
      <c r="AJ86" s="464"/>
      <c r="AK86" s="464"/>
      <c r="AL86" s="464"/>
      <c r="AM86" s="464"/>
      <c r="AN86" s="464"/>
      <c r="AO86" s="464"/>
      <c r="AP86" s="464"/>
      <c r="AQ86" s="464"/>
      <c r="AR86" s="464"/>
      <c r="AS86" s="464"/>
      <c r="AT86" s="464"/>
      <c r="AU86" s="464"/>
      <c r="AV86" s="464"/>
      <c r="AW86" s="464"/>
      <c r="AX86" s="464"/>
      <c r="AY86" s="464"/>
      <c r="AZ86" s="464"/>
      <c r="BA86" s="464"/>
      <c r="BB86" s="464"/>
      <c r="BC86" s="464"/>
      <c r="BD86" s="464"/>
      <c r="BE86" s="464"/>
      <c r="BF86" s="464"/>
      <c r="BG86" s="464"/>
      <c r="BH86" s="464"/>
      <c r="BI86" s="464"/>
      <c r="BJ86" s="464"/>
      <c r="BK86" s="464"/>
      <c r="BL86" s="464"/>
      <c r="BM86" s="464"/>
      <c r="BN86" s="464"/>
      <c r="BO86" s="464"/>
      <c r="BP86" s="464"/>
      <c r="BQ86" s="464"/>
      <c r="BR86" s="464"/>
      <c r="BS86" s="464"/>
      <c r="BT86" s="464"/>
      <c r="BU86" s="464"/>
      <c r="BV86" s="464"/>
      <c r="BW86" s="464"/>
      <c r="BX86" s="464"/>
      <c r="BY86" s="464"/>
      <c r="BZ86" s="464"/>
      <c r="CA86" s="464"/>
      <c r="CB86" s="464"/>
      <c r="CC86" s="464"/>
      <c r="CD86" s="464"/>
      <c r="CE86" s="464"/>
      <c r="CF86" s="464"/>
      <c r="CG86" s="464"/>
      <c r="CH86" s="464"/>
      <c r="CI86" s="464"/>
      <c r="CJ86" s="464"/>
      <c r="CK86" s="464"/>
      <c r="CL86" s="464"/>
      <c r="CM86" s="464"/>
      <c r="CN86" s="464"/>
      <c r="CO86" s="464"/>
      <c r="CP86" s="464"/>
      <c r="CQ86" s="464"/>
      <c r="CR86" s="464"/>
      <c r="CS86" s="464"/>
      <c r="CT86" s="464"/>
      <c r="CU86" s="464"/>
      <c r="CV86" s="464"/>
      <c r="CW86" s="464"/>
      <c r="CX86" s="464"/>
      <c r="CY86" s="464"/>
      <c r="CZ86" s="464"/>
      <c r="DA86" s="464"/>
      <c r="DB86" s="464"/>
      <c r="DC86" s="464"/>
      <c r="DD86" s="464"/>
      <c r="DE86" s="464"/>
      <c r="DF86" s="464"/>
      <c r="DG86" s="464"/>
      <c r="DH86" s="464"/>
      <c r="DI86" s="464"/>
      <c r="DJ86" s="464"/>
      <c r="DK86" s="464"/>
      <c r="DL86" s="464"/>
      <c r="DM86" s="464"/>
      <c r="DN86" s="464"/>
      <c r="DO86" s="464"/>
      <c r="DP86" s="464"/>
      <c r="DQ86" s="464"/>
      <c r="DR86" s="464"/>
      <c r="DS86" s="464"/>
      <c r="DT86" s="464"/>
      <c r="DU86" s="464"/>
      <c r="DV86" s="464"/>
      <c r="DW86" s="464"/>
      <c r="DX86" s="464"/>
      <c r="DY86" s="464"/>
      <c r="DZ86" s="464"/>
      <c r="EA86" s="464"/>
      <c r="EB86" s="464"/>
      <c r="EC86" s="464"/>
      <c r="ED86" s="464"/>
      <c r="EE86" s="464"/>
      <c r="EF86" s="464"/>
      <c r="EG86" s="464"/>
      <c r="EH86" s="464"/>
      <c r="EI86" s="464"/>
      <c r="EJ86" s="464"/>
      <c r="EK86" s="464"/>
      <c r="EL86" s="464"/>
      <c r="EM86" s="464"/>
      <c r="EN86" s="464"/>
      <c r="EO86" s="464"/>
      <c r="EP86" s="464"/>
      <c r="EQ86" s="464"/>
      <c r="ER86" s="464"/>
      <c r="ES86" s="464"/>
      <c r="ET86" s="464"/>
      <c r="EU86" s="464"/>
      <c r="EV86" s="464"/>
      <c r="EW86" s="464"/>
      <c r="EX86" s="464"/>
      <c r="EY86" s="464"/>
      <c r="EZ86" s="464"/>
      <c r="FA86" s="464"/>
      <c r="FB86" s="464"/>
      <c r="FC86" s="464"/>
      <c r="FD86" s="464"/>
      <c r="FE86" s="464"/>
      <c r="FF86" s="472">
        <f>MEDIAN(L86,AD86)</f>
        <v>10616.8</v>
      </c>
      <c r="FG86" s="472">
        <f>AVERAGE(L86,AD86)</f>
        <v>10616.8</v>
      </c>
      <c r="FH86" s="473">
        <f>STDEV(L86,AD86)</f>
        <v>872.28692527172529</v>
      </c>
      <c r="FI86" s="476">
        <f t="shared" ref="FI86:FI137" si="45">FH86/FG86</f>
        <v>8.2161001928238775E-2</v>
      </c>
      <c r="FJ86" s="475">
        <f t="shared" ref="FJ86:FJ137" si="46">ROUNDUP(IF(FI86&lt;15%,FG86,FF86),0)</f>
        <v>10617</v>
      </c>
      <c r="FK86" s="469">
        <f t="shared" si="18"/>
        <v>10617</v>
      </c>
      <c r="FL86" s="467" t="s">
        <v>621</v>
      </c>
      <c r="FM86" s="470"/>
    </row>
    <row r="87" spans="1:169" s="457" customFormat="1" ht="152.25" customHeight="1" x14ac:dyDescent="0.35">
      <c r="A87" s="458">
        <v>83</v>
      </c>
      <c r="B87" s="459" t="s">
        <v>787</v>
      </c>
      <c r="C87" s="460" t="s">
        <v>788</v>
      </c>
      <c r="D87" s="461" t="s">
        <v>620</v>
      </c>
      <c r="E87" s="458">
        <v>1</v>
      </c>
      <c r="F87" s="463"/>
      <c r="G87" s="463"/>
      <c r="H87" s="463"/>
      <c r="I87" s="463"/>
      <c r="J87" s="463"/>
      <c r="K87" s="463"/>
      <c r="L87" s="464">
        <v>14500</v>
      </c>
      <c r="M87" s="489">
        <f t="shared" si="41"/>
        <v>14500</v>
      </c>
      <c r="N87" s="464"/>
      <c r="O87" s="464"/>
      <c r="P87" s="464"/>
      <c r="Q87" s="464"/>
      <c r="R87" s="464"/>
      <c r="S87" s="464"/>
      <c r="T87" s="464"/>
      <c r="U87" s="464"/>
      <c r="V87" s="464"/>
      <c r="W87" s="464"/>
      <c r="X87" s="464"/>
      <c r="Y87" s="464"/>
      <c r="Z87" s="464"/>
      <c r="AA87" s="464"/>
      <c r="AB87" s="464"/>
      <c r="AC87" s="464"/>
      <c r="AD87" s="482">
        <v>40721.799999999996</v>
      </c>
      <c r="AE87" s="464">
        <f t="shared" si="44"/>
        <v>40721.799999999996</v>
      </c>
      <c r="AF87" s="464"/>
      <c r="AG87" s="464"/>
      <c r="AH87" s="464"/>
      <c r="AI87" s="464"/>
      <c r="AJ87" s="464"/>
      <c r="AK87" s="464"/>
      <c r="AL87" s="464"/>
      <c r="AM87" s="464"/>
      <c r="AN87" s="464"/>
      <c r="AO87" s="464"/>
      <c r="AP87" s="464"/>
      <c r="AQ87" s="464"/>
      <c r="AR87" s="464"/>
      <c r="AS87" s="464"/>
      <c r="AT87" s="464"/>
      <c r="AU87" s="464"/>
      <c r="AV87" s="464"/>
      <c r="AW87" s="464"/>
      <c r="AX87" s="464"/>
      <c r="AY87" s="464"/>
      <c r="AZ87" s="464"/>
      <c r="BA87" s="464"/>
      <c r="BB87" s="464"/>
      <c r="BC87" s="464"/>
      <c r="BD87" s="464"/>
      <c r="BE87" s="464"/>
      <c r="BF87" s="464"/>
      <c r="BG87" s="464"/>
      <c r="BH87" s="464"/>
      <c r="BI87" s="464"/>
      <c r="BJ87" s="464"/>
      <c r="BK87" s="464"/>
      <c r="BL87" s="464"/>
      <c r="BM87" s="464"/>
      <c r="BN87" s="464"/>
      <c r="BO87" s="464"/>
      <c r="BP87" s="464"/>
      <c r="BQ87" s="464"/>
      <c r="BR87" s="464"/>
      <c r="BS87" s="464"/>
      <c r="BT87" s="464"/>
      <c r="BU87" s="464"/>
      <c r="BV87" s="464"/>
      <c r="BW87" s="464"/>
      <c r="BX87" s="464"/>
      <c r="BY87" s="464"/>
      <c r="BZ87" s="464"/>
      <c r="CA87" s="464"/>
      <c r="CB87" s="464"/>
      <c r="CC87" s="464"/>
      <c r="CD87" s="464"/>
      <c r="CE87" s="464"/>
      <c r="CF87" s="464"/>
      <c r="CG87" s="464"/>
      <c r="CH87" s="464"/>
      <c r="CI87" s="464"/>
      <c r="CJ87" s="464"/>
      <c r="CK87" s="464"/>
      <c r="CL87" s="464"/>
      <c r="CM87" s="464"/>
      <c r="CN87" s="464"/>
      <c r="CO87" s="464"/>
      <c r="CP87" s="464"/>
      <c r="CQ87" s="464"/>
      <c r="CR87" s="464">
        <v>12537</v>
      </c>
      <c r="CS87" s="464">
        <f t="shared" ref="CS87" si="47">+CR87*E87</f>
        <v>12537</v>
      </c>
      <c r="CT87" s="464"/>
      <c r="CU87" s="464"/>
      <c r="CV87" s="464"/>
      <c r="CW87" s="464"/>
      <c r="CX87" s="464"/>
      <c r="CY87" s="464"/>
      <c r="CZ87" s="464"/>
      <c r="DA87" s="464"/>
      <c r="DB87" s="464"/>
      <c r="DC87" s="464"/>
      <c r="DD87" s="464"/>
      <c r="DE87" s="464"/>
      <c r="DF87" s="464"/>
      <c r="DG87" s="464"/>
      <c r="DH87" s="464"/>
      <c r="DI87" s="464"/>
      <c r="DJ87" s="464"/>
      <c r="DK87" s="464"/>
      <c r="DL87" s="464"/>
      <c r="DM87" s="464"/>
      <c r="DN87" s="464"/>
      <c r="DO87" s="464"/>
      <c r="DP87" s="464"/>
      <c r="DQ87" s="464"/>
      <c r="DR87" s="464"/>
      <c r="DS87" s="464"/>
      <c r="DT87" s="464"/>
      <c r="DU87" s="464"/>
      <c r="DV87" s="464"/>
      <c r="DW87" s="464"/>
      <c r="DX87" s="464"/>
      <c r="DY87" s="464"/>
      <c r="DZ87" s="464"/>
      <c r="EA87" s="464"/>
      <c r="EB87" s="464"/>
      <c r="EC87" s="464"/>
      <c r="ED87" s="464"/>
      <c r="EE87" s="464"/>
      <c r="EF87" s="464"/>
      <c r="EG87" s="464"/>
      <c r="EH87" s="464"/>
      <c r="EI87" s="464"/>
      <c r="EJ87" s="464"/>
      <c r="EK87" s="464"/>
      <c r="EL87" s="464"/>
      <c r="EM87" s="464"/>
      <c r="EN87" s="464"/>
      <c r="EO87" s="464"/>
      <c r="EP87" s="464"/>
      <c r="EQ87" s="464"/>
      <c r="ER87" s="464"/>
      <c r="ES87" s="464"/>
      <c r="ET87" s="464"/>
      <c r="EU87" s="464"/>
      <c r="EV87" s="464"/>
      <c r="EW87" s="464"/>
      <c r="EX87" s="464"/>
      <c r="EY87" s="464"/>
      <c r="EZ87" s="464"/>
      <c r="FA87" s="464"/>
      <c r="FB87" s="464"/>
      <c r="FC87" s="464"/>
      <c r="FD87" s="464"/>
      <c r="FE87" s="464"/>
      <c r="FF87" s="472">
        <f>MEDIAN(L87,CR87)</f>
        <v>13518.5</v>
      </c>
      <c r="FG87" s="472">
        <f>AVERAGE(L87,CR87)</f>
        <v>13518.5</v>
      </c>
      <c r="FH87" s="473">
        <f>STDEV(L87,CR87)</f>
        <v>1388.0506114691927</v>
      </c>
      <c r="FI87" s="476">
        <f t="shared" si="45"/>
        <v>0.10267785711944319</v>
      </c>
      <c r="FJ87" s="475">
        <f t="shared" si="46"/>
        <v>13519</v>
      </c>
      <c r="FK87" s="469">
        <f t="shared" si="18"/>
        <v>13519</v>
      </c>
      <c r="FL87" s="467" t="s">
        <v>621</v>
      </c>
      <c r="FM87" s="470"/>
    </row>
    <row r="88" spans="1:169" ht="32.5" customHeight="1" x14ac:dyDescent="0.35">
      <c r="A88" s="458">
        <v>84</v>
      </c>
      <c r="B88" s="485" t="s">
        <v>789</v>
      </c>
      <c r="C88" s="486" t="s">
        <v>790</v>
      </c>
      <c r="D88" s="487" t="s">
        <v>620</v>
      </c>
      <c r="E88" s="458">
        <v>1</v>
      </c>
      <c r="F88" s="482"/>
      <c r="G88" s="482"/>
      <c r="H88" s="482"/>
      <c r="I88" s="482"/>
      <c r="J88" s="482"/>
      <c r="K88" s="482"/>
      <c r="L88" s="489">
        <v>5500</v>
      </c>
      <c r="M88" s="489">
        <f t="shared" si="41"/>
        <v>5500</v>
      </c>
      <c r="N88" s="489"/>
      <c r="O88" s="489"/>
      <c r="P88" s="489"/>
      <c r="Q88" s="489"/>
      <c r="R88" s="489"/>
      <c r="S88" s="489"/>
      <c r="T88" s="489"/>
      <c r="U88" s="489"/>
      <c r="V88" s="489"/>
      <c r="W88" s="464"/>
      <c r="X88" s="464"/>
      <c r="Y88" s="464"/>
      <c r="Z88" s="464"/>
      <c r="AA88" s="464"/>
      <c r="AB88" s="464"/>
      <c r="AC88" s="464"/>
      <c r="AD88" s="482">
        <v>7050.4881999999998</v>
      </c>
      <c r="AE88" s="464">
        <f t="shared" si="44"/>
        <v>7050.4881999999998</v>
      </c>
      <c r="AF88" s="464"/>
      <c r="AG88" s="464"/>
      <c r="AH88" s="464"/>
      <c r="AI88" s="464"/>
      <c r="AJ88" s="464"/>
      <c r="AK88" s="464"/>
      <c r="AL88" s="464"/>
      <c r="AM88" s="464"/>
      <c r="AN88" s="464"/>
      <c r="AO88" s="464"/>
      <c r="AP88" s="464"/>
      <c r="AQ88" s="464"/>
      <c r="AR88" s="464"/>
      <c r="AS88" s="464"/>
      <c r="AT88" s="464"/>
      <c r="AU88" s="464"/>
      <c r="AV88" s="464"/>
      <c r="AW88" s="464"/>
      <c r="AX88" s="464"/>
      <c r="AY88" s="464"/>
      <c r="AZ88" s="464"/>
      <c r="BA88" s="464"/>
      <c r="BB88" s="464"/>
      <c r="BC88" s="464"/>
      <c r="BD88" s="464"/>
      <c r="BE88" s="464"/>
      <c r="BF88" s="464"/>
      <c r="BG88" s="464"/>
      <c r="BH88" s="464"/>
      <c r="BI88" s="464"/>
      <c r="BJ88" s="464"/>
      <c r="BK88" s="464"/>
      <c r="BL88" s="464"/>
      <c r="BM88" s="464"/>
      <c r="BN88" s="464"/>
      <c r="BO88" s="464"/>
      <c r="BP88" s="464"/>
      <c r="BQ88" s="464"/>
      <c r="BR88" s="464"/>
      <c r="BS88" s="464"/>
      <c r="BT88" s="464"/>
      <c r="BU88" s="464"/>
      <c r="BV88" s="464"/>
      <c r="BW88" s="464"/>
      <c r="BX88" s="464"/>
      <c r="BY88" s="464"/>
      <c r="BZ88" s="464"/>
      <c r="CA88" s="464"/>
      <c r="CB88" s="464"/>
      <c r="CC88" s="464"/>
      <c r="CD88" s="464"/>
      <c r="CE88" s="464"/>
      <c r="CF88" s="464"/>
      <c r="CG88" s="464"/>
      <c r="CH88" s="464"/>
      <c r="CI88" s="464"/>
      <c r="CJ88" s="464"/>
      <c r="CK88" s="464"/>
      <c r="CL88" s="464"/>
      <c r="CM88" s="464"/>
      <c r="CN88" s="464"/>
      <c r="CO88" s="464"/>
      <c r="CP88" s="464"/>
      <c r="CQ88" s="464"/>
      <c r="CR88" s="464"/>
      <c r="CS88" s="464"/>
      <c r="CT88" s="464"/>
      <c r="CU88" s="464"/>
      <c r="CV88" s="464"/>
      <c r="CW88" s="464"/>
      <c r="CX88" s="464"/>
      <c r="CY88" s="464"/>
      <c r="CZ88" s="464"/>
      <c r="DA88" s="464"/>
      <c r="DB88" s="464"/>
      <c r="DC88" s="464"/>
      <c r="DD88" s="464"/>
      <c r="DE88" s="464"/>
      <c r="DF88" s="464"/>
      <c r="DG88" s="464"/>
      <c r="DH88" s="464"/>
      <c r="DI88" s="464"/>
      <c r="DJ88" s="464"/>
      <c r="DK88" s="464"/>
      <c r="DL88" s="464"/>
      <c r="DM88" s="464"/>
      <c r="DN88" s="464"/>
      <c r="DO88" s="464"/>
      <c r="DP88" s="464"/>
      <c r="DQ88" s="464"/>
      <c r="DR88" s="464"/>
      <c r="DS88" s="464"/>
      <c r="DT88" s="464"/>
      <c r="DU88" s="464"/>
      <c r="DV88" s="464"/>
      <c r="DW88" s="464"/>
      <c r="DX88" s="464"/>
      <c r="DY88" s="464"/>
      <c r="DZ88" s="464"/>
      <c r="EA88" s="464"/>
      <c r="EB88" s="464"/>
      <c r="EC88" s="464"/>
      <c r="ED88" s="464"/>
      <c r="EE88" s="464"/>
      <c r="EF88" s="464"/>
      <c r="EG88" s="464"/>
      <c r="EH88" s="464"/>
      <c r="EI88" s="464"/>
      <c r="EJ88" s="464"/>
      <c r="EK88" s="464"/>
      <c r="EL88" s="464"/>
      <c r="EM88" s="464"/>
      <c r="EN88" s="464"/>
      <c r="EO88" s="464"/>
      <c r="EP88" s="464"/>
      <c r="EQ88" s="464"/>
      <c r="ER88" s="464"/>
      <c r="ES88" s="464"/>
      <c r="ET88" s="464"/>
      <c r="EU88" s="464"/>
      <c r="EV88" s="464"/>
      <c r="EW88" s="464"/>
      <c r="EX88" s="464"/>
      <c r="EY88" s="464"/>
      <c r="EZ88" s="464"/>
      <c r="FA88" s="464"/>
      <c r="FB88" s="464"/>
      <c r="FC88" s="464"/>
      <c r="FD88" s="464"/>
      <c r="FE88" s="464"/>
      <c r="FF88" s="472">
        <f>MEDIAN(L88,AD88)</f>
        <v>6275.2440999999999</v>
      </c>
      <c r="FG88" s="472">
        <f>AVERAGE(L88,AD88)</f>
        <v>6275.2440999999999</v>
      </c>
      <c r="FH88" s="473">
        <f>STDEV(L88,AD88)</f>
        <v>1096.3607203697222</v>
      </c>
      <c r="FI88" s="476">
        <f t="shared" si="45"/>
        <v>0.17471204353145756</v>
      </c>
      <c r="FJ88" s="475">
        <f t="shared" si="46"/>
        <v>6276</v>
      </c>
      <c r="FK88" s="469">
        <f t="shared" ref="FK88:FK137" si="48">+FJ88*E88</f>
        <v>6276</v>
      </c>
      <c r="FL88" s="467" t="s">
        <v>632</v>
      </c>
      <c r="FM88" s="470"/>
    </row>
    <row r="89" spans="1:169" ht="32.5" customHeight="1" x14ac:dyDescent="0.35">
      <c r="A89" s="458">
        <v>85</v>
      </c>
      <c r="B89" s="485" t="s">
        <v>791</v>
      </c>
      <c r="C89" s="486" t="s">
        <v>790</v>
      </c>
      <c r="D89" s="487" t="s">
        <v>620</v>
      </c>
      <c r="E89" s="458">
        <v>1</v>
      </c>
      <c r="F89" s="482"/>
      <c r="G89" s="482"/>
      <c r="H89" s="482"/>
      <c r="I89" s="482"/>
      <c r="J89" s="482"/>
      <c r="K89" s="482"/>
      <c r="L89" s="489">
        <v>6500</v>
      </c>
      <c r="M89" s="489">
        <f t="shared" si="41"/>
        <v>6500</v>
      </c>
      <c r="N89" s="489"/>
      <c r="O89" s="489"/>
      <c r="P89" s="489"/>
      <c r="Q89" s="489"/>
      <c r="R89" s="489"/>
      <c r="S89" s="489"/>
      <c r="T89" s="489"/>
      <c r="U89" s="489"/>
      <c r="V89" s="489"/>
      <c r="W89" s="464"/>
      <c r="X89" s="464"/>
      <c r="Y89" s="464"/>
      <c r="Z89" s="464"/>
      <c r="AA89" s="464"/>
      <c r="AB89" s="464"/>
      <c r="AC89" s="464"/>
      <c r="AD89" s="482">
        <v>7723.0999999999995</v>
      </c>
      <c r="AE89" s="464">
        <f t="shared" si="44"/>
        <v>7723.0999999999995</v>
      </c>
      <c r="AF89" s="464"/>
      <c r="AG89" s="464"/>
      <c r="AH89" s="464"/>
      <c r="AI89" s="464"/>
      <c r="AJ89" s="464"/>
      <c r="AK89" s="464"/>
      <c r="AL89" s="464"/>
      <c r="AM89" s="464"/>
      <c r="AN89" s="464"/>
      <c r="AO89" s="464"/>
      <c r="AP89" s="464"/>
      <c r="AQ89" s="464"/>
      <c r="AR89" s="464"/>
      <c r="AS89" s="464"/>
      <c r="AT89" s="464"/>
      <c r="AU89" s="464"/>
      <c r="AV89" s="464"/>
      <c r="AW89" s="464"/>
      <c r="AX89" s="464"/>
      <c r="AY89" s="464"/>
      <c r="AZ89" s="464"/>
      <c r="BA89" s="464"/>
      <c r="BB89" s="464"/>
      <c r="BC89" s="464"/>
      <c r="BD89" s="464"/>
      <c r="BE89" s="464"/>
      <c r="BF89" s="464"/>
      <c r="BG89" s="464"/>
      <c r="BH89" s="464"/>
      <c r="BI89" s="464"/>
      <c r="BJ89" s="464"/>
      <c r="BK89" s="464"/>
      <c r="BL89" s="464"/>
      <c r="BM89" s="464"/>
      <c r="BN89" s="464"/>
      <c r="BO89" s="464"/>
      <c r="BP89" s="464"/>
      <c r="BQ89" s="464"/>
      <c r="BR89" s="464"/>
      <c r="BS89" s="464"/>
      <c r="BT89" s="464"/>
      <c r="BU89" s="464"/>
      <c r="BV89" s="464"/>
      <c r="BW89" s="464"/>
      <c r="BX89" s="464"/>
      <c r="BY89" s="464"/>
      <c r="BZ89" s="464"/>
      <c r="CA89" s="464"/>
      <c r="CB89" s="464"/>
      <c r="CC89" s="464"/>
      <c r="CD89" s="464"/>
      <c r="CE89" s="464"/>
      <c r="CF89" s="464"/>
      <c r="CG89" s="464"/>
      <c r="CH89" s="464"/>
      <c r="CI89" s="464"/>
      <c r="CJ89" s="464"/>
      <c r="CK89" s="464"/>
      <c r="CL89" s="464"/>
      <c r="CM89" s="464"/>
      <c r="CN89" s="464"/>
      <c r="CO89" s="464"/>
      <c r="CP89" s="464"/>
      <c r="CQ89" s="464"/>
      <c r="CR89" s="464"/>
      <c r="CS89" s="464"/>
      <c r="CT89" s="464"/>
      <c r="CU89" s="464"/>
      <c r="CV89" s="464"/>
      <c r="CW89" s="464"/>
      <c r="CX89" s="464"/>
      <c r="CY89" s="464"/>
      <c r="CZ89" s="464"/>
      <c r="DA89" s="464"/>
      <c r="DB89" s="464"/>
      <c r="DC89" s="464"/>
      <c r="DD89" s="464"/>
      <c r="DE89" s="464"/>
      <c r="DF89" s="464"/>
      <c r="DG89" s="464"/>
      <c r="DH89" s="464"/>
      <c r="DI89" s="464"/>
      <c r="DJ89" s="464"/>
      <c r="DK89" s="464"/>
      <c r="DL89" s="464"/>
      <c r="DM89" s="464"/>
      <c r="DN89" s="464"/>
      <c r="DO89" s="464"/>
      <c r="DP89" s="464"/>
      <c r="DQ89" s="464"/>
      <c r="DR89" s="464"/>
      <c r="DS89" s="464"/>
      <c r="DT89" s="464"/>
      <c r="DU89" s="464"/>
      <c r="DV89" s="464"/>
      <c r="DW89" s="464"/>
      <c r="DX89" s="464"/>
      <c r="DY89" s="464"/>
      <c r="DZ89" s="464"/>
      <c r="EA89" s="464"/>
      <c r="EB89" s="464"/>
      <c r="EC89" s="464"/>
      <c r="ED89" s="464"/>
      <c r="EE89" s="464"/>
      <c r="EF89" s="464"/>
      <c r="EG89" s="464"/>
      <c r="EH89" s="464"/>
      <c r="EI89" s="464"/>
      <c r="EJ89" s="464"/>
      <c r="EK89" s="464"/>
      <c r="EL89" s="464"/>
      <c r="EM89" s="464"/>
      <c r="EN89" s="464"/>
      <c r="EO89" s="464"/>
      <c r="EP89" s="464"/>
      <c r="EQ89" s="464"/>
      <c r="ER89" s="464"/>
      <c r="ES89" s="464"/>
      <c r="ET89" s="464"/>
      <c r="EU89" s="464"/>
      <c r="EV89" s="464"/>
      <c r="EW89" s="464"/>
      <c r="EX89" s="464"/>
      <c r="EY89" s="464"/>
      <c r="EZ89" s="464"/>
      <c r="FA89" s="464"/>
      <c r="FB89" s="464"/>
      <c r="FC89" s="464"/>
      <c r="FD89" s="464"/>
      <c r="FE89" s="464"/>
      <c r="FF89" s="472">
        <f>MEDIAN(L89,AD89)</f>
        <v>7111.5499999999993</v>
      </c>
      <c r="FG89" s="472">
        <f>AVERAGE(L89,AD89)</f>
        <v>7111.5499999999993</v>
      </c>
      <c r="FH89" s="473">
        <f>STDEV(L89,AD89)</f>
        <v>864.86230406926586</v>
      </c>
      <c r="FI89" s="476">
        <f t="shared" si="45"/>
        <v>0.12161375566075834</v>
      </c>
      <c r="FJ89" s="475">
        <f t="shared" si="46"/>
        <v>7112</v>
      </c>
      <c r="FK89" s="469">
        <f t="shared" si="48"/>
        <v>7112</v>
      </c>
      <c r="FL89" s="467" t="s">
        <v>621</v>
      </c>
      <c r="FM89" s="470"/>
    </row>
    <row r="90" spans="1:169" s="457" customFormat="1" ht="32.5" customHeight="1" x14ac:dyDescent="0.35">
      <c r="A90" s="458">
        <v>86</v>
      </c>
      <c r="B90" s="459" t="s">
        <v>792</v>
      </c>
      <c r="C90" s="460" t="s">
        <v>793</v>
      </c>
      <c r="D90" s="462" t="s">
        <v>620</v>
      </c>
      <c r="E90" s="458">
        <v>1</v>
      </c>
      <c r="F90" s="496"/>
      <c r="G90" s="496"/>
      <c r="H90" s="496"/>
      <c r="I90" s="496"/>
      <c r="J90" s="496"/>
      <c r="K90" s="496"/>
      <c r="L90" s="464">
        <v>7500</v>
      </c>
      <c r="M90" s="464">
        <f t="shared" si="41"/>
        <v>7500</v>
      </c>
      <c r="N90" s="464"/>
      <c r="O90" s="464"/>
      <c r="P90" s="464"/>
      <c r="Q90" s="464"/>
      <c r="R90" s="464"/>
      <c r="S90" s="464"/>
      <c r="T90" s="464"/>
      <c r="U90" s="464"/>
      <c r="V90" s="464"/>
      <c r="W90" s="464"/>
      <c r="X90" s="464"/>
      <c r="Y90" s="464"/>
      <c r="Z90" s="464"/>
      <c r="AA90" s="464"/>
      <c r="AB90" s="464"/>
      <c r="AC90" s="464"/>
      <c r="AD90" s="463">
        <v>4914.7</v>
      </c>
      <c r="AE90" s="464">
        <f t="shared" si="44"/>
        <v>4914.7</v>
      </c>
      <c r="AF90" s="464"/>
      <c r="AG90" s="464"/>
      <c r="AH90" s="464"/>
      <c r="AI90" s="464"/>
      <c r="AJ90" s="464"/>
      <c r="AK90" s="464"/>
      <c r="AL90" s="464"/>
      <c r="AM90" s="464"/>
      <c r="AN90" s="464"/>
      <c r="AO90" s="464"/>
      <c r="AP90" s="464"/>
      <c r="AQ90" s="464"/>
      <c r="AR90" s="464"/>
      <c r="AS90" s="464"/>
      <c r="AT90" s="464"/>
      <c r="AU90" s="464"/>
      <c r="AV90" s="464"/>
      <c r="AW90" s="464"/>
      <c r="AX90" s="464"/>
      <c r="AY90" s="464"/>
      <c r="AZ90" s="464"/>
      <c r="BA90" s="464"/>
      <c r="BB90" s="464"/>
      <c r="BC90" s="464"/>
      <c r="BD90" s="464"/>
      <c r="BE90" s="464"/>
      <c r="BF90" s="464"/>
      <c r="BG90" s="464"/>
      <c r="BH90" s="464"/>
      <c r="BI90" s="464"/>
      <c r="BJ90" s="464"/>
      <c r="BK90" s="464"/>
      <c r="BL90" s="464"/>
      <c r="BM90" s="464"/>
      <c r="BN90" s="464"/>
      <c r="BO90" s="464"/>
      <c r="BP90" s="464"/>
      <c r="BQ90" s="464"/>
      <c r="BR90" s="464"/>
      <c r="BS90" s="464"/>
      <c r="BT90" s="464"/>
      <c r="BU90" s="464"/>
      <c r="BV90" s="464"/>
      <c r="BW90" s="464"/>
      <c r="BX90" s="464"/>
      <c r="BY90" s="464"/>
      <c r="BZ90" s="464"/>
      <c r="CA90" s="464"/>
      <c r="CB90" s="464"/>
      <c r="CC90" s="464"/>
      <c r="CD90" s="464"/>
      <c r="CE90" s="464"/>
      <c r="CF90" s="464"/>
      <c r="CG90" s="464"/>
      <c r="CH90" s="464"/>
      <c r="CI90" s="464"/>
      <c r="CJ90" s="464"/>
      <c r="CK90" s="464"/>
      <c r="CL90" s="464"/>
      <c r="CM90" s="464"/>
      <c r="CN90" s="464"/>
      <c r="CO90" s="464"/>
      <c r="CP90" s="464"/>
      <c r="CQ90" s="464"/>
      <c r="CR90" s="464">
        <v>6302</v>
      </c>
      <c r="CS90" s="464">
        <f>+CR90*E90</f>
        <v>6302</v>
      </c>
      <c r="CT90" s="464"/>
      <c r="CU90" s="464"/>
      <c r="CV90" s="464"/>
      <c r="CW90" s="464"/>
      <c r="CX90" s="464"/>
      <c r="CY90" s="464"/>
      <c r="CZ90" s="464"/>
      <c r="DA90" s="464"/>
      <c r="DB90" s="464"/>
      <c r="DC90" s="464"/>
      <c r="DD90" s="464"/>
      <c r="DE90" s="464"/>
      <c r="DF90" s="464"/>
      <c r="DG90" s="464"/>
      <c r="DH90" s="464"/>
      <c r="DI90" s="464"/>
      <c r="DJ90" s="464"/>
      <c r="DK90" s="464"/>
      <c r="DL90" s="464"/>
      <c r="DM90" s="464"/>
      <c r="DN90" s="464"/>
      <c r="DO90" s="464"/>
      <c r="DP90" s="464"/>
      <c r="DQ90" s="464"/>
      <c r="DR90" s="464"/>
      <c r="DS90" s="464"/>
      <c r="DT90" s="464"/>
      <c r="DU90" s="464"/>
      <c r="DV90" s="464"/>
      <c r="DW90" s="464"/>
      <c r="DX90" s="464"/>
      <c r="DY90" s="464"/>
      <c r="DZ90" s="464"/>
      <c r="EA90" s="464"/>
      <c r="EB90" s="464"/>
      <c r="EC90" s="464"/>
      <c r="ED90" s="464"/>
      <c r="EE90" s="464"/>
      <c r="EF90" s="464"/>
      <c r="EG90" s="464"/>
      <c r="EH90" s="464"/>
      <c r="EI90" s="464"/>
      <c r="EJ90" s="464"/>
      <c r="EK90" s="464"/>
      <c r="EL90" s="464"/>
      <c r="EM90" s="464"/>
      <c r="EN90" s="464"/>
      <c r="EO90" s="464"/>
      <c r="EP90" s="464"/>
      <c r="EQ90" s="464"/>
      <c r="ER90" s="464"/>
      <c r="ES90" s="464"/>
      <c r="ET90" s="464"/>
      <c r="EU90" s="464"/>
      <c r="EV90" s="464"/>
      <c r="EW90" s="464"/>
      <c r="EX90" s="464"/>
      <c r="EY90" s="464"/>
      <c r="EZ90" s="464"/>
      <c r="FA90" s="464"/>
      <c r="FB90" s="464"/>
      <c r="FC90" s="464"/>
      <c r="FD90" s="464"/>
      <c r="FE90" s="464"/>
      <c r="FF90" s="472">
        <f>MEDIAN(L90,AD90,CR90)</f>
        <v>6302</v>
      </c>
      <c r="FG90" s="472">
        <f>AVERAGE(L90,AD90,CR90)</f>
        <v>6238.9000000000005</v>
      </c>
      <c r="FH90" s="473">
        <f>STDEV(L90,AD90,CR90)</f>
        <v>1293.8045563376243</v>
      </c>
      <c r="FI90" s="476">
        <f t="shared" si="45"/>
        <v>0.20737703062040169</v>
      </c>
      <c r="FJ90" s="475">
        <f t="shared" si="46"/>
        <v>6302</v>
      </c>
      <c r="FK90" s="469">
        <f t="shared" si="48"/>
        <v>6302</v>
      </c>
      <c r="FL90" s="467" t="s">
        <v>632</v>
      </c>
      <c r="FM90" s="470"/>
    </row>
    <row r="91" spans="1:169" ht="68.25" customHeight="1" x14ac:dyDescent="0.35">
      <c r="A91" s="458">
        <v>87</v>
      </c>
      <c r="B91" s="485" t="s">
        <v>794</v>
      </c>
      <c r="C91" s="486" t="s">
        <v>795</v>
      </c>
      <c r="D91" s="487" t="s">
        <v>620</v>
      </c>
      <c r="E91" s="458">
        <v>1</v>
      </c>
      <c r="F91" s="482"/>
      <c r="G91" s="482"/>
      <c r="H91" s="482"/>
      <c r="I91" s="482"/>
      <c r="J91" s="482">
        <v>55450</v>
      </c>
      <c r="K91" s="482">
        <f>+J91*E91</f>
        <v>55450</v>
      </c>
      <c r="L91" s="489"/>
      <c r="M91" s="489"/>
      <c r="N91" s="489"/>
      <c r="O91" s="489"/>
      <c r="P91" s="489"/>
      <c r="Q91" s="489"/>
      <c r="R91" s="489"/>
      <c r="S91" s="489"/>
      <c r="T91" s="489"/>
      <c r="U91" s="489"/>
      <c r="V91" s="489"/>
      <c r="W91" s="464"/>
      <c r="X91" s="464"/>
      <c r="Y91" s="464"/>
      <c r="Z91" s="464"/>
      <c r="AA91" s="464"/>
      <c r="AB91" s="464"/>
      <c r="AC91" s="464"/>
      <c r="AD91" s="482">
        <v>41985.58</v>
      </c>
      <c r="AE91" s="464">
        <f>+AD91*E91</f>
        <v>41985.58</v>
      </c>
      <c r="AF91" s="464"/>
      <c r="AG91" s="464"/>
      <c r="AH91" s="464"/>
      <c r="AI91" s="464"/>
      <c r="AJ91" s="464"/>
      <c r="AK91" s="464"/>
      <c r="AL91" s="464"/>
      <c r="AM91" s="464"/>
      <c r="AN91" s="464"/>
      <c r="AO91" s="464"/>
      <c r="AP91" s="464"/>
      <c r="AQ91" s="464"/>
      <c r="AR91" s="464"/>
      <c r="AS91" s="464"/>
      <c r="AT91" s="464"/>
      <c r="AU91" s="464"/>
      <c r="AV91" s="464"/>
      <c r="AW91" s="464"/>
      <c r="AX91" s="464"/>
      <c r="AY91" s="464"/>
      <c r="AZ91" s="464"/>
      <c r="BA91" s="464"/>
      <c r="BB91" s="464"/>
      <c r="BC91" s="464"/>
      <c r="BD91" s="464"/>
      <c r="BE91" s="464"/>
      <c r="BF91" s="464"/>
      <c r="BG91" s="464"/>
      <c r="BH91" s="464"/>
      <c r="BI91" s="464"/>
      <c r="BJ91" s="464"/>
      <c r="BK91" s="464"/>
      <c r="BL91" s="464"/>
      <c r="BM91" s="464"/>
      <c r="BN91" s="464"/>
      <c r="BO91" s="464"/>
      <c r="BP91" s="464"/>
      <c r="BQ91" s="464"/>
      <c r="BR91" s="464"/>
      <c r="BS91" s="464"/>
      <c r="BT91" s="464"/>
      <c r="BU91" s="464"/>
      <c r="BV91" s="464"/>
      <c r="BW91" s="464"/>
      <c r="BX91" s="464"/>
      <c r="BY91" s="464"/>
      <c r="BZ91" s="464"/>
      <c r="CA91" s="464"/>
      <c r="CB91" s="464"/>
      <c r="CC91" s="464"/>
      <c r="CD91" s="464"/>
      <c r="CE91" s="464"/>
      <c r="CF91" s="464"/>
      <c r="CG91" s="464"/>
      <c r="CH91" s="464"/>
      <c r="CI91" s="464"/>
      <c r="CJ91" s="464"/>
      <c r="CK91" s="464"/>
      <c r="CL91" s="464"/>
      <c r="CM91" s="464"/>
      <c r="CN91" s="464"/>
      <c r="CO91" s="464"/>
      <c r="CP91" s="464"/>
      <c r="CQ91" s="464"/>
      <c r="CR91" s="464"/>
      <c r="CS91" s="464"/>
      <c r="CT91" s="464"/>
      <c r="CU91" s="464"/>
      <c r="CV91" s="464"/>
      <c r="CW91" s="464"/>
      <c r="CX91" s="464"/>
      <c r="CY91" s="464"/>
      <c r="CZ91" s="464"/>
      <c r="DA91" s="464"/>
      <c r="DB91" s="464"/>
      <c r="DC91" s="464"/>
      <c r="DD91" s="464"/>
      <c r="DE91" s="464"/>
      <c r="DF91" s="464"/>
      <c r="DG91" s="464"/>
      <c r="DH91" s="464"/>
      <c r="DI91" s="464"/>
      <c r="DJ91" s="464"/>
      <c r="DK91" s="464"/>
      <c r="DL91" s="464"/>
      <c r="DM91" s="464"/>
      <c r="DN91" s="464"/>
      <c r="DO91" s="464"/>
      <c r="DP91" s="464"/>
      <c r="DQ91" s="464"/>
      <c r="DR91" s="464"/>
      <c r="DS91" s="464"/>
      <c r="DT91" s="464"/>
      <c r="DU91" s="464"/>
      <c r="DV91" s="464"/>
      <c r="DW91" s="464"/>
      <c r="DX91" s="464"/>
      <c r="DY91" s="464"/>
      <c r="DZ91" s="464"/>
      <c r="EA91" s="464"/>
      <c r="EB91" s="464"/>
      <c r="EC91" s="464"/>
      <c r="ED91" s="464"/>
      <c r="EE91" s="464"/>
      <c r="EF91" s="464"/>
      <c r="EG91" s="464"/>
      <c r="EH91" s="464"/>
      <c r="EI91" s="464"/>
      <c r="EJ91" s="464"/>
      <c r="EK91" s="464"/>
      <c r="EL91" s="464"/>
      <c r="EM91" s="464"/>
      <c r="EN91" s="464"/>
      <c r="EO91" s="464"/>
      <c r="EP91" s="464"/>
      <c r="EQ91" s="464"/>
      <c r="ER91" s="464"/>
      <c r="ES91" s="464"/>
      <c r="ET91" s="464"/>
      <c r="EU91" s="464"/>
      <c r="EV91" s="464"/>
      <c r="EW91" s="464"/>
      <c r="EX91" s="464"/>
      <c r="EY91" s="464"/>
      <c r="EZ91" s="464"/>
      <c r="FA91" s="464"/>
      <c r="FB91" s="464"/>
      <c r="FC91" s="464"/>
      <c r="FD91" s="464"/>
      <c r="FE91" s="464"/>
      <c r="FF91" s="472">
        <f>MEDIAN(J91,AD91)</f>
        <v>48717.79</v>
      </c>
      <c r="FG91" s="472">
        <f>AVERAGE(AD91,J91)</f>
        <v>48717.79</v>
      </c>
      <c r="FH91" s="473">
        <f>STDEV(J91,AD91)</f>
        <v>9520.7826867438107</v>
      </c>
      <c r="FI91" s="476">
        <f t="shared" si="45"/>
        <v>0.1954272286723969</v>
      </c>
      <c r="FJ91" s="475">
        <f t="shared" si="46"/>
        <v>48718</v>
      </c>
      <c r="FK91" s="469">
        <f t="shared" si="48"/>
        <v>48718</v>
      </c>
      <c r="FL91" s="467" t="s">
        <v>632</v>
      </c>
      <c r="FM91" s="470"/>
    </row>
    <row r="92" spans="1:169" s="457" customFormat="1" ht="32.5" customHeight="1" x14ac:dyDescent="0.35">
      <c r="A92" s="458">
        <v>88</v>
      </c>
      <c r="B92" s="485" t="s">
        <v>796</v>
      </c>
      <c r="C92" s="486" t="s">
        <v>797</v>
      </c>
      <c r="D92" s="487" t="s">
        <v>620</v>
      </c>
      <c r="E92" s="458">
        <v>1</v>
      </c>
      <c r="F92" s="463"/>
      <c r="G92" s="463"/>
      <c r="H92" s="463"/>
      <c r="I92" s="463"/>
      <c r="J92" s="463">
        <v>26000</v>
      </c>
      <c r="K92" s="463">
        <f t="shared" ref="K92:K98" si="49">+J92*E92</f>
        <v>26000</v>
      </c>
      <c r="L92" s="464"/>
      <c r="M92" s="464"/>
      <c r="N92" s="464"/>
      <c r="O92" s="464"/>
      <c r="P92" s="464"/>
      <c r="Q92" s="464"/>
      <c r="R92" s="464"/>
      <c r="S92" s="464"/>
      <c r="T92" s="464"/>
      <c r="U92" s="464"/>
      <c r="V92" s="464"/>
      <c r="W92" s="464"/>
      <c r="X92" s="464"/>
      <c r="Y92" s="464"/>
      <c r="Z92" s="464"/>
      <c r="AA92" s="464"/>
      <c r="AB92" s="464"/>
      <c r="AC92" s="464"/>
      <c r="AD92" s="463">
        <v>13761.16</v>
      </c>
      <c r="AE92" s="464">
        <f t="shared" ref="AE92:AE102" si="50">+AD92*E92</f>
        <v>13761.16</v>
      </c>
      <c r="AF92" s="464"/>
      <c r="AG92" s="464"/>
      <c r="AH92" s="464"/>
      <c r="AI92" s="464"/>
      <c r="AJ92" s="464"/>
      <c r="AK92" s="464"/>
      <c r="AL92" s="464"/>
      <c r="AM92" s="464"/>
      <c r="AN92" s="464"/>
      <c r="AO92" s="464"/>
      <c r="AP92" s="464"/>
      <c r="AQ92" s="464"/>
      <c r="AR92" s="464"/>
      <c r="AS92" s="464"/>
      <c r="AT92" s="464"/>
      <c r="AU92" s="464"/>
      <c r="AV92" s="464"/>
      <c r="AW92" s="464"/>
      <c r="AX92" s="464"/>
      <c r="AY92" s="464"/>
      <c r="AZ92" s="464"/>
      <c r="BA92" s="464"/>
      <c r="BB92" s="464"/>
      <c r="BC92" s="464"/>
      <c r="BD92" s="464"/>
      <c r="BE92" s="464"/>
      <c r="BF92" s="464"/>
      <c r="BG92" s="464"/>
      <c r="BH92" s="464"/>
      <c r="BI92" s="464"/>
      <c r="BJ92" s="464"/>
      <c r="BK92" s="464"/>
      <c r="BL92" s="464"/>
      <c r="BM92" s="464"/>
      <c r="BN92" s="464"/>
      <c r="BO92" s="464"/>
      <c r="BP92" s="464"/>
      <c r="BQ92" s="464"/>
      <c r="BR92" s="464"/>
      <c r="BS92" s="464"/>
      <c r="BT92" s="464"/>
      <c r="BU92" s="464"/>
      <c r="BV92" s="464">
        <v>35000</v>
      </c>
      <c r="BW92" s="464">
        <f>+BV92*E92</f>
        <v>35000</v>
      </c>
      <c r="BX92" s="464"/>
      <c r="BY92" s="464"/>
      <c r="BZ92" s="464"/>
      <c r="CA92" s="464"/>
      <c r="CB92" s="464"/>
      <c r="CC92" s="464"/>
      <c r="CD92" s="464"/>
      <c r="CE92" s="464"/>
      <c r="CF92" s="464"/>
      <c r="CG92" s="464"/>
      <c r="CH92" s="464"/>
      <c r="CI92" s="464"/>
      <c r="CJ92" s="464"/>
      <c r="CK92" s="464"/>
      <c r="CL92" s="464"/>
      <c r="CM92" s="464"/>
      <c r="CN92" s="464"/>
      <c r="CO92" s="464"/>
      <c r="CP92" s="464"/>
      <c r="CQ92" s="464"/>
      <c r="CR92" s="464">
        <v>12906</v>
      </c>
      <c r="CS92" s="464">
        <f>+CR92*E92</f>
        <v>12906</v>
      </c>
      <c r="CT92" s="464"/>
      <c r="CU92" s="464"/>
      <c r="CV92" s="464"/>
      <c r="CW92" s="464"/>
      <c r="CX92" s="464"/>
      <c r="CY92" s="464"/>
      <c r="CZ92" s="464"/>
      <c r="DA92" s="464"/>
      <c r="DB92" s="464"/>
      <c r="DC92" s="464"/>
      <c r="DD92" s="464"/>
      <c r="DE92" s="464"/>
      <c r="DF92" s="464"/>
      <c r="DG92" s="464"/>
      <c r="DH92" s="464"/>
      <c r="DI92" s="464"/>
      <c r="DJ92" s="464"/>
      <c r="DK92" s="464"/>
      <c r="DL92" s="464"/>
      <c r="DM92" s="464"/>
      <c r="DN92" s="464"/>
      <c r="DO92" s="464"/>
      <c r="DP92" s="464"/>
      <c r="DQ92" s="464"/>
      <c r="DR92" s="464"/>
      <c r="DS92" s="464"/>
      <c r="DT92" s="464"/>
      <c r="DU92" s="464"/>
      <c r="DV92" s="464"/>
      <c r="DW92" s="464"/>
      <c r="DX92" s="464"/>
      <c r="DY92" s="464"/>
      <c r="DZ92" s="464"/>
      <c r="EA92" s="464"/>
      <c r="EB92" s="464"/>
      <c r="EC92" s="464"/>
      <c r="ED92" s="464"/>
      <c r="EE92" s="464"/>
      <c r="EF92" s="464"/>
      <c r="EG92" s="464"/>
      <c r="EH92" s="464"/>
      <c r="EI92" s="464"/>
      <c r="EJ92" s="464"/>
      <c r="EK92" s="464"/>
      <c r="EL92" s="464"/>
      <c r="EM92" s="464"/>
      <c r="EN92" s="464"/>
      <c r="EO92" s="464"/>
      <c r="EP92" s="464"/>
      <c r="EQ92" s="464"/>
      <c r="ER92" s="464"/>
      <c r="ES92" s="464"/>
      <c r="ET92" s="464"/>
      <c r="EU92" s="464"/>
      <c r="EV92" s="464"/>
      <c r="EW92" s="464"/>
      <c r="EX92" s="464"/>
      <c r="EY92" s="464"/>
      <c r="EZ92" s="464"/>
      <c r="FA92" s="464"/>
      <c r="FB92" s="464"/>
      <c r="FC92" s="464"/>
      <c r="FD92" s="464"/>
      <c r="FE92" s="464"/>
      <c r="FF92" s="472">
        <f>MEDIAN(AD92,CR92)</f>
        <v>13333.58</v>
      </c>
      <c r="FG92" s="472">
        <f>AVERAGE(AD92,CR92)</f>
        <v>13333.58</v>
      </c>
      <c r="FH92" s="473">
        <f>STDEV(AD92,CR92)</f>
        <v>604.68943499948784</v>
      </c>
      <c r="FI92" s="476">
        <f t="shared" si="45"/>
        <v>4.5350868633891858E-2</v>
      </c>
      <c r="FJ92" s="475">
        <f t="shared" si="46"/>
        <v>13334</v>
      </c>
      <c r="FK92" s="469">
        <f t="shared" si="48"/>
        <v>13334</v>
      </c>
      <c r="FL92" s="467" t="s">
        <v>621</v>
      </c>
      <c r="FM92" s="470"/>
    </row>
    <row r="93" spans="1:169" ht="32.5" customHeight="1" x14ac:dyDescent="0.35">
      <c r="A93" s="458">
        <v>89</v>
      </c>
      <c r="B93" s="485" t="s">
        <v>798</v>
      </c>
      <c r="C93" s="486" t="s">
        <v>799</v>
      </c>
      <c r="D93" s="487" t="s">
        <v>620</v>
      </c>
      <c r="E93" s="458">
        <v>1</v>
      </c>
      <c r="F93" s="482"/>
      <c r="G93" s="482"/>
      <c r="H93" s="482"/>
      <c r="I93" s="482"/>
      <c r="J93" s="482">
        <v>38000</v>
      </c>
      <c r="K93" s="482">
        <f t="shared" si="49"/>
        <v>38000</v>
      </c>
      <c r="L93" s="489"/>
      <c r="M93" s="489"/>
      <c r="N93" s="489"/>
      <c r="O93" s="489"/>
      <c r="P93" s="489"/>
      <c r="Q93" s="489"/>
      <c r="R93" s="489"/>
      <c r="S93" s="489"/>
      <c r="T93" s="489"/>
      <c r="U93" s="489"/>
      <c r="V93" s="489"/>
      <c r="W93" s="464"/>
      <c r="X93" s="464"/>
      <c r="Y93" s="464"/>
      <c r="Z93" s="464"/>
      <c r="AA93" s="464"/>
      <c r="AB93" s="464"/>
      <c r="AC93" s="464"/>
      <c r="AD93" s="482">
        <v>17586.200799999999</v>
      </c>
      <c r="AE93" s="464">
        <f t="shared" si="50"/>
        <v>17586.200799999999</v>
      </c>
      <c r="AF93" s="464"/>
      <c r="AG93" s="464"/>
      <c r="AH93" s="464"/>
      <c r="AI93" s="464"/>
      <c r="AJ93" s="464"/>
      <c r="AK93" s="464"/>
      <c r="AL93" s="464"/>
      <c r="AM93" s="464"/>
      <c r="AN93" s="464"/>
      <c r="AO93" s="464"/>
      <c r="AP93" s="464"/>
      <c r="AQ93" s="464"/>
      <c r="AR93" s="464"/>
      <c r="AS93" s="464"/>
      <c r="AT93" s="464"/>
      <c r="AU93" s="464"/>
      <c r="AV93" s="464"/>
      <c r="AW93" s="464"/>
      <c r="AX93" s="464"/>
      <c r="AY93" s="464"/>
      <c r="AZ93" s="464"/>
      <c r="BA93" s="464"/>
      <c r="BB93" s="464"/>
      <c r="BC93" s="464"/>
      <c r="BD93" s="464"/>
      <c r="BE93" s="464"/>
      <c r="BF93" s="464"/>
      <c r="BG93" s="464"/>
      <c r="BH93" s="464"/>
      <c r="BI93" s="464"/>
      <c r="BJ93" s="464"/>
      <c r="BK93" s="464"/>
      <c r="BL93" s="464"/>
      <c r="BM93" s="464"/>
      <c r="BN93" s="464"/>
      <c r="BO93" s="464"/>
      <c r="BP93" s="464"/>
      <c r="BQ93" s="464"/>
      <c r="BR93" s="464"/>
      <c r="BS93" s="464"/>
      <c r="BT93" s="464"/>
      <c r="BU93" s="464"/>
      <c r="BV93" s="464"/>
      <c r="BW93" s="464"/>
      <c r="BX93" s="464"/>
      <c r="BY93" s="464"/>
      <c r="BZ93" s="464"/>
      <c r="CA93" s="464"/>
      <c r="CB93" s="464"/>
      <c r="CC93" s="464"/>
      <c r="CD93" s="464"/>
      <c r="CE93" s="464"/>
      <c r="CF93" s="464"/>
      <c r="CG93" s="464"/>
      <c r="CH93" s="464"/>
      <c r="CI93" s="464"/>
      <c r="CJ93" s="464"/>
      <c r="CK93" s="464"/>
      <c r="CL93" s="464"/>
      <c r="CM93" s="464"/>
      <c r="CN93" s="464"/>
      <c r="CO93" s="464"/>
      <c r="CP93" s="464"/>
      <c r="CQ93" s="464"/>
      <c r="CR93" s="464">
        <v>44100</v>
      </c>
      <c r="CS93" s="464">
        <f t="shared" ref="CS93:CS94" si="51">+CR93*E93</f>
        <v>44100</v>
      </c>
      <c r="CT93" s="464"/>
      <c r="CU93" s="464"/>
      <c r="CV93" s="464"/>
      <c r="CW93" s="464"/>
      <c r="CX93" s="464"/>
      <c r="CY93" s="464"/>
      <c r="CZ93" s="464"/>
      <c r="DA93" s="464"/>
      <c r="DB93" s="464"/>
      <c r="DC93" s="464"/>
      <c r="DD93" s="464"/>
      <c r="DE93" s="464"/>
      <c r="DF93" s="464"/>
      <c r="DG93" s="464"/>
      <c r="DH93" s="464"/>
      <c r="DI93" s="464"/>
      <c r="DJ93" s="464"/>
      <c r="DK93" s="464"/>
      <c r="DL93" s="464"/>
      <c r="DM93" s="464"/>
      <c r="DN93" s="464"/>
      <c r="DO93" s="464"/>
      <c r="DP93" s="464"/>
      <c r="DQ93" s="464"/>
      <c r="DR93" s="464"/>
      <c r="DS93" s="464"/>
      <c r="DT93" s="464"/>
      <c r="DU93" s="464"/>
      <c r="DV93" s="464"/>
      <c r="DW93" s="464"/>
      <c r="DX93" s="464"/>
      <c r="DY93" s="464"/>
      <c r="DZ93" s="464"/>
      <c r="EA93" s="464"/>
      <c r="EB93" s="464"/>
      <c r="EC93" s="464"/>
      <c r="ED93" s="464"/>
      <c r="EE93" s="464"/>
      <c r="EF93" s="464"/>
      <c r="EG93" s="464"/>
      <c r="EH93" s="464"/>
      <c r="EI93" s="464"/>
      <c r="EJ93" s="464"/>
      <c r="EK93" s="464"/>
      <c r="EL93" s="464"/>
      <c r="EM93" s="464"/>
      <c r="EN93" s="464"/>
      <c r="EO93" s="464"/>
      <c r="EP93" s="464"/>
      <c r="EQ93" s="464"/>
      <c r="ER93" s="464"/>
      <c r="ES93" s="464"/>
      <c r="ET93" s="464"/>
      <c r="EU93" s="464"/>
      <c r="EV93" s="464"/>
      <c r="EW93" s="464"/>
      <c r="EX93" s="464"/>
      <c r="EY93" s="464"/>
      <c r="EZ93" s="464"/>
      <c r="FA93" s="464"/>
      <c r="FB93" s="464"/>
      <c r="FC93" s="464"/>
      <c r="FD93" s="464"/>
      <c r="FE93" s="464"/>
      <c r="FF93" s="472">
        <f>MEDIAN(J93,CR93)</f>
        <v>41050</v>
      </c>
      <c r="FG93" s="472">
        <f>AVERAGE(J93,CR93)</f>
        <v>41050</v>
      </c>
      <c r="FH93" s="473">
        <f>STDEV(J93,CR93)</f>
        <v>4313.3513652379397</v>
      </c>
      <c r="FI93" s="476">
        <f t="shared" si="45"/>
        <v>0.10507555091931643</v>
      </c>
      <c r="FJ93" s="475">
        <f t="shared" si="46"/>
        <v>41050</v>
      </c>
      <c r="FK93" s="469">
        <f t="shared" si="48"/>
        <v>41050</v>
      </c>
      <c r="FL93" s="467" t="s">
        <v>621</v>
      </c>
      <c r="FM93" s="470"/>
    </row>
    <row r="94" spans="1:169" ht="32.5" customHeight="1" x14ac:dyDescent="0.35">
      <c r="A94" s="458">
        <v>90</v>
      </c>
      <c r="B94" s="485" t="s">
        <v>800</v>
      </c>
      <c r="C94" s="486" t="s">
        <v>801</v>
      </c>
      <c r="D94" s="487" t="s">
        <v>620</v>
      </c>
      <c r="E94" s="458">
        <v>1</v>
      </c>
      <c r="F94" s="482"/>
      <c r="G94" s="482"/>
      <c r="H94" s="482"/>
      <c r="I94" s="482"/>
      <c r="J94" s="482">
        <v>21000</v>
      </c>
      <c r="K94" s="482">
        <f t="shared" si="49"/>
        <v>21000</v>
      </c>
      <c r="L94" s="489"/>
      <c r="M94" s="489"/>
      <c r="N94" s="489"/>
      <c r="O94" s="489"/>
      <c r="P94" s="489"/>
      <c r="Q94" s="489"/>
      <c r="R94" s="489"/>
      <c r="S94" s="489"/>
      <c r="T94" s="489"/>
      <c r="U94" s="489"/>
      <c r="V94" s="489"/>
      <c r="W94" s="464"/>
      <c r="X94" s="464"/>
      <c r="Y94" s="464"/>
      <c r="Z94" s="464"/>
      <c r="AA94" s="464"/>
      <c r="AB94" s="464"/>
      <c r="AC94" s="464"/>
      <c r="AD94" s="482">
        <v>11093.18</v>
      </c>
      <c r="AE94" s="464">
        <f t="shared" si="50"/>
        <v>11093.18</v>
      </c>
      <c r="AF94" s="464"/>
      <c r="AG94" s="464"/>
      <c r="AH94" s="464"/>
      <c r="AI94" s="464"/>
      <c r="AJ94" s="464"/>
      <c r="AK94" s="464"/>
      <c r="AL94" s="464"/>
      <c r="AM94" s="464"/>
      <c r="AN94" s="464"/>
      <c r="AO94" s="464"/>
      <c r="AP94" s="464"/>
      <c r="AQ94" s="464"/>
      <c r="AR94" s="464"/>
      <c r="AS94" s="464"/>
      <c r="AT94" s="464"/>
      <c r="AU94" s="464"/>
      <c r="AV94" s="464"/>
      <c r="AW94" s="464"/>
      <c r="AX94" s="464"/>
      <c r="AY94" s="464"/>
      <c r="AZ94" s="464"/>
      <c r="BA94" s="464"/>
      <c r="BB94" s="464"/>
      <c r="BC94" s="464"/>
      <c r="BD94" s="464"/>
      <c r="BE94" s="464"/>
      <c r="BF94" s="464"/>
      <c r="BG94" s="464"/>
      <c r="BH94" s="464"/>
      <c r="BI94" s="464"/>
      <c r="BJ94" s="464"/>
      <c r="BK94" s="464"/>
      <c r="BL94" s="464"/>
      <c r="BM94" s="464"/>
      <c r="BN94" s="464"/>
      <c r="BO94" s="464"/>
      <c r="BP94" s="464"/>
      <c r="BQ94" s="464"/>
      <c r="BR94" s="464"/>
      <c r="BS94" s="464"/>
      <c r="BT94" s="464"/>
      <c r="BU94" s="464"/>
      <c r="BV94" s="464"/>
      <c r="BW94" s="464"/>
      <c r="BX94" s="464"/>
      <c r="BY94" s="464"/>
      <c r="BZ94" s="464"/>
      <c r="CA94" s="464"/>
      <c r="CB94" s="464"/>
      <c r="CC94" s="464"/>
      <c r="CD94" s="464"/>
      <c r="CE94" s="464"/>
      <c r="CF94" s="464"/>
      <c r="CG94" s="464"/>
      <c r="CH94" s="464"/>
      <c r="CI94" s="464"/>
      <c r="CJ94" s="464"/>
      <c r="CK94" s="464"/>
      <c r="CL94" s="464"/>
      <c r="CM94" s="464"/>
      <c r="CN94" s="464"/>
      <c r="CO94" s="464"/>
      <c r="CP94" s="464"/>
      <c r="CQ94" s="464"/>
      <c r="CR94" s="464">
        <v>19656</v>
      </c>
      <c r="CS94" s="464">
        <f t="shared" si="51"/>
        <v>19656</v>
      </c>
      <c r="CT94" s="464"/>
      <c r="CU94" s="464"/>
      <c r="CV94" s="464"/>
      <c r="CW94" s="464"/>
      <c r="CX94" s="464"/>
      <c r="CY94" s="464"/>
      <c r="CZ94" s="464"/>
      <c r="DA94" s="464"/>
      <c r="DB94" s="464"/>
      <c r="DC94" s="464"/>
      <c r="DD94" s="464"/>
      <c r="DE94" s="464"/>
      <c r="DF94" s="464"/>
      <c r="DG94" s="464"/>
      <c r="DH94" s="464"/>
      <c r="DI94" s="464"/>
      <c r="DJ94" s="464"/>
      <c r="DK94" s="464"/>
      <c r="DL94" s="464"/>
      <c r="DM94" s="464"/>
      <c r="DN94" s="464"/>
      <c r="DO94" s="464"/>
      <c r="DP94" s="464"/>
      <c r="DQ94" s="464"/>
      <c r="DR94" s="464"/>
      <c r="DS94" s="464"/>
      <c r="DT94" s="464"/>
      <c r="DU94" s="464"/>
      <c r="DV94" s="464"/>
      <c r="DW94" s="464"/>
      <c r="DX94" s="464"/>
      <c r="DY94" s="464"/>
      <c r="DZ94" s="464"/>
      <c r="EA94" s="464"/>
      <c r="EB94" s="464"/>
      <c r="EC94" s="464"/>
      <c r="ED94" s="464"/>
      <c r="EE94" s="464"/>
      <c r="EF94" s="464"/>
      <c r="EG94" s="464"/>
      <c r="EH94" s="464"/>
      <c r="EI94" s="464"/>
      <c r="EJ94" s="464"/>
      <c r="EK94" s="464"/>
      <c r="EL94" s="464"/>
      <c r="EM94" s="464"/>
      <c r="EN94" s="464"/>
      <c r="EO94" s="464"/>
      <c r="EP94" s="464"/>
      <c r="EQ94" s="464"/>
      <c r="ER94" s="464"/>
      <c r="ES94" s="464"/>
      <c r="ET94" s="464"/>
      <c r="EU94" s="464"/>
      <c r="EV94" s="464"/>
      <c r="EW94" s="464"/>
      <c r="EX94" s="464"/>
      <c r="EY94" s="464"/>
      <c r="EZ94" s="464"/>
      <c r="FA94" s="464"/>
      <c r="FB94" s="464"/>
      <c r="FC94" s="464"/>
      <c r="FD94" s="464"/>
      <c r="FE94" s="464"/>
      <c r="FF94" s="472">
        <f>MEDIAN(J94,CR94)</f>
        <v>20328</v>
      </c>
      <c r="FG94" s="472">
        <f>AVERAGE(J94,CR94)</f>
        <v>20328</v>
      </c>
      <c r="FH94" s="473">
        <f>STDEV(J94,CR94)</f>
        <v>950.35151391471982</v>
      </c>
      <c r="FI94" s="476">
        <f t="shared" si="45"/>
        <v>4.6750861566052723E-2</v>
      </c>
      <c r="FJ94" s="475">
        <f t="shared" si="46"/>
        <v>20328</v>
      </c>
      <c r="FK94" s="469">
        <f t="shared" si="48"/>
        <v>20328</v>
      </c>
      <c r="FL94" s="467" t="s">
        <v>621</v>
      </c>
      <c r="FM94" s="470"/>
    </row>
    <row r="95" spans="1:169" s="457" customFormat="1" ht="32.5" customHeight="1" x14ac:dyDescent="0.35">
      <c r="A95" s="458">
        <v>91</v>
      </c>
      <c r="B95" s="459" t="s">
        <v>802</v>
      </c>
      <c r="C95" s="460" t="s">
        <v>803</v>
      </c>
      <c r="D95" s="461" t="s">
        <v>620</v>
      </c>
      <c r="E95" s="458">
        <v>1</v>
      </c>
      <c r="F95" s="463"/>
      <c r="G95" s="463"/>
      <c r="H95" s="463"/>
      <c r="I95" s="463"/>
      <c r="J95" s="463">
        <v>4500</v>
      </c>
      <c r="K95" s="463">
        <f t="shared" si="49"/>
        <v>4500</v>
      </c>
      <c r="L95" s="464"/>
      <c r="M95" s="464"/>
      <c r="N95" s="464"/>
      <c r="O95" s="464"/>
      <c r="P95" s="464"/>
      <c r="Q95" s="464"/>
      <c r="R95" s="464"/>
      <c r="S95" s="464"/>
      <c r="T95" s="464"/>
      <c r="U95" s="464"/>
      <c r="V95" s="464"/>
      <c r="W95" s="464"/>
      <c r="X95" s="464"/>
      <c r="Y95" s="464"/>
      <c r="Z95" s="464"/>
      <c r="AA95" s="464"/>
      <c r="AB95" s="464"/>
      <c r="AC95" s="464"/>
      <c r="AD95" s="463">
        <v>3902.8568833333325</v>
      </c>
      <c r="AE95" s="464">
        <f t="shared" si="50"/>
        <v>3902.8568833333325</v>
      </c>
      <c r="AF95" s="464"/>
      <c r="AG95" s="464"/>
      <c r="AH95" s="464"/>
      <c r="AI95" s="464"/>
      <c r="AJ95" s="464"/>
      <c r="AK95" s="464"/>
      <c r="AL95" s="464"/>
      <c r="AM95" s="464"/>
      <c r="AN95" s="464"/>
      <c r="AO95" s="464"/>
      <c r="AP95" s="464"/>
      <c r="AQ95" s="464"/>
      <c r="AR95" s="464"/>
      <c r="AS95" s="464"/>
      <c r="AT95" s="464"/>
      <c r="AU95" s="464"/>
      <c r="AV95" s="464"/>
      <c r="AW95" s="464"/>
      <c r="AX95" s="464"/>
      <c r="AY95" s="464"/>
      <c r="AZ95" s="464"/>
      <c r="BA95" s="464"/>
      <c r="BB95" s="464"/>
      <c r="BC95" s="464"/>
      <c r="BD95" s="464"/>
      <c r="BE95" s="464"/>
      <c r="BF95" s="464"/>
      <c r="BG95" s="464"/>
      <c r="BH95" s="464"/>
      <c r="BI95" s="464"/>
      <c r="BJ95" s="464"/>
      <c r="BK95" s="464"/>
      <c r="BL95" s="464"/>
      <c r="BM95" s="464"/>
      <c r="BN95" s="464"/>
      <c r="BO95" s="464"/>
      <c r="BP95" s="464"/>
      <c r="BQ95" s="464"/>
      <c r="BR95" s="464"/>
      <c r="BS95" s="464"/>
      <c r="BT95" s="464"/>
      <c r="BU95" s="464"/>
      <c r="BV95" s="464"/>
      <c r="BW95" s="464"/>
      <c r="BX95" s="464"/>
      <c r="BY95" s="464"/>
      <c r="BZ95" s="464"/>
      <c r="CA95" s="464"/>
      <c r="CB95" s="464"/>
      <c r="CC95" s="464"/>
      <c r="CD95" s="464"/>
      <c r="CE95" s="464"/>
      <c r="CF95" s="464"/>
      <c r="CG95" s="464"/>
      <c r="CH95" s="464"/>
      <c r="CI95" s="464"/>
      <c r="CJ95" s="464"/>
      <c r="CK95" s="464"/>
      <c r="CL95" s="464"/>
      <c r="CM95" s="464"/>
      <c r="CN95" s="464"/>
      <c r="CO95" s="464"/>
      <c r="CP95" s="464"/>
      <c r="CQ95" s="464"/>
      <c r="CR95" s="464"/>
      <c r="CS95" s="464"/>
      <c r="CT95" s="464"/>
      <c r="CU95" s="464"/>
      <c r="CV95" s="464"/>
      <c r="CW95" s="464"/>
      <c r="CX95" s="464"/>
      <c r="CY95" s="464"/>
      <c r="CZ95" s="464"/>
      <c r="DA95" s="464"/>
      <c r="DB95" s="464"/>
      <c r="DC95" s="464"/>
      <c r="DD95" s="464"/>
      <c r="DE95" s="464"/>
      <c r="DF95" s="464"/>
      <c r="DG95" s="464"/>
      <c r="DH95" s="464"/>
      <c r="DI95" s="464"/>
      <c r="DJ95" s="464"/>
      <c r="DK95" s="464"/>
      <c r="DL95" s="464"/>
      <c r="DM95" s="464"/>
      <c r="DN95" s="464"/>
      <c r="DO95" s="464"/>
      <c r="DP95" s="464"/>
      <c r="DQ95" s="464"/>
      <c r="DR95" s="464"/>
      <c r="DS95" s="464"/>
      <c r="DT95" s="464"/>
      <c r="DU95" s="464"/>
      <c r="DV95" s="464"/>
      <c r="DW95" s="464"/>
      <c r="DX95" s="464"/>
      <c r="DY95" s="464"/>
      <c r="DZ95" s="464"/>
      <c r="EA95" s="464"/>
      <c r="EB95" s="464"/>
      <c r="EC95" s="464"/>
      <c r="ED95" s="464"/>
      <c r="EE95" s="464"/>
      <c r="EF95" s="464"/>
      <c r="EG95" s="464"/>
      <c r="EH95" s="464"/>
      <c r="EI95" s="464"/>
      <c r="EJ95" s="464"/>
      <c r="EK95" s="464"/>
      <c r="EL95" s="464"/>
      <c r="EM95" s="464"/>
      <c r="EN95" s="464"/>
      <c r="EO95" s="464"/>
      <c r="EP95" s="464"/>
      <c r="EQ95" s="464"/>
      <c r="ER95" s="464"/>
      <c r="ES95" s="464"/>
      <c r="ET95" s="464"/>
      <c r="EU95" s="464"/>
      <c r="EV95" s="464"/>
      <c r="EW95" s="464"/>
      <c r="EX95" s="464"/>
      <c r="EY95" s="464"/>
      <c r="EZ95" s="464"/>
      <c r="FA95" s="464"/>
      <c r="FB95" s="464"/>
      <c r="FC95" s="464"/>
      <c r="FD95" s="464"/>
      <c r="FE95" s="464"/>
      <c r="FF95" s="472">
        <f>MEDIAN(J95,AD95)</f>
        <v>4201.428441666666</v>
      </c>
      <c r="FG95" s="472">
        <f>AVERAGE(J95,AD95)</f>
        <v>4201.428441666666</v>
      </c>
      <c r="FH95" s="473">
        <f>STDEV(J95,AD95)</f>
        <v>422.24394713387034</v>
      </c>
      <c r="FI95" s="476">
        <f t="shared" si="45"/>
        <v>0.10050009252719065</v>
      </c>
      <c r="FJ95" s="475">
        <f t="shared" si="46"/>
        <v>4202</v>
      </c>
      <c r="FK95" s="469">
        <f t="shared" si="48"/>
        <v>4202</v>
      </c>
      <c r="FL95" s="467" t="s">
        <v>621</v>
      </c>
      <c r="FM95" s="470"/>
    </row>
    <row r="96" spans="1:169" ht="51.75" customHeight="1" x14ac:dyDescent="0.35">
      <c r="A96" s="458">
        <v>92</v>
      </c>
      <c r="B96" s="485" t="s">
        <v>804</v>
      </c>
      <c r="C96" s="486" t="s">
        <v>805</v>
      </c>
      <c r="D96" s="487" t="s">
        <v>620</v>
      </c>
      <c r="E96" s="458">
        <v>1</v>
      </c>
      <c r="F96" s="482"/>
      <c r="G96" s="482"/>
      <c r="H96" s="482"/>
      <c r="I96" s="482"/>
      <c r="J96" s="482"/>
      <c r="K96" s="482">
        <f t="shared" si="49"/>
        <v>0</v>
      </c>
      <c r="L96" s="489"/>
      <c r="M96" s="489"/>
      <c r="N96" s="489"/>
      <c r="O96" s="489"/>
      <c r="P96" s="489"/>
      <c r="Q96" s="489"/>
      <c r="R96" s="489"/>
      <c r="S96" s="489"/>
      <c r="T96" s="489"/>
      <c r="U96" s="489"/>
      <c r="V96" s="489"/>
      <c r="W96" s="464"/>
      <c r="X96" s="464"/>
      <c r="Y96" s="464"/>
      <c r="Z96" s="464"/>
      <c r="AA96" s="464"/>
      <c r="AB96" s="464"/>
      <c r="AC96" s="464"/>
      <c r="AD96" s="482">
        <v>75194.91</v>
      </c>
      <c r="AE96" s="464">
        <f t="shared" si="50"/>
        <v>75194.91</v>
      </c>
      <c r="AF96" s="464"/>
      <c r="AG96" s="464"/>
      <c r="AH96" s="464"/>
      <c r="AI96" s="464"/>
      <c r="AJ96" s="464"/>
      <c r="AK96" s="464"/>
      <c r="AL96" s="464"/>
      <c r="AM96" s="464"/>
      <c r="AN96" s="464"/>
      <c r="AO96" s="464"/>
      <c r="AP96" s="464"/>
      <c r="AQ96" s="464"/>
      <c r="AR96" s="464"/>
      <c r="AS96" s="464"/>
      <c r="AT96" s="464"/>
      <c r="AU96" s="464"/>
      <c r="AV96" s="464"/>
      <c r="AW96" s="464"/>
      <c r="AX96" s="464"/>
      <c r="AY96" s="464"/>
      <c r="AZ96" s="464"/>
      <c r="BA96" s="464"/>
      <c r="BB96" s="464"/>
      <c r="BC96" s="464"/>
      <c r="BD96" s="464"/>
      <c r="BE96" s="464"/>
      <c r="BF96" s="464"/>
      <c r="BG96" s="464"/>
      <c r="BH96" s="464"/>
      <c r="BI96" s="464"/>
      <c r="BJ96" s="464"/>
      <c r="BK96" s="464"/>
      <c r="BL96" s="464">
        <v>140000</v>
      </c>
      <c r="BM96" s="464"/>
      <c r="BN96" s="464">
        <v>75000</v>
      </c>
      <c r="BO96" s="464"/>
      <c r="BP96" s="464"/>
      <c r="BQ96" s="464"/>
      <c r="BR96" s="464"/>
      <c r="BS96" s="464"/>
      <c r="BT96" s="464"/>
      <c r="BU96" s="464"/>
      <c r="BV96" s="464"/>
      <c r="BW96" s="464"/>
      <c r="BX96" s="464"/>
      <c r="BY96" s="464"/>
      <c r="BZ96" s="464"/>
      <c r="CA96" s="464"/>
      <c r="CB96" s="464"/>
      <c r="CC96" s="464"/>
      <c r="CD96" s="464"/>
      <c r="CE96" s="464"/>
      <c r="CF96" s="464"/>
      <c r="CG96" s="464"/>
      <c r="CH96" s="464"/>
      <c r="CI96" s="464"/>
      <c r="CJ96" s="464"/>
      <c r="CK96" s="464"/>
      <c r="CL96" s="464"/>
      <c r="CM96" s="464"/>
      <c r="CN96" s="464"/>
      <c r="CO96" s="464"/>
      <c r="CP96" s="464"/>
      <c r="CQ96" s="464"/>
      <c r="CR96" s="464"/>
      <c r="CS96" s="464"/>
      <c r="CT96" s="464"/>
      <c r="CU96" s="464"/>
      <c r="CV96" s="464"/>
      <c r="CW96" s="464"/>
      <c r="CX96" s="464"/>
      <c r="CY96" s="464"/>
      <c r="CZ96" s="464"/>
      <c r="DA96" s="464"/>
      <c r="DB96" s="464"/>
      <c r="DC96" s="464"/>
      <c r="DD96" s="464"/>
      <c r="DE96" s="464"/>
      <c r="DF96" s="464"/>
      <c r="DG96" s="464"/>
      <c r="DH96" s="464"/>
      <c r="DI96" s="464"/>
      <c r="DJ96" s="464"/>
      <c r="DK96" s="464"/>
      <c r="DL96" s="464"/>
      <c r="DM96" s="464"/>
      <c r="DN96" s="464"/>
      <c r="DO96" s="464"/>
      <c r="DP96" s="464"/>
      <c r="DQ96" s="464"/>
      <c r="DR96" s="464"/>
      <c r="DS96" s="464"/>
      <c r="DT96" s="464"/>
      <c r="DU96" s="464"/>
      <c r="DV96" s="464"/>
      <c r="DW96" s="464"/>
      <c r="DX96" s="464"/>
      <c r="DY96" s="464"/>
      <c r="DZ96" s="464"/>
      <c r="EA96" s="464"/>
      <c r="EB96" s="464"/>
      <c r="EC96" s="464"/>
      <c r="ED96" s="464"/>
      <c r="EE96" s="464"/>
      <c r="EF96" s="464"/>
      <c r="EG96" s="464"/>
      <c r="EH96" s="464"/>
      <c r="EI96" s="464"/>
      <c r="EJ96" s="464"/>
      <c r="EK96" s="464"/>
      <c r="EL96" s="464"/>
      <c r="EM96" s="464"/>
      <c r="EN96" s="464"/>
      <c r="EO96" s="464"/>
      <c r="EP96" s="464"/>
      <c r="EQ96" s="464"/>
      <c r="ER96" s="464"/>
      <c r="ES96" s="464"/>
      <c r="ET96" s="464"/>
      <c r="EU96" s="464"/>
      <c r="EV96" s="464"/>
      <c r="EW96" s="464"/>
      <c r="EX96" s="464"/>
      <c r="EY96" s="464"/>
      <c r="EZ96" s="464"/>
      <c r="FA96" s="464"/>
      <c r="FB96" s="464"/>
      <c r="FC96" s="464"/>
      <c r="FD96" s="464"/>
      <c r="FE96" s="464"/>
      <c r="FF96" s="472">
        <f>MEDIAN(AD96,BN96)</f>
        <v>75097.455000000002</v>
      </c>
      <c r="FG96" s="472">
        <f>AVERAGE(AD96,BN96)</f>
        <v>75097.455000000002</v>
      </c>
      <c r="FH96" s="473">
        <f>STDEV(AD96,BN96)</f>
        <v>137.82218272107244</v>
      </c>
      <c r="FI96" s="476">
        <f t="shared" si="45"/>
        <v>1.8352443863919547E-3</v>
      </c>
      <c r="FJ96" s="475">
        <f t="shared" si="46"/>
        <v>75098</v>
      </c>
      <c r="FK96" s="469">
        <f t="shared" si="48"/>
        <v>75098</v>
      </c>
      <c r="FL96" s="467" t="s">
        <v>621</v>
      </c>
      <c r="FM96" s="470"/>
    </row>
    <row r="97" spans="1:169" ht="45.75" customHeight="1" x14ac:dyDescent="0.35">
      <c r="A97" s="458">
        <v>93</v>
      </c>
      <c r="B97" s="485" t="s">
        <v>806</v>
      </c>
      <c r="C97" s="486" t="s">
        <v>807</v>
      </c>
      <c r="D97" s="487" t="s">
        <v>620</v>
      </c>
      <c r="E97" s="458">
        <v>1</v>
      </c>
      <c r="F97" s="482"/>
      <c r="G97" s="482"/>
      <c r="H97" s="482"/>
      <c r="I97" s="482"/>
      <c r="J97" s="482">
        <v>42300</v>
      </c>
      <c r="K97" s="482">
        <f t="shared" si="49"/>
        <v>42300</v>
      </c>
      <c r="L97" s="489"/>
      <c r="M97" s="489"/>
      <c r="N97" s="489"/>
      <c r="O97" s="489"/>
      <c r="P97" s="489"/>
      <c r="Q97" s="489"/>
      <c r="R97" s="489"/>
      <c r="S97" s="489"/>
      <c r="T97" s="489"/>
      <c r="U97" s="489"/>
      <c r="V97" s="489"/>
      <c r="W97" s="464"/>
      <c r="X97" s="464"/>
      <c r="Y97" s="464"/>
      <c r="Z97" s="464"/>
      <c r="AA97" s="464"/>
      <c r="AB97" s="464"/>
      <c r="AC97" s="464"/>
      <c r="AD97" s="482">
        <v>54763.799999999996</v>
      </c>
      <c r="AE97" s="464">
        <f t="shared" si="50"/>
        <v>54763.799999999996</v>
      </c>
      <c r="AF97" s="464"/>
      <c r="AG97" s="464"/>
      <c r="AH97" s="464"/>
      <c r="AI97" s="464"/>
      <c r="AJ97" s="464"/>
      <c r="AK97" s="464"/>
      <c r="AL97" s="464"/>
      <c r="AM97" s="464"/>
      <c r="AN97" s="464"/>
      <c r="AO97" s="464"/>
      <c r="AP97" s="464"/>
      <c r="AQ97" s="464"/>
      <c r="AR97" s="464"/>
      <c r="AS97" s="464"/>
      <c r="AT97" s="464"/>
      <c r="AU97" s="464"/>
      <c r="AV97" s="464"/>
      <c r="AW97" s="464"/>
      <c r="AX97" s="464"/>
      <c r="AY97" s="464"/>
      <c r="AZ97" s="464"/>
      <c r="BA97" s="464"/>
      <c r="BB97" s="464"/>
      <c r="BC97" s="464"/>
      <c r="BD97" s="464"/>
      <c r="BE97" s="464"/>
      <c r="BF97" s="464"/>
      <c r="BG97" s="464"/>
      <c r="BH97" s="464"/>
      <c r="BI97" s="464"/>
      <c r="BJ97" s="464"/>
      <c r="BK97" s="464"/>
      <c r="BL97" s="464"/>
      <c r="BM97" s="464"/>
      <c r="BN97" s="464"/>
      <c r="BO97" s="464"/>
      <c r="BP97" s="464"/>
      <c r="BQ97" s="464"/>
      <c r="BR97" s="464"/>
      <c r="BS97" s="464"/>
      <c r="BT97" s="464"/>
      <c r="BU97" s="464"/>
      <c r="BV97" s="464"/>
      <c r="BW97" s="464"/>
      <c r="BX97" s="464"/>
      <c r="BY97" s="464"/>
      <c r="BZ97" s="464"/>
      <c r="CA97" s="464"/>
      <c r="CB97" s="464"/>
      <c r="CC97" s="464"/>
      <c r="CD97" s="464"/>
      <c r="CE97" s="464"/>
      <c r="CF97" s="464"/>
      <c r="CG97" s="464"/>
      <c r="CH97" s="464"/>
      <c r="CI97" s="464"/>
      <c r="CJ97" s="464"/>
      <c r="CK97" s="464"/>
      <c r="CL97" s="464"/>
      <c r="CM97" s="464"/>
      <c r="CN97" s="464"/>
      <c r="CO97" s="464"/>
      <c r="CP97" s="464"/>
      <c r="CQ97" s="464"/>
      <c r="CR97" s="464"/>
      <c r="CS97" s="464"/>
      <c r="CT97" s="464"/>
      <c r="CU97" s="464"/>
      <c r="CV97" s="464"/>
      <c r="CW97" s="464"/>
      <c r="CX97" s="464"/>
      <c r="CY97" s="464"/>
      <c r="CZ97" s="464"/>
      <c r="DA97" s="464"/>
      <c r="DB97" s="464"/>
      <c r="DC97" s="464"/>
      <c r="DD97" s="464"/>
      <c r="DE97" s="464"/>
      <c r="DF97" s="464"/>
      <c r="DG97" s="464"/>
      <c r="DH97" s="464"/>
      <c r="DI97" s="464"/>
      <c r="DJ97" s="464"/>
      <c r="DK97" s="464"/>
      <c r="DL97" s="464"/>
      <c r="DM97" s="464"/>
      <c r="DN97" s="464"/>
      <c r="DO97" s="464"/>
      <c r="DP97" s="464"/>
      <c r="DQ97" s="464"/>
      <c r="DR97" s="464"/>
      <c r="DS97" s="464"/>
      <c r="DT97" s="464"/>
      <c r="DU97" s="464"/>
      <c r="DV97" s="464"/>
      <c r="DW97" s="464"/>
      <c r="DX97" s="464"/>
      <c r="DY97" s="464"/>
      <c r="DZ97" s="464"/>
      <c r="EA97" s="464"/>
      <c r="EB97" s="464"/>
      <c r="EC97" s="464"/>
      <c r="ED97" s="464"/>
      <c r="EE97" s="464"/>
      <c r="EF97" s="464"/>
      <c r="EG97" s="464"/>
      <c r="EH97" s="464"/>
      <c r="EI97" s="464"/>
      <c r="EJ97" s="464"/>
      <c r="EK97" s="464"/>
      <c r="EL97" s="464"/>
      <c r="EM97" s="464"/>
      <c r="EN97" s="464"/>
      <c r="EO97" s="464"/>
      <c r="EP97" s="464"/>
      <c r="EQ97" s="464"/>
      <c r="ER97" s="464"/>
      <c r="ES97" s="464"/>
      <c r="ET97" s="464"/>
      <c r="EU97" s="464"/>
      <c r="EV97" s="464"/>
      <c r="EW97" s="464"/>
      <c r="EX97" s="464"/>
      <c r="EY97" s="464"/>
      <c r="EZ97" s="464"/>
      <c r="FA97" s="464"/>
      <c r="FB97" s="464"/>
      <c r="FC97" s="464"/>
      <c r="FD97" s="464"/>
      <c r="FE97" s="464"/>
      <c r="FF97" s="472">
        <f>MEDIAN(J97,AD97)</f>
        <v>48531.899999999994</v>
      </c>
      <c r="FG97" s="472">
        <f>AVERAGE(J97,AD97)</f>
        <v>48531.899999999994</v>
      </c>
      <c r="FH97" s="473">
        <f>STDEV(J97,AD97)</f>
        <v>8813.2374993529065</v>
      </c>
      <c r="FI97" s="476">
        <f t="shared" si="45"/>
        <v>0.18159679508432408</v>
      </c>
      <c r="FJ97" s="475">
        <f t="shared" si="46"/>
        <v>48532</v>
      </c>
      <c r="FK97" s="469">
        <f t="shared" si="48"/>
        <v>48532</v>
      </c>
      <c r="FL97" s="467" t="s">
        <v>632</v>
      </c>
      <c r="FM97" s="470"/>
    </row>
    <row r="98" spans="1:169" ht="32.5" customHeight="1" x14ac:dyDescent="0.35">
      <c r="A98" s="458">
        <v>94</v>
      </c>
      <c r="B98" s="485" t="s">
        <v>808</v>
      </c>
      <c r="C98" s="486" t="s">
        <v>809</v>
      </c>
      <c r="D98" s="487" t="s">
        <v>620</v>
      </c>
      <c r="E98" s="458">
        <v>1</v>
      </c>
      <c r="F98" s="482"/>
      <c r="G98" s="482"/>
      <c r="H98" s="482">
        <v>15000</v>
      </c>
      <c r="I98" s="482">
        <f>+H98*E98</f>
        <v>15000</v>
      </c>
      <c r="J98" s="482">
        <v>16000</v>
      </c>
      <c r="K98" s="482">
        <f t="shared" si="49"/>
        <v>16000</v>
      </c>
      <c r="L98" s="489"/>
      <c r="M98" s="489"/>
      <c r="N98" s="489"/>
      <c r="O98" s="489"/>
      <c r="P98" s="489"/>
      <c r="Q98" s="489"/>
      <c r="R98" s="489"/>
      <c r="S98" s="489"/>
      <c r="T98" s="489"/>
      <c r="U98" s="489"/>
      <c r="V98" s="489"/>
      <c r="W98" s="464"/>
      <c r="X98" s="464"/>
      <c r="Y98" s="464"/>
      <c r="Z98" s="464"/>
      <c r="AA98" s="464"/>
      <c r="AB98" s="464"/>
      <c r="AC98" s="464"/>
      <c r="AD98" s="482">
        <v>28084</v>
      </c>
      <c r="AE98" s="464">
        <f t="shared" si="50"/>
        <v>28084</v>
      </c>
      <c r="AF98" s="464"/>
      <c r="AG98" s="464"/>
      <c r="AH98" s="464"/>
      <c r="AI98" s="464"/>
      <c r="AJ98" s="464"/>
      <c r="AK98" s="464"/>
      <c r="AL98" s="464"/>
      <c r="AM98" s="464"/>
      <c r="AN98" s="464"/>
      <c r="AO98" s="464"/>
      <c r="AP98" s="464"/>
      <c r="AQ98" s="464"/>
      <c r="AR98" s="464"/>
      <c r="AS98" s="464"/>
      <c r="AT98" s="464"/>
      <c r="AU98" s="464"/>
      <c r="AV98" s="464"/>
      <c r="AW98" s="464"/>
      <c r="AX98" s="464"/>
      <c r="AY98" s="464"/>
      <c r="AZ98" s="464"/>
      <c r="BA98" s="464"/>
      <c r="BB98" s="464"/>
      <c r="BC98" s="464"/>
      <c r="BD98" s="464"/>
      <c r="BE98" s="464"/>
      <c r="BF98" s="464"/>
      <c r="BG98" s="464"/>
      <c r="BH98" s="464"/>
      <c r="BI98" s="464"/>
      <c r="BJ98" s="464"/>
      <c r="BK98" s="464"/>
      <c r="BL98" s="464"/>
      <c r="BM98" s="464"/>
      <c r="BN98" s="464"/>
      <c r="BO98" s="464"/>
      <c r="BP98" s="464"/>
      <c r="BQ98" s="464"/>
      <c r="BR98" s="464"/>
      <c r="BS98" s="464"/>
      <c r="BT98" s="464"/>
      <c r="BU98" s="464"/>
      <c r="BV98" s="464"/>
      <c r="BW98" s="464"/>
      <c r="BX98" s="464"/>
      <c r="BY98" s="464"/>
      <c r="BZ98" s="464"/>
      <c r="CA98" s="464"/>
      <c r="CB98" s="464"/>
      <c r="CC98" s="464"/>
      <c r="CD98" s="464"/>
      <c r="CE98" s="464"/>
      <c r="CF98" s="464"/>
      <c r="CG98" s="464"/>
      <c r="CH98" s="464"/>
      <c r="CI98" s="464"/>
      <c r="CJ98" s="464"/>
      <c r="CK98" s="464"/>
      <c r="CL98" s="464"/>
      <c r="CM98" s="464"/>
      <c r="CN98" s="464"/>
      <c r="CO98" s="464"/>
      <c r="CP98" s="464"/>
      <c r="CQ98" s="464"/>
      <c r="CR98" s="464"/>
      <c r="CS98" s="464"/>
      <c r="CT98" s="464"/>
      <c r="CU98" s="464"/>
      <c r="CV98" s="464"/>
      <c r="CW98" s="464"/>
      <c r="CX98" s="464"/>
      <c r="CY98" s="464"/>
      <c r="CZ98" s="464"/>
      <c r="DA98" s="464"/>
      <c r="DB98" s="464"/>
      <c r="DC98" s="464"/>
      <c r="DD98" s="464"/>
      <c r="DE98" s="464"/>
      <c r="DF98" s="464"/>
      <c r="DG98" s="464"/>
      <c r="DH98" s="464"/>
      <c r="DI98" s="464"/>
      <c r="DJ98" s="464"/>
      <c r="DK98" s="464"/>
      <c r="DL98" s="464"/>
      <c r="DM98" s="464"/>
      <c r="DN98" s="464"/>
      <c r="DO98" s="464"/>
      <c r="DP98" s="464"/>
      <c r="DQ98" s="464"/>
      <c r="DR98" s="464"/>
      <c r="DS98" s="464"/>
      <c r="DT98" s="464"/>
      <c r="DU98" s="464"/>
      <c r="DV98" s="464"/>
      <c r="DW98" s="464"/>
      <c r="DX98" s="464"/>
      <c r="DY98" s="464"/>
      <c r="DZ98" s="464"/>
      <c r="EA98" s="464"/>
      <c r="EB98" s="464"/>
      <c r="EC98" s="464"/>
      <c r="ED98" s="464"/>
      <c r="EE98" s="464"/>
      <c r="EF98" s="464"/>
      <c r="EG98" s="464"/>
      <c r="EH98" s="464"/>
      <c r="EI98" s="464"/>
      <c r="EJ98" s="464"/>
      <c r="EK98" s="464"/>
      <c r="EL98" s="464"/>
      <c r="EM98" s="464"/>
      <c r="EN98" s="464"/>
      <c r="EO98" s="464"/>
      <c r="EP98" s="464"/>
      <c r="EQ98" s="464"/>
      <c r="ER98" s="464"/>
      <c r="ES98" s="464"/>
      <c r="ET98" s="464"/>
      <c r="EU98" s="464"/>
      <c r="EV98" s="464"/>
      <c r="EW98" s="464"/>
      <c r="EX98" s="464"/>
      <c r="EY98" s="464"/>
      <c r="EZ98" s="464"/>
      <c r="FA98" s="464"/>
      <c r="FB98" s="464"/>
      <c r="FC98" s="464"/>
      <c r="FD98" s="464"/>
      <c r="FE98" s="464"/>
      <c r="FF98" s="472">
        <f>MEDIAN(H98,J98)</f>
        <v>15500</v>
      </c>
      <c r="FG98" s="472">
        <f>AVERAGE(H98,J98)</f>
        <v>15500</v>
      </c>
      <c r="FH98" s="473">
        <f>STDEV(H98,J98)</f>
        <v>707.10678118654755</v>
      </c>
      <c r="FI98" s="476">
        <f t="shared" si="45"/>
        <v>4.5619792334615973E-2</v>
      </c>
      <c r="FJ98" s="475">
        <f t="shared" si="46"/>
        <v>15500</v>
      </c>
      <c r="FK98" s="469">
        <f t="shared" si="48"/>
        <v>15500</v>
      </c>
      <c r="FL98" s="467" t="s">
        <v>621</v>
      </c>
      <c r="FM98" s="470"/>
    </row>
    <row r="99" spans="1:169" ht="32.5" customHeight="1" x14ac:dyDescent="0.35">
      <c r="A99" s="458">
        <v>95</v>
      </c>
      <c r="B99" s="485" t="s">
        <v>810</v>
      </c>
      <c r="C99" s="486" t="s">
        <v>811</v>
      </c>
      <c r="D99" s="487" t="s">
        <v>620</v>
      </c>
      <c r="E99" s="458">
        <v>1</v>
      </c>
      <c r="F99" s="482"/>
      <c r="G99" s="482"/>
      <c r="H99" s="482"/>
      <c r="I99" s="482"/>
      <c r="J99" s="482"/>
      <c r="K99" s="482"/>
      <c r="L99" s="489"/>
      <c r="M99" s="489"/>
      <c r="N99" s="489"/>
      <c r="O99" s="489"/>
      <c r="P99" s="489"/>
      <c r="Q99" s="489"/>
      <c r="R99" s="489"/>
      <c r="S99" s="489"/>
      <c r="T99" s="489"/>
      <c r="U99" s="489"/>
      <c r="V99" s="489"/>
      <c r="W99" s="464"/>
      <c r="X99" s="464"/>
      <c r="Y99" s="464"/>
      <c r="Z99" s="464"/>
      <c r="AA99" s="464"/>
      <c r="AB99" s="464"/>
      <c r="AC99" s="464"/>
      <c r="AD99" s="482">
        <v>24994.76</v>
      </c>
      <c r="AE99" s="464">
        <f t="shared" si="50"/>
        <v>24994.76</v>
      </c>
      <c r="AF99" s="464"/>
      <c r="AG99" s="464"/>
      <c r="AH99" s="464"/>
      <c r="AI99" s="464"/>
      <c r="AJ99" s="464"/>
      <c r="AK99" s="464"/>
      <c r="AL99" s="464"/>
      <c r="AM99" s="464"/>
      <c r="AN99" s="464"/>
      <c r="AO99" s="464"/>
      <c r="AP99" s="464"/>
      <c r="AQ99" s="464"/>
      <c r="AR99" s="464"/>
      <c r="AS99" s="464"/>
      <c r="AT99" s="464"/>
      <c r="AU99" s="464"/>
      <c r="AV99" s="464"/>
      <c r="AW99" s="464"/>
      <c r="AX99" s="464"/>
      <c r="AY99" s="464"/>
      <c r="AZ99" s="464"/>
      <c r="BA99" s="464"/>
      <c r="BB99" s="464"/>
      <c r="BC99" s="464"/>
      <c r="BD99" s="464"/>
      <c r="BE99" s="464"/>
      <c r="BF99" s="464"/>
      <c r="BG99" s="464"/>
      <c r="BH99" s="464"/>
      <c r="BI99" s="464"/>
      <c r="BJ99" s="464"/>
      <c r="BK99" s="464"/>
      <c r="BL99" s="464"/>
      <c r="BM99" s="464"/>
      <c r="BN99" s="464"/>
      <c r="BO99" s="464"/>
      <c r="BP99" s="464"/>
      <c r="BQ99" s="464"/>
      <c r="BR99" s="464"/>
      <c r="BS99" s="464"/>
      <c r="BT99" s="464"/>
      <c r="BU99" s="464"/>
      <c r="BV99" s="464"/>
      <c r="BW99" s="464"/>
      <c r="BX99" s="464"/>
      <c r="BY99" s="464"/>
      <c r="BZ99" s="464"/>
      <c r="CA99" s="464"/>
      <c r="CB99" s="464"/>
      <c r="CC99" s="464"/>
      <c r="CD99" s="464"/>
      <c r="CE99" s="464"/>
      <c r="CF99" s="464"/>
      <c r="CG99" s="464"/>
      <c r="CH99" s="464"/>
      <c r="CI99" s="464"/>
      <c r="CJ99" s="464"/>
      <c r="CK99" s="464"/>
      <c r="CL99" s="464"/>
      <c r="CM99" s="464"/>
      <c r="CN99" s="464"/>
      <c r="CO99" s="464"/>
      <c r="CP99" s="464"/>
      <c r="CQ99" s="464"/>
      <c r="CR99" s="464">
        <v>25326</v>
      </c>
      <c r="CS99" s="464">
        <f t="shared" ref="CS99" si="52">+CR99*E99</f>
        <v>25326</v>
      </c>
      <c r="CT99" s="464"/>
      <c r="CU99" s="464"/>
      <c r="CV99" s="464"/>
      <c r="CW99" s="464"/>
      <c r="CX99" s="464"/>
      <c r="CY99" s="464"/>
      <c r="CZ99" s="464"/>
      <c r="DA99" s="464"/>
      <c r="DB99" s="464"/>
      <c r="DC99" s="464"/>
      <c r="DD99" s="464"/>
      <c r="DE99" s="464"/>
      <c r="DF99" s="464"/>
      <c r="DG99" s="464"/>
      <c r="DH99" s="464"/>
      <c r="DI99" s="464"/>
      <c r="DJ99" s="464"/>
      <c r="DK99" s="464"/>
      <c r="DL99" s="464"/>
      <c r="DM99" s="464"/>
      <c r="DN99" s="464"/>
      <c r="DO99" s="464"/>
      <c r="DP99" s="464"/>
      <c r="DQ99" s="464"/>
      <c r="DR99" s="464"/>
      <c r="DS99" s="464"/>
      <c r="DT99" s="464"/>
      <c r="DU99" s="464"/>
      <c r="DV99" s="464"/>
      <c r="DW99" s="464"/>
      <c r="DX99" s="464"/>
      <c r="DY99" s="464"/>
      <c r="DZ99" s="464"/>
      <c r="EA99" s="464"/>
      <c r="EB99" s="464"/>
      <c r="EC99" s="464"/>
      <c r="ED99" s="464"/>
      <c r="EE99" s="464"/>
      <c r="EF99" s="464"/>
      <c r="EG99" s="464"/>
      <c r="EH99" s="464"/>
      <c r="EI99" s="464"/>
      <c r="EJ99" s="464"/>
      <c r="EK99" s="464"/>
      <c r="EL99" s="464"/>
      <c r="EM99" s="464"/>
      <c r="EN99" s="464"/>
      <c r="EO99" s="464"/>
      <c r="EP99" s="464"/>
      <c r="EQ99" s="464"/>
      <c r="ER99" s="464"/>
      <c r="ES99" s="464"/>
      <c r="ET99" s="464"/>
      <c r="EU99" s="464"/>
      <c r="EV99" s="464"/>
      <c r="EW99" s="464"/>
      <c r="EX99" s="464"/>
      <c r="EY99" s="464"/>
      <c r="EZ99" s="464"/>
      <c r="FA99" s="464"/>
      <c r="FB99" s="464"/>
      <c r="FC99" s="464"/>
      <c r="FD99" s="464"/>
      <c r="FE99" s="464"/>
      <c r="FF99" s="472">
        <f>MEDIAN(AD99,CR99)</f>
        <v>25160.379999999997</v>
      </c>
      <c r="FG99" s="472">
        <f>AVERAGE(AD99,CR99)</f>
        <v>25160.379999999997</v>
      </c>
      <c r="FH99" s="473">
        <f>STDEV(AD99,CR99)</f>
        <v>234.22205020023313</v>
      </c>
      <c r="FI99" s="476">
        <f t="shared" si="45"/>
        <v>9.3091618727631758E-3</v>
      </c>
      <c r="FJ99" s="475">
        <f t="shared" si="46"/>
        <v>25161</v>
      </c>
      <c r="FK99" s="469">
        <f t="shared" si="48"/>
        <v>25161</v>
      </c>
      <c r="FL99" s="467" t="s">
        <v>621</v>
      </c>
      <c r="FM99" s="470"/>
    </row>
    <row r="100" spans="1:169" ht="66" customHeight="1" x14ac:dyDescent="0.35">
      <c r="A100" s="458">
        <v>96</v>
      </c>
      <c r="B100" s="485" t="s">
        <v>812</v>
      </c>
      <c r="C100" s="486" t="s">
        <v>813</v>
      </c>
      <c r="D100" s="487" t="s">
        <v>620</v>
      </c>
      <c r="E100" s="458">
        <v>1</v>
      </c>
      <c r="F100" s="482"/>
      <c r="G100" s="482"/>
      <c r="H100" s="482"/>
      <c r="I100" s="482"/>
      <c r="J100" s="482">
        <v>8100</v>
      </c>
      <c r="K100" s="482"/>
      <c r="L100" s="489"/>
      <c r="M100" s="489"/>
      <c r="N100" s="489"/>
      <c r="O100" s="489"/>
      <c r="P100" s="489"/>
      <c r="Q100" s="489"/>
      <c r="R100" s="489"/>
      <c r="S100" s="489"/>
      <c r="T100" s="489"/>
      <c r="U100" s="489"/>
      <c r="V100" s="489"/>
      <c r="W100" s="464"/>
      <c r="X100" s="464"/>
      <c r="Y100" s="464"/>
      <c r="Z100" s="464"/>
      <c r="AA100" s="464"/>
      <c r="AB100" s="464"/>
      <c r="AC100" s="464"/>
      <c r="AD100" s="482">
        <v>6009.9759999999997</v>
      </c>
      <c r="AE100" s="464">
        <f t="shared" si="50"/>
        <v>6009.9759999999997</v>
      </c>
      <c r="AF100" s="464"/>
      <c r="AG100" s="464"/>
      <c r="AH100" s="464"/>
      <c r="AI100" s="464"/>
      <c r="AJ100" s="464"/>
      <c r="AK100" s="464"/>
      <c r="AL100" s="464"/>
      <c r="AM100" s="464"/>
      <c r="AN100" s="464"/>
      <c r="AO100" s="464"/>
      <c r="AP100" s="464"/>
      <c r="AQ100" s="464"/>
      <c r="AR100" s="464"/>
      <c r="AS100" s="464"/>
      <c r="AT100" s="464"/>
      <c r="AU100" s="464"/>
      <c r="AV100" s="464"/>
      <c r="AW100" s="464"/>
      <c r="AX100" s="464"/>
      <c r="AY100" s="464"/>
      <c r="AZ100" s="464"/>
      <c r="BA100" s="464"/>
      <c r="BB100" s="464"/>
      <c r="BC100" s="464"/>
      <c r="BD100" s="464"/>
      <c r="BE100" s="464"/>
      <c r="BF100" s="464"/>
      <c r="BG100" s="464"/>
      <c r="BH100" s="464"/>
      <c r="BI100" s="464"/>
      <c r="BJ100" s="464"/>
      <c r="BK100" s="464"/>
      <c r="BL100" s="464"/>
      <c r="BM100" s="464"/>
      <c r="BN100" s="464">
        <v>2500</v>
      </c>
      <c r="BO100" s="464"/>
      <c r="BP100" s="464"/>
      <c r="BQ100" s="464"/>
      <c r="BR100" s="464"/>
      <c r="BS100" s="464"/>
      <c r="BT100" s="464"/>
      <c r="BU100" s="464"/>
      <c r="BV100" s="464"/>
      <c r="BW100" s="464"/>
      <c r="BX100" s="464"/>
      <c r="BY100" s="464"/>
      <c r="BZ100" s="464"/>
      <c r="CA100" s="464"/>
      <c r="CB100" s="464"/>
      <c r="CC100" s="464"/>
      <c r="CD100" s="464"/>
      <c r="CE100" s="464"/>
      <c r="CF100" s="464"/>
      <c r="CG100" s="464"/>
      <c r="CH100" s="464"/>
      <c r="CI100" s="464"/>
      <c r="CJ100" s="464"/>
      <c r="CK100" s="464"/>
      <c r="CL100" s="464"/>
      <c r="CM100" s="464"/>
      <c r="CN100" s="464"/>
      <c r="CO100" s="464"/>
      <c r="CP100" s="464"/>
      <c r="CQ100" s="464"/>
      <c r="CR100" s="464"/>
      <c r="CS100" s="464"/>
      <c r="CT100" s="464"/>
      <c r="CU100" s="464"/>
      <c r="CV100" s="464"/>
      <c r="CW100" s="464"/>
      <c r="CX100" s="464"/>
      <c r="CY100" s="464"/>
      <c r="CZ100" s="464"/>
      <c r="DA100" s="464"/>
      <c r="DB100" s="464"/>
      <c r="DC100" s="464"/>
      <c r="DD100" s="464"/>
      <c r="DE100" s="464"/>
      <c r="DF100" s="464"/>
      <c r="DG100" s="464"/>
      <c r="DH100" s="464"/>
      <c r="DI100" s="464"/>
      <c r="DJ100" s="464"/>
      <c r="DK100" s="464"/>
      <c r="DL100" s="464"/>
      <c r="DM100" s="464"/>
      <c r="DN100" s="464"/>
      <c r="DO100" s="464"/>
      <c r="DP100" s="464"/>
      <c r="DQ100" s="464"/>
      <c r="DR100" s="464"/>
      <c r="DS100" s="464"/>
      <c r="DT100" s="464"/>
      <c r="DU100" s="464"/>
      <c r="DV100" s="464"/>
      <c r="DW100" s="464"/>
      <c r="DX100" s="464"/>
      <c r="DY100" s="464"/>
      <c r="DZ100" s="464"/>
      <c r="EA100" s="464"/>
      <c r="EB100" s="464"/>
      <c r="EC100" s="464"/>
      <c r="ED100" s="464"/>
      <c r="EE100" s="464"/>
      <c r="EF100" s="464"/>
      <c r="EG100" s="464"/>
      <c r="EH100" s="464"/>
      <c r="EI100" s="464"/>
      <c r="EJ100" s="464"/>
      <c r="EK100" s="464"/>
      <c r="EL100" s="464"/>
      <c r="EM100" s="464"/>
      <c r="EN100" s="464"/>
      <c r="EO100" s="464"/>
      <c r="EP100" s="464"/>
      <c r="EQ100" s="464"/>
      <c r="ER100" s="464"/>
      <c r="ES100" s="464"/>
      <c r="ET100" s="464"/>
      <c r="EU100" s="464"/>
      <c r="EV100" s="464"/>
      <c r="EW100" s="464"/>
      <c r="EX100" s="464"/>
      <c r="EY100" s="464"/>
      <c r="EZ100" s="464"/>
      <c r="FA100" s="464"/>
      <c r="FB100" s="464"/>
      <c r="FC100" s="464"/>
      <c r="FD100" s="464"/>
      <c r="FE100" s="464"/>
      <c r="FF100" s="472">
        <f>MEDIAN(AD100,J100)</f>
        <v>7054.9879999999994</v>
      </c>
      <c r="FG100" s="472">
        <f>AVERAGE(AD100,J100)</f>
        <v>7054.9879999999994</v>
      </c>
      <c r="FH100" s="473">
        <f>STDEV(AD100,J100)</f>
        <v>1477.8701432426399</v>
      </c>
      <c r="FI100" s="476">
        <f t="shared" si="45"/>
        <v>0.20947876073533223</v>
      </c>
      <c r="FJ100" s="475">
        <f t="shared" si="46"/>
        <v>7055</v>
      </c>
      <c r="FK100" s="469">
        <f t="shared" si="48"/>
        <v>7055</v>
      </c>
      <c r="FL100" s="467" t="s">
        <v>632</v>
      </c>
      <c r="FM100" s="470"/>
    </row>
    <row r="101" spans="1:169" s="457" customFormat="1" ht="32.5" customHeight="1" x14ac:dyDescent="0.35">
      <c r="A101" s="458">
        <v>97</v>
      </c>
      <c r="B101" s="459" t="s">
        <v>814</v>
      </c>
      <c r="C101" s="460" t="s">
        <v>815</v>
      </c>
      <c r="D101" s="461" t="s">
        <v>620</v>
      </c>
      <c r="E101" s="458">
        <v>1</v>
      </c>
      <c r="F101" s="463"/>
      <c r="G101" s="463"/>
      <c r="H101" s="463"/>
      <c r="I101" s="463"/>
      <c r="J101" s="463"/>
      <c r="K101" s="463"/>
      <c r="L101" s="464"/>
      <c r="M101" s="464"/>
      <c r="N101" s="464"/>
      <c r="O101" s="464"/>
      <c r="P101" s="464"/>
      <c r="Q101" s="464"/>
      <c r="R101" s="464"/>
      <c r="S101" s="464"/>
      <c r="T101" s="464"/>
      <c r="U101" s="464"/>
      <c r="V101" s="464"/>
      <c r="W101" s="464"/>
      <c r="X101" s="464"/>
      <c r="Y101" s="464"/>
      <c r="Z101" s="464"/>
      <c r="AA101" s="464"/>
      <c r="AB101" s="464"/>
      <c r="AC101" s="464"/>
      <c r="AD101" s="463">
        <v>36712.808999999994</v>
      </c>
      <c r="AE101" s="464">
        <f t="shared" si="50"/>
        <v>36712.808999999994</v>
      </c>
      <c r="AF101" s="464"/>
      <c r="AG101" s="464"/>
      <c r="AH101" s="464"/>
      <c r="AI101" s="464"/>
      <c r="AJ101" s="464"/>
      <c r="AK101" s="464"/>
      <c r="AL101" s="464"/>
      <c r="AM101" s="464"/>
      <c r="AN101" s="464"/>
      <c r="AO101" s="464"/>
      <c r="AP101" s="464"/>
      <c r="AQ101" s="464"/>
      <c r="AR101" s="464"/>
      <c r="AS101" s="464"/>
      <c r="AT101" s="464"/>
      <c r="AU101" s="464"/>
      <c r="AV101" s="464"/>
      <c r="AW101" s="464"/>
      <c r="AX101" s="464"/>
      <c r="AY101" s="464"/>
      <c r="AZ101" s="464"/>
      <c r="BA101" s="464"/>
      <c r="BB101" s="464"/>
      <c r="BC101" s="464"/>
      <c r="BD101" s="464"/>
      <c r="BE101" s="464"/>
      <c r="BF101" s="464"/>
      <c r="BG101" s="464"/>
      <c r="BH101" s="464"/>
      <c r="BI101" s="464"/>
      <c r="BJ101" s="464"/>
      <c r="BK101" s="464"/>
      <c r="BL101" s="464"/>
      <c r="BM101" s="464"/>
      <c r="BN101" s="464"/>
      <c r="BO101" s="464"/>
      <c r="BP101" s="464"/>
      <c r="BQ101" s="464"/>
      <c r="BR101" s="464"/>
      <c r="BS101" s="464"/>
      <c r="BT101" s="464"/>
      <c r="BU101" s="464"/>
      <c r="BV101" s="464"/>
      <c r="BW101" s="464"/>
      <c r="BX101" s="464"/>
      <c r="BY101" s="464"/>
      <c r="BZ101" s="464"/>
      <c r="CA101" s="464"/>
      <c r="CB101" s="464"/>
      <c r="CC101" s="464"/>
      <c r="CD101" s="464"/>
      <c r="CE101" s="464"/>
      <c r="CF101" s="464"/>
      <c r="CG101" s="464"/>
      <c r="CH101" s="464"/>
      <c r="CI101" s="464"/>
      <c r="CJ101" s="464"/>
      <c r="CK101" s="464"/>
      <c r="CL101" s="464"/>
      <c r="CM101" s="464"/>
      <c r="CN101" s="464"/>
      <c r="CO101" s="464"/>
      <c r="CP101" s="464"/>
      <c r="CQ101" s="464"/>
      <c r="CR101" s="464">
        <v>15943</v>
      </c>
      <c r="CS101" s="464">
        <f t="shared" ref="CS101:CS102" si="53">+CR101*E101</f>
        <v>15943</v>
      </c>
      <c r="CT101" s="464"/>
      <c r="CU101" s="464"/>
      <c r="CV101" s="464"/>
      <c r="CW101" s="464"/>
      <c r="CX101" s="464"/>
      <c r="CY101" s="464"/>
      <c r="CZ101" s="464"/>
      <c r="DA101" s="464"/>
      <c r="DB101" s="464"/>
      <c r="DC101" s="464"/>
      <c r="DD101" s="464"/>
      <c r="DE101" s="464"/>
      <c r="DF101" s="464"/>
      <c r="DG101" s="464"/>
      <c r="DH101" s="464"/>
      <c r="DI101" s="464"/>
      <c r="DJ101" s="464"/>
      <c r="DK101" s="464"/>
      <c r="DL101" s="464"/>
      <c r="DM101" s="464"/>
      <c r="DN101" s="464"/>
      <c r="DO101" s="464"/>
      <c r="DP101" s="464"/>
      <c r="DQ101" s="464"/>
      <c r="DR101" s="464"/>
      <c r="DS101" s="464"/>
      <c r="DT101" s="464"/>
      <c r="DU101" s="464"/>
      <c r="DV101" s="464"/>
      <c r="DW101" s="464"/>
      <c r="DX101" s="464"/>
      <c r="DY101" s="464"/>
      <c r="DZ101" s="464"/>
      <c r="EA101" s="464"/>
      <c r="EB101" s="464"/>
      <c r="EC101" s="464"/>
      <c r="ED101" s="464"/>
      <c r="EE101" s="464"/>
      <c r="EF101" s="464">
        <v>12733</v>
      </c>
      <c r="EG101" s="464">
        <f>+EF101*E101</f>
        <v>12733</v>
      </c>
      <c r="EH101" s="464"/>
      <c r="EI101" s="464"/>
      <c r="EJ101" s="464"/>
      <c r="EK101" s="464"/>
      <c r="EL101" s="464"/>
      <c r="EM101" s="464"/>
      <c r="EN101" s="464"/>
      <c r="EO101" s="464"/>
      <c r="EP101" s="464"/>
      <c r="EQ101" s="464"/>
      <c r="ER101" s="464"/>
      <c r="ES101" s="464"/>
      <c r="ET101" s="464"/>
      <c r="EU101" s="464"/>
      <c r="EV101" s="464"/>
      <c r="EW101" s="464"/>
      <c r="EX101" s="464"/>
      <c r="EY101" s="464"/>
      <c r="EZ101" s="464"/>
      <c r="FA101" s="464"/>
      <c r="FB101" s="464"/>
      <c r="FC101" s="464"/>
      <c r="FD101" s="464"/>
      <c r="FE101" s="464"/>
      <c r="FF101" s="472">
        <f>MEDIAN(CR101,EF101)</f>
        <v>14338</v>
      </c>
      <c r="FG101" s="472">
        <f>AVERAGE(CR101,EF101)</f>
        <v>14338</v>
      </c>
      <c r="FH101" s="473">
        <f>STDEV(CR101,EF101)</f>
        <v>2269.8127676088175</v>
      </c>
      <c r="FI101" s="476">
        <f t="shared" si="45"/>
        <v>0.15830748832534647</v>
      </c>
      <c r="FJ101" s="475">
        <f t="shared" si="46"/>
        <v>14338</v>
      </c>
      <c r="FK101" s="469">
        <f t="shared" si="48"/>
        <v>14338</v>
      </c>
      <c r="FL101" s="467" t="s">
        <v>632</v>
      </c>
      <c r="FM101" s="470"/>
    </row>
    <row r="102" spans="1:169" s="457" customFormat="1" ht="32.5" customHeight="1" x14ac:dyDescent="0.35">
      <c r="A102" s="458">
        <v>98</v>
      </c>
      <c r="B102" s="459" t="s">
        <v>816</v>
      </c>
      <c r="C102" s="460" t="s">
        <v>817</v>
      </c>
      <c r="D102" s="461" t="s">
        <v>620</v>
      </c>
      <c r="E102" s="458">
        <v>1</v>
      </c>
      <c r="F102" s="463"/>
      <c r="G102" s="463"/>
      <c r="H102" s="463"/>
      <c r="I102" s="463"/>
      <c r="J102" s="463">
        <v>10710</v>
      </c>
      <c r="K102" s="463">
        <f>+J102*E102</f>
        <v>10710</v>
      </c>
      <c r="L102" s="464"/>
      <c r="M102" s="464"/>
      <c r="N102" s="464"/>
      <c r="O102" s="464"/>
      <c r="P102" s="464"/>
      <c r="Q102" s="464"/>
      <c r="R102" s="464"/>
      <c r="S102" s="464"/>
      <c r="T102" s="464"/>
      <c r="U102" s="464"/>
      <c r="V102" s="464"/>
      <c r="W102" s="464"/>
      <c r="X102" s="464"/>
      <c r="Y102" s="464"/>
      <c r="Z102" s="464">
        <v>17655</v>
      </c>
      <c r="AA102" s="464">
        <f>+Z102*E102</f>
        <v>17655</v>
      </c>
      <c r="AB102" s="464"/>
      <c r="AC102" s="464"/>
      <c r="AD102" s="463">
        <v>17552.5</v>
      </c>
      <c r="AE102" s="464">
        <f t="shared" si="50"/>
        <v>17552.5</v>
      </c>
      <c r="AF102" s="464"/>
      <c r="AG102" s="464"/>
      <c r="AH102" s="464"/>
      <c r="AI102" s="464"/>
      <c r="AJ102" s="464"/>
      <c r="AK102" s="464"/>
      <c r="AL102" s="464"/>
      <c r="AM102" s="464"/>
      <c r="AN102" s="464"/>
      <c r="AO102" s="464"/>
      <c r="AP102" s="464"/>
      <c r="AQ102" s="464"/>
      <c r="AR102" s="464"/>
      <c r="AS102" s="464"/>
      <c r="AT102" s="464"/>
      <c r="AU102" s="464"/>
      <c r="AV102" s="464"/>
      <c r="AW102" s="464"/>
      <c r="AX102" s="464"/>
      <c r="AY102" s="464"/>
      <c r="AZ102" s="464"/>
      <c r="BA102" s="464"/>
      <c r="BB102" s="464"/>
      <c r="BC102" s="464"/>
      <c r="BD102" s="464"/>
      <c r="BE102" s="464"/>
      <c r="BF102" s="464"/>
      <c r="BG102" s="464"/>
      <c r="BH102" s="464"/>
      <c r="BI102" s="464"/>
      <c r="BJ102" s="464"/>
      <c r="BK102" s="464"/>
      <c r="BL102" s="464"/>
      <c r="BM102" s="464"/>
      <c r="BN102" s="464"/>
      <c r="BO102" s="464"/>
      <c r="BP102" s="464"/>
      <c r="BQ102" s="464"/>
      <c r="BR102" s="464"/>
      <c r="BS102" s="464"/>
      <c r="BT102" s="464"/>
      <c r="BU102" s="464"/>
      <c r="BV102" s="464"/>
      <c r="BW102" s="464"/>
      <c r="BX102" s="464"/>
      <c r="BY102" s="464"/>
      <c r="BZ102" s="464"/>
      <c r="CA102" s="464"/>
      <c r="CB102" s="464"/>
      <c r="CC102" s="464"/>
      <c r="CD102" s="464"/>
      <c r="CE102" s="464"/>
      <c r="CF102" s="464"/>
      <c r="CG102" s="464"/>
      <c r="CH102" s="464"/>
      <c r="CI102" s="464"/>
      <c r="CJ102" s="464"/>
      <c r="CK102" s="464"/>
      <c r="CL102" s="464"/>
      <c r="CM102" s="464"/>
      <c r="CN102" s="464"/>
      <c r="CO102" s="464"/>
      <c r="CP102" s="464"/>
      <c r="CQ102" s="464"/>
      <c r="CR102" s="464">
        <v>7106</v>
      </c>
      <c r="CS102" s="464">
        <f t="shared" si="53"/>
        <v>7106</v>
      </c>
      <c r="CT102" s="464"/>
      <c r="CU102" s="464"/>
      <c r="CV102" s="464"/>
      <c r="CW102" s="464"/>
      <c r="CX102" s="464"/>
      <c r="CY102" s="464"/>
      <c r="CZ102" s="464"/>
      <c r="DA102" s="464"/>
      <c r="DB102" s="464"/>
      <c r="DC102" s="464"/>
      <c r="DD102" s="464"/>
      <c r="DE102" s="464"/>
      <c r="DF102" s="464"/>
      <c r="DG102" s="464"/>
      <c r="DH102" s="464"/>
      <c r="DI102" s="464"/>
      <c r="DJ102" s="464"/>
      <c r="DK102" s="464"/>
      <c r="DL102" s="464"/>
      <c r="DM102" s="464"/>
      <c r="DN102" s="464"/>
      <c r="DO102" s="464"/>
      <c r="DP102" s="464"/>
      <c r="DQ102" s="464"/>
      <c r="DR102" s="464"/>
      <c r="DS102" s="464"/>
      <c r="DT102" s="464"/>
      <c r="DU102" s="464"/>
      <c r="DV102" s="464"/>
      <c r="DW102" s="464"/>
      <c r="DX102" s="464"/>
      <c r="DY102" s="464"/>
      <c r="DZ102" s="464"/>
      <c r="EA102" s="464"/>
      <c r="EB102" s="464"/>
      <c r="EC102" s="464"/>
      <c r="ED102" s="464"/>
      <c r="EE102" s="464"/>
      <c r="EF102" s="464"/>
      <c r="EG102" s="464"/>
      <c r="EH102" s="464"/>
      <c r="EI102" s="464"/>
      <c r="EJ102" s="464"/>
      <c r="EK102" s="464"/>
      <c r="EL102" s="464"/>
      <c r="EM102" s="464"/>
      <c r="EN102" s="464"/>
      <c r="EO102" s="464"/>
      <c r="EP102" s="464"/>
      <c r="EQ102" s="464"/>
      <c r="ER102" s="464"/>
      <c r="ES102" s="464"/>
      <c r="ET102" s="464"/>
      <c r="EU102" s="464"/>
      <c r="EV102" s="464"/>
      <c r="EW102" s="464"/>
      <c r="EX102" s="464"/>
      <c r="EY102" s="464"/>
      <c r="EZ102" s="464"/>
      <c r="FA102" s="464"/>
      <c r="FB102" s="464"/>
      <c r="FC102" s="464"/>
      <c r="FD102" s="464"/>
      <c r="FE102" s="464"/>
      <c r="FF102" s="472">
        <f>MEDIAN(Z102,AD102)</f>
        <v>17603.75</v>
      </c>
      <c r="FG102" s="472">
        <f>AVERAGE(Z102,AD102)</f>
        <v>17603.75</v>
      </c>
      <c r="FH102" s="473">
        <f>STDEV(Z102,AD102)</f>
        <v>72.478445071621124</v>
      </c>
      <c r="FI102" s="476">
        <f t="shared" si="45"/>
        <v>4.1172162222038559E-3</v>
      </c>
      <c r="FJ102" s="475">
        <f t="shared" si="46"/>
        <v>17604</v>
      </c>
      <c r="FK102" s="469">
        <f t="shared" si="48"/>
        <v>17604</v>
      </c>
      <c r="FL102" s="467" t="s">
        <v>621</v>
      </c>
      <c r="FM102" s="470"/>
    </row>
    <row r="103" spans="1:169" ht="32.5" customHeight="1" x14ac:dyDescent="0.35">
      <c r="A103" s="458">
        <v>99</v>
      </c>
      <c r="B103" s="485" t="s">
        <v>818</v>
      </c>
      <c r="C103" s="486" t="s">
        <v>819</v>
      </c>
      <c r="D103" s="487" t="s">
        <v>620</v>
      </c>
      <c r="E103" s="458">
        <v>1</v>
      </c>
      <c r="F103" s="482"/>
      <c r="G103" s="482"/>
      <c r="H103" s="482"/>
      <c r="I103" s="482"/>
      <c r="J103" s="482"/>
      <c r="K103" s="482"/>
      <c r="L103" s="489"/>
      <c r="M103" s="489"/>
      <c r="N103" s="489">
        <v>24000</v>
      </c>
      <c r="O103" s="489"/>
      <c r="P103" s="489">
        <v>40000</v>
      </c>
      <c r="Q103" s="489"/>
      <c r="R103" s="489"/>
      <c r="S103" s="489"/>
      <c r="T103" s="489"/>
      <c r="U103" s="489"/>
      <c r="V103" s="489"/>
      <c r="W103" s="464"/>
      <c r="X103" s="464"/>
      <c r="Y103" s="464"/>
      <c r="Z103" s="464">
        <v>90000</v>
      </c>
      <c r="AA103" s="464">
        <f>+Z103*E103</f>
        <v>90000</v>
      </c>
      <c r="AB103" s="464">
        <v>53000</v>
      </c>
      <c r="AC103" s="464">
        <f>+AB103*E103</f>
        <v>53000</v>
      </c>
      <c r="AD103" s="482">
        <v>70069.58</v>
      </c>
      <c r="AE103" s="464">
        <f>+AD103*E103</f>
        <v>70069.58</v>
      </c>
      <c r="AF103" s="464"/>
      <c r="AG103" s="464"/>
      <c r="AH103" s="464"/>
      <c r="AI103" s="464"/>
      <c r="AJ103" s="464"/>
      <c r="AK103" s="464"/>
      <c r="AL103" s="464"/>
      <c r="AM103" s="464"/>
      <c r="AN103" s="464"/>
      <c r="AO103" s="464"/>
      <c r="AP103" s="464"/>
      <c r="AQ103" s="464"/>
      <c r="AR103" s="464"/>
      <c r="AS103" s="464"/>
      <c r="AT103" s="464"/>
      <c r="AU103" s="464"/>
      <c r="AV103" s="464"/>
      <c r="AW103" s="464"/>
      <c r="AX103" s="464"/>
      <c r="AY103" s="464"/>
      <c r="AZ103" s="464"/>
      <c r="BA103" s="464"/>
      <c r="BB103" s="464"/>
      <c r="BC103" s="464"/>
      <c r="BD103" s="464"/>
      <c r="BE103" s="464"/>
      <c r="BF103" s="464"/>
      <c r="BG103" s="464"/>
      <c r="BH103" s="464"/>
      <c r="BI103" s="464"/>
      <c r="BJ103" s="464"/>
      <c r="BK103" s="464"/>
      <c r="BL103" s="464"/>
      <c r="BM103" s="464"/>
      <c r="BN103" s="464"/>
      <c r="BO103" s="464"/>
      <c r="BP103" s="464"/>
      <c r="BQ103" s="464"/>
      <c r="BR103" s="464"/>
      <c r="BS103" s="464"/>
      <c r="BT103" s="464"/>
      <c r="BU103" s="464"/>
      <c r="BV103" s="464"/>
      <c r="BW103" s="464"/>
      <c r="BX103" s="464"/>
      <c r="BY103" s="464"/>
      <c r="BZ103" s="464"/>
      <c r="CA103" s="464"/>
      <c r="CB103" s="464"/>
      <c r="CC103" s="464"/>
      <c r="CD103" s="464"/>
      <c r="CE103" s="464"/>
      <c r="CF103" s="464"/>
      <c r="CG103" s="464"/>
      <c r="CH103" s="464"/>
      <c r="CI103" s="464"/>
      <c r="CJ103" s="464"/>
      <c r="CK103" s="464"/>
      <c r="CL103" s="464"/>
      <c r="CM103" s="464"/>
      <c r="CN103" s="464"/>
      <c r="CO103" s="464"/>
      <c r="CP103" s="464"/>
      <c r="CQ103" s="464"/>
      <c r="CR103" s="464"/>
      <c r="CS103" s="464"/>
      <c r="CT103" s="464"/>
      <c r="CU103" s="464"/>
      <c r="CV103" s="464"/>
      <c r="CW103" s="464"/>
      <c r="CX103" s="464"/>
      <c r="CY103" s="464"/>
      <c r="CZ103" s="464"/>
      <c r="DA103" s="464"/>
      <c r="DB103" s="464"/>
      <c r="DC103" s="464"/>
      <c r="DD103" s="464"/>
      <c r="DE103" s="464"/>
      <c r="DF103" s="464"/>
      <c r="DG103" s="464"/>
      <c r="DH103" s="464"/>
      <c r="DI103" s="464"/>
      <c r="DJ103" s="464"/>
      <c r="DK103" s="464"/>
      <c r="DL103" s="464"/>
      <c r="DM103" s="464"/>
      <c r="DN103" s="464"/>
      <c r="DO103" s="464"/>
      <c r="DP103" s="464"/>
      <c r="DQ103" s="464"/>
      <c r="DR103" s="464"/>
      <c r="DS103" s="464"/>
      <c r="DT103" s="464"/>
      <c r="DU103" s="464"/>
      <c r="DV103" s="464"/>
      <c r="DW103" s="464"/>
      <c r="DX103" s="464"/>
      <c r="DY103" s="464"/>
      <c r="DZ103" s="464"/>
      <c r="EA103" s="464"/>
      <c r="EB103" s="464"/>
      <c r="EC103" s="464"/>
      <c r="ED103" s="464"/>
      <c r="EE103" s="464"/>
      <c r="EF103" s="464"/>
      <c r="EG103" s="464"/>
      <c r="EH103" s="464"/>
      <c r="EI103" s="464"/>
      <c r="EJ103" s="464"/>
      <c r="EK103" s="464"/>
      <c r="EL103" s="464"/>
      <c r="EM103" s="464"/>
      <c r="EN103" s="464"/>
      <c r="EO103" s="464"/>
      <c r="EP103" s="464"/>
      <c r="EQ103" s="464"/>
      <c r="ER103" s="464"/>
      <c r="ES103" s="464"/>
      <c r="ET103" s="464"/>
      <c r="EU103" s="464"/>
      <c r="EV103" s="464"/>
      <c r="EW103" s="464"/>
      <c r="EX103" s="464"/>
      <c r="EY103" s="464"/>
      <c r="EZ103" s="464"/>
      <c r="FA103" s="464"/>
      <c r="FB103" s="464"/>
      <c r="FC103" s="464"/>
      <c r="FD103" s="464"/>
      <c r="FE103" s="464"/>
      <c r="FF103" s="472">
        <f>MEDIAN(P103,AB103)</f>
        <v>46500</v>
      </c>
      <c r="FG103" s="472">
        <f>AVERAGE(P103,AB103)</f>
        <v>46500</v>
      </c>
      <c r="FH103" s="473">
        <f>STDEV(P103,AB103)</f>
        <v>9192.3881554251184</v>
      </c>
      <c r="FI103" s="476">
        <f t="shared" si="45"/>
        <v>0.19768576678333588</v>
      </c>
      <c r="FJ103" s="475">
        <f t="shared" si="46"/>
        <v>46500</v>
      </c>
      <c r="FK103" s="469">
        <f t="shared" si="48"/>
        <v>46500</v>
      </c>
      <c r="FL103" s="467" t="s">
        <v>632</v>
      </c>
      <c r="FM103" s="470"/>
    </row>
    <row r="104" spans="1:169" s="457" customFormat="1" ht="32.5" customHeight="1" x14ac:dyDescent="0.35">
      <c r="A104" s="458">
        <v>100</v>
      </c>
      <c r="B104" s="459" t="s">
        <v>820</v>
      </c>
      <c r="C104" s="460" t="s">
        <v>821</v>
      </c>
      <c r="D104" s="461" t="s">
        <v>620</v>
      </c>
      <c r="E104" s="458">
        <v>1</v>
      </c>
      <c r="F104" s="463"/>
      <c r="G104" s="463"/>
      <c r="H104" s="463"/>
      <c r="I104" s="463"/>
      <c r="J104" s="463"/>
      <c r="K104" s="463"/>
      <c r="L104" s="464"/>
      <c r="M104" s="464"/>
      <c r="N104" s="464">
        <v>7000</v>
      </c>
      <c r="O104" s="464"/>
      <c r="P104" s="464">
        <v>14000</v>
      </c>
      <c r="Q104" s="464"/>
      <c r="R104" s="464"/>
      <c r="S104" s="464"/>
      <c r="T104" s="464"/>
      <c r="U104" s="464"/>
      <c r="V104" s="464"/>
      <c r="W104" s="464"/>
      <c r="X104" s="464"/>
      <c r="Y104" s="464"/>
      <c r="Z104" s="464"/>
      <c r="AA104" s="464"/>
      <c r="AB104" s="464">
        <v>17000</v>
      </c>
      <c r="AC104" s="464">
        <f t="shared" ref="AC104" si="54">+AB104*E104</f>
        <v>17000</v>
      </c>
      <c r="AD104" s="463">
        <v>129186.4</v>
      </c>
      <c r="AE104" s="464">
        <f t="shared" ref="AE104:AE116" si="55">+AD104*E104</f>
        <v>129186.4</v>
      </c>
      <c r="AF104" s="464"/>
      <c r="AG104" s="464"/>
      <c r="AH104" s="464"/>
      <c r="AI104" s="464"/>
      <c r="AJ104" s="464"/>
      <c r="AK104" s="464"/>
      <c r="AL104" s="464"/>
      <c r="AM104" s="464"/>
      <c r="AN104" s="464"/>
      <c r="AO104" s="464"/>
      <c r="AP104" s="464"/>
      <c r="AQ104" s="464"/>
      <c r="AR104" s="464"/>
      <c r="AS104" s="464"/>
      <c r="AT104" s="464"/>
      <c r="AU104" s="464"/>
      <c r="AV104" s="464"/>
      <c r="AW104" s="464"/>
      <c r="AX104" s="464"/>
      <c r="AY104" s="464"/>
      <c r="AZ104" s="464"/>
      <c r="BA104" s="464"/>
      <c r="BB104" s="464"/>
      <c r="BC104" s="464"/>
      <c r="BD104" s="464"/>
      <c r="BE104" s="464"/>
      <c r="BF104" s="464"/>
      <c r="BG104" s="464"/>
      <c r="BH104" s="464"/>
      <c r="BI104" s="464"/>
      <c r="BJ104" s="464"/>
      <c r="BK104" s="464"/>
      <c r="BL104" s="464"/>
      <c r="BM104" s="464"/>
      <c r="BN104" s="464"/>
      <c r="BO104" s="464"/>
      <c r="BP104" s="464"/>
      <c r="BQ104" s="464"/>
      <c r="BR104" s="464"/>
      <c r="BS104" s="464"/>
      <c r="BT104" s="464"/>
      <c r="BU104" s="464"/>
      <c r="BV104" s="464"/>
      <c r="BW104" s="464"/>
      <c r="BX104" s="464"/>
      <c r="BY104" s="464"/>
      <c r="BZ104" s="464"/>
      <c r="CA104" s="464"/>
      <c r="CB104" s="464"/>
      <c r="CC104" s="464"/>
      <c r="CD104" s="464"/>
      <c r="CE104" s="464"/>
      <c r="CF104" s="464"/>
      <c r="CG104" s="464"/>
      <c r="CH104" s="464"/>
      <c r="CI104" s="464"/>
      <c r="CJ104" s="464"/>
      <c r="CK104" s="464"/>
      <c r="CL104" s="464"/>
      <c r="CM104" s="464"/>
      <c r="CN104" s="464"/>
      <c r="CO104" s="464"/>
      <c r="CP104" s="464"/>
      <c r="CQ104" s="464"/>
      <c r="CR104" s="464"/>
      <c r="CS104" s="464"/>
      <c r="CT104" s="464"/>
      <c r="CU104" s="464"/>
      <c r="CV104" s="464"/>
      <c r="CW104" s="464"/>
      <c r="CX104" s="464"/>
      <c r="CY104" s="464"/>
      <c r="CZ104" s="464"/>
      <c r="DA104" s="464"/>
      <c r="DB104" s="464"/>
      <c r="DC104" s="464"/>
      <c r="DD104" s="464"/>
      <c r="DE104" s="464"/>
      <c r="DF104" s="464"/>
      <c r="DG104" s="464"/>
      <c r="DH104" s="464"/>
      <c r="DI104" s="464"/>
      <c r="DJ104" s="464"/>
      <c r="DK104" s="464"/>
      <c r="DL104" s="464"/>
      <c r="DM104" s="464"/>
      <c r="DN104" s="464"/>
      <c r="DO104" s="464"/>
      <c r="DP104" s="464"/>
      <c r="DQ104" s="464"/>
      <c r="DR104" s="464"/>
      <c r="DS104" s="464"/>
      <c r="DT104" s="464"/>
      <c r="DU104" s="464"/>
      <c r="DV104" s="464"/>
      <c r="DW104" s="464"/>
      <c r="DX104" s="464"/>
      <c r="DY104" s="464"/>
      <c r="DZ104" s="464"/>
      <c r="EA104" s="464"/>
      <c r="EB104" s="464"/>
      <c r="EC104" s="464"/>
      <c r="ED104" s="464"/>
      <c r="EE104" s="464"/>
      <c r="EF104" s="464"/>
      <c r="EG104" s="464"/>
      <c r="EH104" s="464"/>
      <c r="EI104" s="464"/>
      <c r="EJ104" s="464"/>
      <c r="EK104" s="464"/>
      <c r="EL104" s="464"/>
      <c r="EM104" s="464"/>
      <c r="EN104" s="464"/>
      <c r="EO104" s="464"/>
      <c r="EP104" s="464"/>
      <c r="EQ104" s="464"/>
      <c r="ER104" s="464"/>
      <c r="ES104" s="464"/>
      <c r="ET104" s="464"/>
      <c r="EU104" s="464"/>
      <c r="EV104" s="464"/>
      <c r="EW104" s="464"/>
      <c r="EX104" s="464"/>
      <c r="EY104" s="464"/>
      <c r="EZ104" s="464"/>
      <c r="FA104" s="464"/>
      <c r="FB104" s="464"/>
      <c r="FC104" s="464"/>
      <c r="FD104" s="464"/>
      <c r="FE104" s="464"/>
      <c r="FF104" s="472">
        <f>MEDIAN(P104,AB104)</f>
        <v>15500</v>
      </c>
      <c r="FG104" s="472">
        <f>AVERAGE(P104,AB104)</f>
        <v>15500</v>
      </c>
      <c r="FH104" s="473">
        <f>STDEV(P104,AB104)</f>
        <v>2121.3203435596424</v>
      </c>
      <c r="FI104" s="476">
        <f t="shared" si="45"/>
        <v>0.1368593770038479</v>
      </c>
      <c r="FJ104" s="475">
        <f t="shared" si="46"/>
        <v>15500</v>
      </c>
      <c r="FK104" s="469">
        <f t="shared" si="48"/>
        <v>15500</v>
      </c>
      <c r="FL104" s="467" t="s">
        <v>621</v>
      </c>
      <c r="FM104" s="470"/>
    </row>
    <row r="105" spans="1:169" ht="71.25" customHeight="1" x14ac:dyDescent="0.35">
      <c r="A105" s="458">
        <v>101</v>
      </c>
      <c r="B105" s="485" t="s">
        <v>822</v>
      </c>
      <c r="C105" s="486" t="s">
        <v>823</v>
      </c>
      <c r="D105" s="487" t="s">
        <v>620</v>
      </c>
      <c r="E105" s="458">
        <v>1</v>
      </c>
      <c r="F105" s="482"/>
      <c r="G105" s="482"/>
      <c r="H105" s="482"/>
      <c r="I105" s="482"/>
      <c r="J105" s="482"/>
      <c r="K105" s="482"/>
      <c r="L105" s="489"/>
      <c r="M105" s="489"/>
      <c r="N105" s="489">
        <v>15000</v>
      </c>
      <c r="O105" s="489"/>
      <c r="P105" s="489">
        <v>32000</v>
      </c>
      <c r="Q105" s="489"/>
      <c r="R105" s="489"/>
      <c r="S105" s="489"/>
      <c r="T105" s="489"/>
      <c r="U105" s="489"/>
      <c r="V105" s="489"/>
      <c r="W105" s="464"/>
      <c r="X105" s="464"/>
      <c r="Y105" s="464"/>
      <c r="Z105" s="464"/>
      <c r="AA105" s="464"/>
      <c r="AB105" s="464"/>
      <c r="AC105" s="464"/>
      <c r="AD105" s="482">
        <v>22326.78</v>
      </c>
      <c r="AE105" s="464">
        <f t="shared" si="55"/>
        <v>22326.78</v>
      </c>
      <c r="AF105" s="464"/>
      <c r="AG105" s="464"/>
      <c r="AH105" s="464"/>
      <c r="AI105" s="464"/>
      <c r="AJ105" s="464"/>
      <c r="AK105" s="464"/>
      <c r="AL105" s="464"/>
      <c r="AM105" s="464"/>
      <c r="AN105" s="464"/>
      <c r="AO105" s="464"/>
      <c r="AP105" s="464"/>
      <c r="AQ105" s="464"/>
      <c r="AR105" s="464"/>
      <c r="AS105" s="464"/>
      <c r="AT105" s="464"/>
      <c r="AU105" s="464"/>
      <c r="AV105" s="464"/>
      <c r="AW105" s="464"/>
      <c r="AX105" s="464"/>
      <c r="AY105" s="464"/>
      <c r="AZ105" s="464"/>
      <c r="BA105" s="464"/>
      <c r="BB105" s="464"/>
      <c r="BC105" s="464"/>
      <c r="BD105" s="464"/>
      <c r="BE105" s="464"/>
      <c r="BF105" s="464"/>
      <c r="BG105" s="464"/>
      <c r="BH105" s="464"/>
      <c r="BI105" s="464"/>
      <c r="BJ105" s="464"/>
      <c r="BK105" s="464"/>
      <c r="BL105" s="464"/>
      <c r="BM105" s="464"/>
      <c r="BN105" s="464"/>
      <c r="BO105" s="464"/>
      <c r="BP105" s="464"/>
      <c r="BQ105" s="464"/>
      <c r="BR105" s="464"/>
      <c r="BS105" s="464"/>
      <c r="BT105" s="464"/>
      <c r="BU105" s="464"/>
      <c r="BV105" s="464"/>
      <c r="BW105" s="464"/>
      <c r="BX105" s="464"/>
      <c r="BY105" s="464"/>
      <c r="BZ105" s="464"/>
      <c r="CA105" s="464"/>
      <c r="CB105" s="464"/>
      <c r="CC105" s="464"/>
      <c r="CD105" s="464"/>
      <c r="CE105" s="464"/>
      <c r="CF105" s="464"/>
      <c r="CG105" s="464"/>
      <c r="CH105" s="464"/>
      <c r="CI105" s="464"/>
      <c r="CJ105" s="464"/>
      <c r="CK105" s="464"/>
      <c r="CL105" s="464"/>
      <c r="CM105" s="464"/>
      <c r="CN105" s="464"/>
      <c r="CO105" s="464"/>
      <c r="CP105" s="464"/>
      <c r="CQ105" s="464"/>
      <c r="CR105" s="464"/>
      <c r="CS105" s="464"/>
      <c r="CT105" s="464"/>
      <c r="CU105" s="464"/>
      <c r="CV105" s="464"/>
      <c r="CW105" s="464"/>
      <c r="CX105" s="464"/>
      <c r="CY105" s="464"/>
      <c r="CZ105" s="464"/>
      <c r="DA105" s="464"/>
      <c r="DB105" s="464"/>
      <c r="DC105" s="464"/>
      <c r="DD105" s="464"/>
      <c r="DE105" s="464"/>
      <c r="DF105" s="464"/>
      <c r="DG105" s="464"/>
      <c r="DH105" s="464"/>
      <c r="DI105" s="464"/>
      <c r="DJ105" s="464"/>
      <c r="DK105" s="464"/>
      <c r="DL105" s="464"/>
      <c r="DM105" s="464"/>
      <c r="DN105" s="464"/>
      <c r="DO105" s="464"/>
      <c r="DP105" s="464"/>
      <c r="DQ105" s="464"/>
      <c r="DR105" s="464"/>
      <c r="DS105" s="464"/>
      <c r="DT105" s="464"/>
      <c r="DU105" s="464"/>
      <c r="DV105" s="464"/>
      <c r="DW105" s="464"/>
      <c r="DX105" s="464"/>
      <c r="DY105" s="464"/>
      <c r="DZ105" s="464"/>
      <c r="EA105" s="464"/>
      <c r="EB105" s="464"/>
      <c r="EC105" s="464"/>
      <c r="ED105" s="464"/>
      <c r="EE105" s="464"/>
      <c r="EF105" s="464"/>
      <c r="EG105" s="464"/>
      <c r="EH105" s="464"/>
      <c r="EI105" s="464"/>
      <c r="EJ105" s="464"/>
      <c r="EK105" s="464"/>
      <c r="EL105" s="464"/>
      <c r="EM105" s="464"/>
      <c r="EN105" s="464"/>
      <c r="EO105" s="464"/>
      <c r="EP105" s="464"/>
      <c r="EQ105" s="464"/>
      <c r="ER105" s="464"/>
      <c r="ES105" s="464"/>
      <c r="ET105" s="464"/>
      <c r="EU105" s="464"/>
      <c r="EV105" s="464"/>
      <c r="EW105" s="464"/>
      <c r="EX105" s="464"/>
      <c r="EY105" s="464"/>
      <c r="EZ105" s="464"/>
      <c r="FA105" s="464"/>
      <c r="FB105" s="464"/>
      <c r="FC105" s="464"/>
      <c r="FD105" s="464"/>
      <c r="FE105" s="464"/>
      <c r="FF105" s="472">
        <f>MEDIAN(N105,AD105)</f>
        <v>18663.39</v>
      </c>
      <c r="FG105" s="472">
        <f>AVERAGE(N105,AD105)</f>
        <v>18663.39</v>
      </c>
      <c r="FH105" s="473">
        <f>STDEV(N105,AD105)</f>
        <v>5180.815822261975</v>
      </c>
      <c r="FI105" s="476">
        <f t="shared" si="45"/>
        <v>0.2775924321498921</v>
      </c>
      <c r="FJ105" s="475">
        <f t="shared" si="46"/>
        <v>18664</v>
      </c>
      <c r="FK105" s="469">
        <f t="shared" si="48"/>
        <v>18664</v>
      </c>
      <c r="FL105" s="467" t="s">
        <v>632</v>
      </c>
      <c r="FM105" s="470"/>
    </row>
    <row r="106" spans="1:169" ht="32.5" customHeight="1" x14ac:dyDescent="0.35">
      <c r="A106" s="458">
        <v>102</v>
      </c>
      <c r="B106" s="485" t="s">
        <v>824</v>
      </c>
      <c r="C106" s="486" t="s">
        <v>825</v>
      </c>
      <c r="D106" s="487" t="s">
        <v>620</v>
      </c>
      <c r="E106" s="458">
        <v>1</v>
      </c>
      <c r="F106" s="482"/>
      <c r="G106" s="482"/>
      <c r="H106" s="482"/>
      <c r="I106" s="482"/>
      <c r="J106" s="482"/>
      <c r="K106" s="482"/>
      <c r="L106" s="489"/>
      <c r="M106" s="489"/>
      <c r="N106" s="489">
        <v>4000</v>
      </c>
      <c r="O106" s="489"/>
      <c r="P106" s="489">
        <v>4000</v>
      </c>
      <c r="Q106" s="489"/>
      <c r="R106" s="489"/>
      <c r="S106" s="489"/>
      <c r="T106" s="489"/>
      <c r="U106" s="489"/>
      <c r="V106" s="489"/>
      <c r="W106" s="464"/>
      <c r="X106" s="464"/>
      <c r="Y106" s="464"/>
      <c r="Z106" s="464"/>
      <c r="AA106" s="464"/>
      <c r="AB106" s="464"/>
      <c r="AC106" s="464"/>
      <c r="AD106" s="482">
        <v>2667.98</v>
      </c>
      <c r="AE106" s="464">
        <f t="shared" si="55"/>
        <v>2667.98</v>
      </c>
      <c r="AF106" s="464"/>
      <c r="AG106" s="464"/>
      <c r="AH106" s="464"/>
      <c r="AI106" s="464"/>
      <c r="AJ106" s="464"/>
      <c r="AK106" s="464"/>
      <c r="AL106" s="464"/>
      <c r="AM106" s="464"/>
      <c r="AN106" s="464"/>
      <c r="AO106" s="464"/>
      <c r="AP106" s="464"/>
      <c r="AQ106" s="464"/>
      <c r="AR106" s="464"/>
      <c r="AS106" s="464"/>
      <c r="AT106" s="464"/>
      <c r="AU106" s="464"/>
      <c r="AV106" s="464"/>
      <c r="AW106" s="464"/>
      <c r="AX106" s="464"/>
      <c r="AY106" s="464"/>
      <c r="AZ106" s="464"/>
      <c r="BA106" s="464"/>
      <c r="BB106" s="464"/>
      <c r="BC106" s="464"/>
      <c r="BD106" s="464"/>
      <c r="BE106" s="464"/>
      <c r="BF106" s="464"/>
      <c r="BG106" s="464"/>
      <c r="BH106" s="464"/>
      <c r="BI106" s="464"/>
      <c r="BJ106" s="464"/>
      <c r="BK106" s="464"/>
      <c r="BL106" s="464"/>
      <c r="BM106" s="464"/>
      <c r="BN106" s="464"/>
      <c r="BO106" s="464"/>
      <c r="BP106" s="464"/>
      <c r="BQ106" s="464"/>
      <c r="BR106" s="464"/>
      <c r="BS106" s="464"/>
      <c r="BT106" s="464"/>
      <c r="BU106" s="464"/>
      <c r="BV106" s="464"/>
      <c r="BW106" s="464"/>
      <c r="BX106" s="464"/>
      <c r="BY106" s="464"/>
      <c r="BZ106" s="464"/>
      <c r="CA106" s="464"/>
      <c r="CB106" s="464"/>
      <c r="CC106" s="464"/>
      <c r="CD106" s="464"/>
      <c r="CE106" s="464"/>
      <c r="CF106" s="464"/>
      <c r="CG106" s="464"/>
      <c r="CH106" s="464"/>
      <c r="CI106" s="464"/>
      <c r="CJ106" s="464"/>
      <c r="CK106" s="464"/>
      <c r="CL106" s="464"/>
      <c r="CM106" s="464"/>
      <c r="CN106" s="464"/>
      <c r="CO106" s="464"/>
      <c r="CP106" s="464"/>
      <c r="CQ106" s="464"/>
      <c r="CR106" s="464"/>
      <c r="CS106" s="464"/>
      <c r="CT106" s="464"/>
      <c r="CU106" s="464"/>
      <c r="CV106" s="464"/>
      <c r="CW106" s="464"/>
      <c r="CX106" s="464"/>
      <c r="CY106" s="464"/>
      <c r="CZ106" s="464"/>
      <c r="DA106" s="464"/>
      <c r="DB106" s="464"/>
      <c r="DC106" s="464"/>
      <c r="DD106" s="464"/>
      <c r="DE106" s="464"/>
      <c r="DF106" s="464"/>
      <c r="DG106" s="464"/>
      <c r="DH106" s="464"/>
      <c r="DI106" s="464"/>
      <c r="DJ106" s="464"/>
      <c r="DK106" s="464"/>
      <c r="DL106" s="464"/>
      <c r="DM106" s="464"/>
      <c r="DN106" s="464"/>
      <c r="DO106" s="464"/>
      <c r="DP106" s="464"/>
      <c r="DQ106" s="464"/>
      <c r="DR106" s="464"/>
      <c r="DS106" s="464"/>
      <c r="DT106" s="464"/>
      <c r="DU106" s="464"/>
      <c r="DV106" s="464"/>
      <c r="DW106" s="464"/>
      <c r="DX106" s="464"/>
      <c r="DY106" s="464"/>
      <c r="DZ106" s="464"/>
      <c r="EA106" s="464"/>
      <c r="EB106" s="464"/>
      <c r="EC106" s="464"/>
      <c r="ED106" s="464"/>
      <c r="EE106" s="464"/>
      <c r="EF106" s="464"/>
      <c r="EG106" s="464"/>
      <c r="EH106" s="464"/>
      <c r="EI106" s="464"/>
      <c r="EJ106" s="464"/>
      <c r="EK106" s="464"/>
      <c r="EL106" s="464"/>
      <c r="EM106" s="464"/>
      <c r="EN106" s="464"/>
      <c r="EO106" s="464"/>
      <c r="EP106" s="464"/>
      <c r="EQ106" s="464"/>
      <c r="ER106" s="464"/>
      <c r="ES106" s="464"/>
      <c r="ET106" s="464"/>
      <c r="EU106" s="464"/>
      <c r="EV106" s="464"/>
      <c r="EW106" s="464"/>
      <c r="EX106" s="464"/>
      <c r="EY106" s="464"/>
      <c r="EZ106" s="464"/>
      <c r="FA106" s="464"/>
      <c r="FB106" s="464"/>
      <c r="FC106" s="464"/>
      <c r="FD106" s="464"/>
      <c r="FE106" s="464"/>
      <c r="FF106" s="472">
        <f>MEDIAN(N106,P106)</f>
        <v>4000</v>
      </c>
      <c r="FG106" s="472">
        <f>AVERAGE(N106,P106)</f>
        <v>4000</v>
      </c>
      <c r="FH106" s="473">
        <f>STDEV(N106,P106)</f>
        <v>0</v>
      </c>
      <c r="FI106" s="476">
        <f t="shared" si="45"/>
        <v>0</v>
      </c>
      <c r="FJ106" s="475">
        <f t="shared" si="46"/>
        <v>4000</v>
      </c>
      <c r="FK106" s="469">
        <f t="shared" si="48"/>
        <v>4000</v>
      </c>
      <c r="FL106" s="467" t="s">
        <v>621</v>
      </c>
      <c r="FM106" s="470"/>
    </row>
    <row r="107" spans="1:169" ht="32.5" customHeight="1" x14ac:dyDescent="0.35">
      <c r="A107" s="458">
        <v>103</v>
      </c>
      <c r="B107" s="485" t="s">
        <v>826</v>
      </c>
      <c r="C107" s="486" t="s">
        <v>827</v>
      </c>
      <c r="D107" s="487" t="s">
        <v>620</v>
      </c>
      <c r="E107" s="458">
        <v>1</v>
      </c>
      <c r="F107" s="482"/>
      <c r="G107" s="482"/>
      <c r="H107" s="482"/>
      <c r="I107" s="482"/>
      <c r="J107" s="482"/>
      <c r="K107" s="482"/>
      <c r="L107" s="489"/>
      <c r="M107" s="489"/>
      <c r="N107" s="489">
        <v>5000</v>
      </c>
      <c r="O107" s="489"/>
      <c r="P107" s="489">
        <v>5000</v>
      </c>
      <c r="Q107" s="489"/>
      <c r="R107" s="489"/>
      <c r="S107" s="489"/>
      <c r="T107" s="489"/>
      <c r="U107" s="489"/>
      <c r="V107" s="489"/>
      <c r="W107" s="464"/>
      <c r="X107" s="464"/>
      <c r="Y107" s="464"/>
      <c r="Z107" s="464"/>
      <c r="AA107" s="464"/>
      <c r="AB107" s="464"/>
      <c r="AC107" s="464"/>
      <c r="AD107" s="482">
        <v>5195.54</v>
      </c>
      <c r="AE107" s="464">
        <f t="shared" si="55"/>
        <v>5195.54</v>
      </c>
      <c r="AF107" s="464"/>
      <c r="AG107" s="464"/>
      <c r="AH107" s="464"/>
      <c r="AI107" s="464"/>
      <c r="AJ107" s="464"/>
      <c r="AK107" s="464"/>
      <c r="AL107" s="464"/>
      <c r="AM107" s="464"/>
      <c r="AN107" s="464"/>
      <c r="AO107" s="464"/>
      <c r="AP107" s="464"/>
      <c r="AQ107" s="464"/>
      <c r="AR107" s="464"/>
      <c r="AS107" s="464"/>
      <c r="AT107" s="464"/>
      <c r="AU107" s="464"/>
      <c r="AV107" s="464"/>
      <c r="AW107" s="464"/>
      <c r="AX107" s="464"/>
      <c r="AY107" s="464"/>
      <c r="AZ107" s="464"/>
      <c r="BA107" s="464"/>
      <c r="BB107" s="464"/>
      <c r="BC107" s="464"/>
      <c r="BD107" s="464"/>
      <c r="BE107" s="464"/>
      <c r="BF107" s="464"/>
      <c r="BG107" s="464"/>
      <c r="BH107" s="464"/>
      <c r="BI107" s="464"/>
      <c r="BJ107" s="464"/>
      <c r="BK107" s="464"/>
      <c r="BL107" s="464"/>
      <c r="BM107" s="464"/>
      <c r="BN107" s="464"/>
      <c r="BO107" s="464"/>
      <c r="BP107" s="464"/>
      <c r="BQ107" s="464"/>
      <c r="BR107" s="464"/>
      <c r="BS107" s="464"/>
      <c r="BT107" s="464"/>
      <c r="BU107" s="464"/>
      <c r="BV107" s="464"/>
      <c r="BW107" s="464"/>
      <c r="BX107" s="464"/>
      <c r="BY107" s="464"/>
      <c r="BZ107" s="464"/>
      <c r="CA107" s="464"/>
      <c r="CB107" s="464"/>
      <c r="CC107" s="464"/>
      <c r="CD107" s="464"/>
      <c r="CE107" s="464"/>
      <c r="CF107" s="464"/>
      <c r="CG107" s="464"/>
      <c r="CH107" s="464"/>
      <c r="CI107" s="464"/>
      <c r="CJ107" s="464"/>
      <c r="CK107" s="464"/>
      <c r="CL107" s="464"/>
      <c r="CM107" s="464"/>
      <c r="CN107" s="464"/>
      <c r="CO107" s="464"/>
      <c r="CP107" s="464"/>
      <c r="CQ107" s="464"/>
      <c r="CR107" s="464"/>
      <c r="CS107" s="464"/>
      <c r="CT107" s="464"/>
      <c r="CU107" s="464"/>
      <c r="CV107" s="464"/>
      <c r="CW107" s="464"/>
      <c r="CX107" s="464"/>
      <c r="CY107" s="464"/>
      <c r="CZ107" s="464"/>
      <c r="DA107" s="464"/>
      <c r="DB107" s="464"/>
      <c r="DC107" s="464"/>
      <c r="DD107" s="464"/>
      <c r="DE107" s="464"/>
      <c r="DF107" s="464"/>
      <c r="DG107" s="464"/>
      <c r="DH107" s="464"/>
      <c r="DI107" s="464"/>
      <c r="DJ107" s="464"/>
      <c r="DK107" s="464"/>
      <c r="DL107" s="464"/>
      <c r="DM107" s="464"/>
      <c r="DN107" s="464"/>
      <c r="DO107" s="464"/>
      <c r="DP107" s="464"/>
      <c r="DQ107" s="464"/>
      <c r="DR107" s="464"/>
      <c r="DS107" s="464"/>
      <c r="DT107" s="464"/>
      <c r="DU107" s="464"/>
      <c r="DV107" s="464"/>
      <c r="DW107" s="464"/>
      <c r="DX107" s="464"/>
      <c r="DY107" s="464"/>
      <c r="DZ107" s="464"/>
      <c r="EA107" s="464"/>
      <c r="EB107" s="464"/>
      <c r="EC107" s="464"/>
      <c r="ED107" s="464"/>
      <c r="EE107" s="464"/>
      <c r="EF107" s="464"/>
      <c r="EG107" s="464"/>
      <c r="EH107" s="464"/>
      <c r="EI107" s="464"/>
      <c r="EJ107" s="464"/>
      <c r="EK107" s="464"/>
      <c r="EL107" s="464"/>
      <c r="EM107" s="464"/>
      <c r="EN107" s="464"/>
      <c r="EO107" s="464"/>
      <c r="EP107" s="464"/>
      <c r="EQ107" s="464"/>
      <c r="ER107" s="464"/>
      <c r="ES107" s="464"/>
      <c r="ET107" s="464"/>
      <c r="EU107" s="464"/>
      <c r="EV107" s="464"/>
      <c r="EW107" s="464"/>
      <c r="EX107" s="464"/>
      <c r="EY107" s="464"/>
      <c r="EZ107" s="464"/>
      <c r="FA107" s="464"/>
      <c r="FB107" s="464"/>
      <c r="FC107" s="464"/>
      <c r="FD107" s="464"/>
      <c r="FE107" s="464"/>
      <c r="FF107" s="472">
        <f>MEDIAN(N107,P107,AD107)</f>
        <v>5000</v>
      </c>
      <c r="FG107" s="472">
        <f>AVERAGE(N107,P107,AD107)</f>
        <v>5065.18</v>
      </c>
      <c r="FH107" s="473">
        <f>STDEV(N107,P107,AD107)</f>
        <v>112.8950716373394</v>
      </c>
      <c r="FI107" s="476">
        <f t="shared" si="45"/>
        <v>2.228846193764869E-2</v>
      </c>
      <c r="FJ107" s="475">
        <f t="shared" si="46"/>
        <v>5066</v>
      </c>
      <c r="FK107" s="469">
        <f t="shared" si="48"/>
        <v>5066</v>
      </c>
      <c r="FL107" s="467" t="s">
        <v>621</v>
      </c>
      <c r="FM107" s="470"/>
    </row>
    <row r="108" spans="1:169" ht="51" customHeight="1" x14ac:dyDescent="0.35">
      <c r="A108" s="458">
        <v>104</v>
      </c>
      <c r="B108" s="485" t="s">
        <v>828</v>
      </c>
      <c r="C108" s="486" t="s">
        <v>829</v>
      </c>
      <c r="D108" s="487" t="s">
        <v>620</v>
      </c>
      <c r="E108" s="458">
        <v>1</v>
      </c>
      <c r="F108" s="482"/>
      <c r="G108" s="482"/>
      <c r="H108" s="482"/>
      <c r="I108" s="482"/>
      <c r="J108" s="482"/>
      <c r="K108" s="482"/>
      <c r="L108" s="489"/>
      <c r="M108" s="489"/>
      <c r="N108" s="489"/>
      <c r="O108" s="489"/>
      <c r="P108" s="489"/>
      <c r="Q108" s="489"/>
      <c r="R108" s="489"/>
      <c r="S108" s="489"/>
      <c r="T108" s="489"/>
      <c r="U108" s="489"/>
      <c r="V108" s="489"/>
      <c r="W108" s="464"/>
      <c r="X108" s="464"/>
      <c r="Y108" s="464"/>
      <c r="Z108" s="464">
        <v>2772</v>
      </c>
      <c r="AA108" s="464">
        <f t="shared" ref="AA108:AA109" si="56">+Z108*E108</f>
        <v>2772</v>
      </c>
      <c r="AB108" s="464">
        <v>2142</v>
      </c>
      <c r="AC108" s="464">
        <f t="shared" ref="AC108" si="57">+AB108*E108</f>
        <v>2142</v>
      </c>
      <c r="AD108" s="482">
        <v>41985.58</v>
      </c>
      <c r="AE108" s="464">
        <f t="shared" si="55"/>
        <v>41985.58</v>
      </c>
      <c r="AF108" s="464"/>
      <c r="AG108" s="464"/>
      <c r="AH108" s="464"/>
      <c r="AI108" s="464"/>
      <c r="AJ108" s="464"/>
      <c r="AK108" s="464"/>
      <c r="AL108" s="464"/>
      <c r="AM108" s="464"/>
      <c r="AN108" s="464"/>
      <c r="AO108" s="464"/>
      <c r="AP108" s="464"/>
      <c r="AQ108" s="464"/>
      <c r="AR108" s="464"/>
      <c r="AS108" s="464"/>
      <c r="AT108" s="464"/>
      <c r="AU108" s="464"/>
      <c r="AV108" s="464"/>
      <c r="AW108" s="464"/>
      <c r="AX108" s="464"/>
      <c r="AY108" s="464"/>
      <c r="AZ108" s="464"/>
      <c r="BA108" s="464"/>
      <c r="BB108" s="464"/>
      <c r="BC108" s="464"/>
      <c r="BD108" s="464"/>
      <c r="BE108" s="464"/>
      <c r="BF108" s="464"/>
      <c r="BG108" s="464"/>
      <c r="BH108" s="464"/>
      <c r="BI108" s="464"/>
      <c r="BJ108" s="464"/>
      <c r="BK108" s="464"/>
      <c r="BL108" s="464"/>
      <c r="BM108" s="464"/>
      <c r="BN108" s="464"/>
      <c r="BO108" s="464"/>
      <c r="BP108" s="464"/>
      <c r="BQ108" s="464"/>
      <c r="BR108" s="464"/>
      <c r="BS108" s="464"/>
      <c r="BT108" s="464"/>
      <c r="BU108" s="464"/>
      <c r="BV108" s="464"/>
      <c r="BW108" s="464"/>
      <c r="BX108" s="464"/>
      <c r="BY108" s="464"/>
      <c r="BZ108" s="464"/>
      <c r="CA108" s="464"/>
      <c r="CB108" s="464"/>
      <c r="CC108" s="464"/>
      <c r="CD108" s="464"/>
      <c r="CE108" s="464"/>
      <c r="CF108" s="464"/>
      <c r="CG108" s="464"/>
      <c r="CH108" s="464"/>
      <c r="CI108" s="464"/>
      <c r="CJ108" s="464"/>
      <c r="CK108" s="464"/>
      <c r="CL108" s="464"/>
      <c r="CM108" s="464"/>
      <c r="CN108" s="464"/>
      <c r="CO108" s="464"/>
      <c r="CP108" s="464"/>
      <c r="CQ108" s="464"/>
      <c r="CR108" s="464"/>
      <c r="CS108" s="464"/>
      <c r="CT108" s="464"/>
      <c r="CU108" s="464"/>
      <c r="CV108" s="464"/>
      <c r="CW108" s="464"/>
      <c r="CX108" s="464"/>
      <c r="CY108" s="464"/>
      <c r="CZ108" s="464"/>
      <c r="DA108" s="464"/>
      <c r="DB108" s="464"/>
      <c r="DC108" s="464"/>
      <c r="DD108" s="464"/>
      <c r="DE108" s="464"/>
      <c r="DF108" s="464"/>
      <c r="DG108" s="464"/>
      <c r="DH108" s="464"/>
      <c r="DI108" s="464"/>
      <c r="DJ108" s="464"/>
      <c r="DK108" s="464"/>
      <c r="DL108" s="464"/>
      <c r="DM108" s="464"/>
      <c r="DN108" s="464"/>
      <c r="DO108" s="464"/>
      <c r="DP108" s="464"/>
      <c r="DQ108" s="464"/>
      <c r="DR108" s="464"/>
      <c r="DS108" s="464"/>
      <c r="DT108" s="464"/>
      <c r="DU108" s="464"/>
      <c r="DV108" s="464"/>
      <c r="DW108" s="464"/>
      <c r="DX108" s="464"/>
      <c r="DY108" s="464"/>
      <c r="DZ108" s="464"/>
      <c r="EA108" s="464"/>
      <c r="EB108" s="464"/>
      <c r="EC108" s="464"/>
      <c r="ED108" s="464"/>
      <c r="EE108" s="464"/>
      <c r="EF108" s="464"/>
      <c r="EG108" s="464"/>
      <c r="EH108" s="464"/>
      <c r="EI108" s="464"/>
      <c r="EJ108" s="464"/>
      <c r="EK108" s="464"/>
      <c r="EL108" s="464"/>
      <c r="EM108" s="464"/>
      <c r="EN108" s="464"/>
      <c r="EO108" s="464"/>
      <c r="EP108" s="464"/>
      <c r="EQ108" s="464"/>
      <c r="ER108" s="464"/>
      <c r="ES108" s="464"/>
      <c r="ET108" s="464"/>
      <c r="EU108" s="464"/>
      <c r="EV108" s="464"/>
      <c r="EW108" s="464"/>
      <c r="EX108" s="464"/>
      <c r="EY108" s="464"/>
      <c r="EZ108" s="464"/>
      <c r="FA108" s="464"/>
      <c r="FB108" s="464"/>
      <c r="FC108" s="464"/>
      <c r="FD108" s="464"/>
      <c r="FE108" s="464"/>
      <c r="FF108" s="472">
        <f>MEDIAN(Z108,AB108)</f>
        <v>2457</v>
      </c>
      <c r="FG108" s="472">
        <f>AVERAGE(Z108,AB108)</f>
        <v>2457</v>
      </c>
      <c r="FH108" s="473">
        <f>STDEV(Z108,AB108)</f>
        <v>445.47727214752496</v>
      </c>
      <c r="FI108" s="476">
        <f t="shared" si="45"/>
        <v>0.18130943107347372</v>
      </c>
      <c r="FJ108" s="475">
        <f t="shared" si="46"/>
        <v>2457</v>
      </c>
      <c r="FK108" s="469">
        <f t="shared" si="48"/>
        <v>2457</v>
      </c>
      <c r="FL108" s="467" t="s">
        <v>632</v>
      </c>
      <c r="FM108" s="470"/>
    </row>
    <row r="109" spans="1:169" ht="32.5" customHeight="1" x14ac:dyDescent="0.35">
      <c r="A109" s="458">
        <v>105</v>
      </c>
      <c r="B109" s="485" t="s">
        <v>150</v>
      </c>
      <c r="C109" s="486" t="s">
        <v>830</v>
      </c>
      <c r="D109" s="487" t="s">
        <v>620</v>
      </c>
      <c r="E109" s="458">
        <v>1</v>
      </c>
      <c r="F109" s="482"/>
      <c r="G109" s="482"/>
      <c r="H109" s="482"/>
      <c r="I109" s="482"/>
      <c r="J109" s="482"/>
      <c r="K109" s="482"/>
      <c r="L109" s="489">
        <v>4500</v>
      </c>
      <c r="M109" s="489">
        <f>+L109*E109</f>
        <v>4500</v>
      </c>
      <c r="N109" s="489">
        <v>8000</v>
      </c>
      <c r="O109" s="489"/>
      <c r="P109" s="489">
        <v>8000</v>
      </c>
      <c r="Q109" s="489"/>
      <c r="R109" s="489"/>
      <c r="S109" s="489"/>
      <c r="T109" s="489"/>
      <c r="U109" s="489"/>
      <c r="V109" s="489"/>
      <c r="W109" s="464"/>
      <c r="X109" s="464"/>
      <c r="Y109" s="464"/>
      <c r="Z109" s="464">
        <v>8500</v>
      </c>
      <c r="AA109" s="464">
        <f t="shared" si="56"/>
        <v>8500</v>
      </c>
      <c r="AB109" s="464"/>
      <c r="AC109" s="464"/>
      <c r="AD109" s="482">
        <v>12519.847199999998</v>
      </c>
      <c r="AE109" s="464">
        <f t="shared" si="55"/>
        <v>12519.847199999998</v>
      </c>
      <c r="AF109" s="464"/>
      <c r="AG109" s="464"/>
      <c r="AH109" s="464"/>
      <c r="AI109" s="464"/>
      <c r="AJ109" s="464"/>
      <c r="AK109" s="464"/>
      <c r="AL109" s="464"/>
      <c r="AM109" s="464"/>
      <c r="AN109" s="464"/>
      <c r="AO109" s="464"/>
      <c r="AP109" s="464"/>
      <c r="AQ109" s="464"/>
      <c r="AR109" s="464"/>
      <c r="AS109" s="464"/>
      <c r="AT109" s="464"/>
      <c r="AU109" s="464"/>
      <c r="AV109" s="464"/>
      <c r="AW109" s="464"/>
      <c r="AX109" s="464"/>
      <c r="AY109" s="464"/>
      <c r="AZ109" s="464"/>
      <c r="BA109" s="464"/>
      <c r="BB109" s="464"/>
      <c r="BC109" s="464"/>
      <c r="BD109" s="464"/>
      <c r="BE109" s="464"/>
      <c r="BF109" s="464"/>
      <c r="BG109" s="464"/>
      <c r="BH109" s="464"/>
      <c r="BI109" s="464"/>
      <c r="BJ109" s="464"/>
      <c r="BK109" s="464"/>
      <c r="BL109" s="464"/>
      <c r="BM109" s="464"/>
      <c r="BN109" s="464"/>
      <c r="BO109" s="464"/>
      <c r="BP109" s="464"/>
      <c r="BQ109" s="464"/>
      <c r="BR109" s="464"/>
      <c r="BS109" s="464"/>
      <c r="BT109" s="464"/>
      <c r="BU109" s="464"/>
      <c r="BV109" s="464"/>
      <c r="BW109" s="464"/>
      <c r="BX109" s="464"/>
      <c r="BY109" s="464"/>
      <c r="BZ109" s="464"/>
      <c r="CA109" s="464"/>
      <c r="CB109" s="464"/>
      <c r="CC109" s="464"/>
      <c r="CD109" s="464"/>
      <c r="CE109" s="464"/>
      <c r="CF109" s="464"/>
      <c r="CG109" s="464"/>
      <c r="CH109" s="464"/>
      <c r="CI109" s="464"/>
      <c r="CJ109" s="464"/>
      <c r="CK109" s="464"/>
      <c r="CL109" s="464"/>
      <c r="CM109" s="464"/>
      <c r="CN109" s="464"/>
      <c r="CO109" s="464"/>
      <c r="CP109" s="464"/>
      <c r="CQ109" s="464"/>
      <c r="CR109" s="464"/>
      <c r="CS109" s="464"/>
      <c r="CT109" s="464"/>
      <c r="CU109" s="464"/>
      <c r="CV109" s="464"/>
      <c r="CW109" s="464"/>
      <c r="CX109" s="464"/>
      <c r="CY109" s="464"/>
      <c r="CZ109" s="464"/>
      <c r="DA109" s="464"/>
      <c r="DB109" s="464"/>
      <c r="DC109" s="464"/>
      <c r="DD109" s="464"/>
      <c r="DE109" s="464"/>
      <c r="DF109" s="464"/>
      <c r="DG109" s="464"/>
      <c r="DH109" s="464"/>
      <c r="DI109" s="464"/>
      <c r="DJ109" s="464"/>
      <c r="DK109" s="464"/>
      <c r="DL109" s="464"/>
      <c r="DM109" s="464"/>
      <c r="DN109" s="464"/>
      <c r="DO109" s="464"/>
      <c r="DP109" s="464"/>
      <c r="DQ109" s="464"/>
      <c r="DR109" s="464"/>
      <c r="DS109" s="464"/>
      <c r="DT109" s="464"/>
      <c r="DU109" s="464"/>
      <c r="DV109" s="464"/>
      <c r="DW109" s="464"/>
      <c r="DX109" s="464"/>
      <c r="DY109" s="464"/>
      <c r="DZ109" s="464"/>
      <c r="EA109" s="464"/>
      <c r="EB109" s="464"/>
      <c r="EC109" s="464"/>
      <c r="ED109" s="464"/>
      <c r="EE109" s="464"/>
      <c r="EF109" s="464"/>
      <c r="EG109" s="464"/>
      <c r="EH109" s="464"/>
      <c r="EI109" s="464"/>
      <c r="EJ109" s="464"/>
      <c r="EK109" s="464"/>
      <c r="EL109" s="464"/>
      <c r="EM109" s="464"/>
      <c r="EN109" s="464"/>
      <c r="EO109" s="464"/>
      <c r="EP109" s="464"/>
      <c r="EQ109" s="464"/>
      <c r="ER109" s="464"/>
      <c r="ES109" s="464"/>
      <c r="ET109" s="464"/>
      <c r="EU109" s="464"/>
      <c r="EV109" s="464"/>
      <c r="EW109" s="464"/>
      <c r="EX109" s="464"/>
      <c r="EY109" s="464"/>
      <c r="EZ109" s="464"/>
      <c r="FA109" s="464"/>
      <c r="FB109" s="464"/>
      <c r="FC109" s="464"/>
      <c r="FD109" s="464"/>
      <c r="FE109" s="464"/>
      <c r="FF109" s="472">
        <f>MEDIAN(N109,P109,Z109)</f>
        <v>8000</v>
      </c>
      <c r="FG109" s="472">
        <f>AVERAGE(N109,P109,Z109)</f>
        <v>8166.666666666667</v>
      </c>
      <c r="FH109" s="473">
        <f>STDEV(N109,P109,Z109)</f>
        <v>288.67513459481285</v>
      </c>
      <c r="FI109" s="476">
        <f t="shared" si="45"/>
        <v>3.5347975664670961E-2</v>
      </c>
      <c r="FJ109" s="475">
        <f t="shared" si="46"/>
        <v>8167</v>
      </c>
      <c r="FK109" s="469">
        <f t="shared" si="48"/>
        <v>8167</v>
      </c>
      <c r="FL109" s="467" t="s">
        <v>621</v>
      </c>
      <c r="FM109" s="470"/>
    </row>
    <row r="110" spans="1:169" ht="32.5" customHeight="1" x14ac:dyDescent="0.35">
      <c r="A110" s="458">
        <v>106</v>
      </c>
      <c r="B110" s="485" t="s">
        <v>831</v>
      </c>
      <c r="C110" s="486" t="s">
        <v>832</v>
      </c>
      <c r="D110" s="487" t="s">
        <v>620</v>
      </c>
      <c r="E110" s="458">
        <v>1</v>
      </c>
      <c r="F110" s="482"/>
      <c r="G110" s="482"/>
      <c r="H110" s="482"/>
      <c r="I110" s="482"/>
      <c r="J110" s="482"/>
      <c r="K110" s="482"/>
      <c r="L110" s="489"/>
      <c r="M110" s="489"/>
      <c r="N110" s="489">
        <v>8000</v>
      </c>
      <c r="O110" s="489"/>
      <c r="P110" s="489">
        <v>7500</v>
      </c>
      <c r="Q110" s="489"/>
      <c r="R110" s="489"/>
      <c r="S110" s="489"/>
      <c r="T110" s="489"/>
      <c r="U110" s="489"/>
      <c r="V110" s="489"/>
      <c r="W110" s="464"/>
      <c r="X110" s="464"/>
      <c r="Y110" s="464"/>
      <c r="Z110" s="464"/>
      <c r="AA110" s="464"/>
      <c r="AB110" s="464"/>
      <c r="AC110" s="464"/>
      <c r="AD110" s="482">
        <v>126378</v>
      </c>
      <c r="AE110" s="464">
        <f t="shared" si="55"/>
        <v>126378</v>
      </c>
      <c r="AF110" s="464"/>
      <c r="AG110" s="464"/>
      <c r="AH110" s="464"/>
      <c r="AI110" s="464"/>
      <c r="AJ110" s="464"/>
      <c r="AK110" s="464"/>
      <c r="AL110" s="464"/>
      <c r="AM110" s="464"/>
      <c r="AN110" s="464"/>
      <c r="AO110" s="464"/>
      <c r="AP110" s="464"/>
      <c r="AQ110" s="464"/>
      <c r="AR110" s="464"/>
      <c r="AS110" s="464"/>
      <c r="AT110" s="464"/>
      <c r="AU110" s="464"/>
      <c r="AV110" s="464"/>
      <c r="AW110" s="464"/>
      <c r="AX110" s="464"/>
      <c r="AY110" s="464"/>
      <c r="AZ110" s="464"/>
      <c r="BA110" s="464"/>
      <c r="BB110" s="464"/>
      <c r="BC110" s="464"/>
      <c r="BD110" s="464"/>
      <c r="BE110" s="464"/>
      <c r="BF110" s="464"/>
      <c r="BG110" s="464"/>
      <c r="BH110" s="464"/>
      <c r="BI110" s="464"/>
      <c r="BJ110" s="464"/>
      <c r="BK110" s="464"/>
      <c r="BL110" s="464"/>
      <c r="BM110" s="464"/>
      <c r="BN110" s="464"/>
      <c r="BO110" s="464"/>
      <c r="BP110" s="464"/>
      <c r="BQ110" s="464"/>
      <c r="BR110" s="464"/>
      <c r="BS110" s="464"/>
      <c r="BT110" s="464"/>
      <c r="BU110" s="464"/>
      <c r="BV110" s="464"/>
      <c r="BW110" s="464"/>
      <c r="BX110" s="464"/>
      <c r="BY110" s="464"/>
      <c r="BZ110" s="464"/>
      <c r="CA110" s="464"/>
      <c r="CB110" s="464"/>
      <c r="CC110" s="464"/>
      <c r="CD110" s="464"/>
      <c r="CE110" s="464"/>
      <c r="CF110" s="464"/>
      <c r="CG110" s="464"/>
      <c r="CH110" s="464"/>
      <c r="CI110" s="464"/>
      <c r="CJ110" s="464"/>
      <c r="CK110" s="464"/>
      <c r="CL110" s="464"/>
      <c r="CM110" s="464"/>
      <c r="CN110" s="464"/>
      <c r="CO110" s="464"/>
      <c r="CP110" s="464"/>
      <c r="CQ110" s="464"/>
      <c r="CR110" s="464"/>
      <c r="CS110" s="464"/>
      <c r="CT110" s="464"/>
      <c r="CU110" s="464"/>
      <c r="CV110" s="464"/>
      <c r="CW110" s="464"/>
      <c r="CX110" s="464"/>
      <c r="CY110" s="464"/>
      <c r="CZ110" s="464"/>
      <c r="DA110" s="464"/>
      <c r="DB110" s="464"/>
      <c r="DC110" s="464"/>
      <c r="DD110" s="464"/>
      <c r="DE110" s="464"/>
      <c r="DF110" s="464"/>
      <c r="DG110" s="464"/>
      <c r="DH110" s="464"/>
      <c r="DI110" s="464"/>
      <c r="DJ110" s="464"/>
      <c r="DK110" s="464"/>
      <c r="DL110" s="464"/>
      <c r="DM110" s="464"/>
      <c r="DN110" s="464"/>
      <c r="DO110" s="464"/>
      <c r="DP110" s="464"/>
      <c r="DQ110" s="464"/>
      <c r="DR110" s="464"/>
      <c r="DS110" s="464"/>
      <c r="DT110" s="464"/>
      <c r="DU110" s="464"/>
      <c r="DV110" s="464"/>
      <c r="DW110" s="464"/>
      <c r="DX110" s="464"/>
      <c r="DY110" s="464"/>
      <c r="DZ110" s="464"/>
      <c r="EA110" s="464"/>
      <c r="EB110" s="464"/>
      <c r="EC110" s="464"/>
      <c r="ED110" s="464"/>
      <c r="EE110" s="464"/>
      <c r="EF110" s="464"/>
      <c r="EG110" s="464"/>
      <c r="EH110" s="464"/>
      <c r="EI110" s="464"/>
      <c r="EJ110" s="464"/>
      <c r="EK110" s="464"/>
      <c r="EL110" s="464"/>
      <c r="EM110" s="464"/>
      <c r="EN110" s="464"/>
      <c r="EO110" s="464"/>
      <c r="EP110" s="464"/>
      <c r="EQ110" s="464"/>
      <c r="ER110" s="464"/>
      <c r="ES110" s="464"/>
      <c r="ET110" s="464"/>
      <c r="EU110" s="464"/>
      <c r="EV110" s="464"/>
      <c r="EW110" s="464"/>
      <c r="EX110" s="464"/>
      <c r="EY110" s="464"/>
      <c r="EZ110" s="464"/>
      <c r="FA110" s="464"/>
      <c r="FB110" s="464"/>
      <c r="FC110" s="464"/>
      <c r="FD110" s="464"/>
      <c r="FE110" s="464"/>
      <c r="FF110" s="472">
        <f>MEDIAN(N110,P110)</f>
        <v>7750</v>
      </c>
      <c r="FG110" s="472">
        <f>AVERAGE(N110,P110)</f>
        <v>7750</v>
      </c>
      <c r="FH110" s="473">
        <f>STDEV(N110,P110)</f>
        <v>353.55339059327378</v>
      </c>
      <c r="FI110" s="476">
        <f t="shared" si="45"/>
        <v>4.5619792334615973E-2</v>
      </c>
      <c r="FJ110" s="475">
        <f t="shared" si="46"/>
        <v>7750</v>
      </c>
      <c r="FK110" s="469">
        <f t="shared" si="48"/>
        <v>7750</v>
      </c>
      <c r="FL110" s="467" t="s">
        <v>621</v>
      </c>
      <c r="FM110" s="470"/>
    </row>
    <row r="111" spans="1:169" ht="69.75" customHeight="1" x14ac:dyDescent="0.35">
      <c r="A111" s="458">
        <v>107</v>
      </c>
      <c r="B111" s="485" t="s">
        <v>833</v>
      </c>
      <c r="C111" s="486" t="s">
        <v>834</v>
      </c>
      <c r="D111" s="487" t="s">
        <v>620</v>
      </c>
      <c r="E111" s="458">
        <v>1</v>
      </c>
      <c r="F111" s="482"/>
      <c r="G111" s="482"/>
      <c r="H111" s="482"/>
      <c r="I111" s="482"/>
      <c r="J111" s="482"/>
      <c r="K111" s="482"/>
      <c r="L111" s="489"/>
      <c r="M111" s="489"/>
      <c r="N111" s="489"/>
      <c r="O111" s="489"/>
      <c r="P111" s="489">
        <v>18000</v>
      </c>
      <c r="Q111" s="489"/>
      <c r="R111" s="489"/>
      <c r="S111" s="489"/>
      <c r="T111" s="489"/>
      <c r="U111" s="489"/>
      <c r="V111" s="489"/>
      <c r="W111" s="464"/>
      <c r="X111" s="464"/>
      <c r="Y111" s="464"/>
      <c r="Z111" s="464"/>
      <c r="AA111" s="464"/>
      <c r="AB111" s="464">
        <v>20000</v>
      </c>
      <c r="AC111" s="464">
        <f t="shared" ref="AC111" si="58">+AB111*E111</f>
        <v>20000</v>
      </c>
      <c r="AD111" s="482">
        <v>106719.2</v>
      </c>
      <c r="AE111" s="464">
        <f t="shared" si="55"/>
        <v>106719.2</v>
      </c>
      <c r="AF111" s="464"/>
      <c r="AG111" s="464"/>
      <c r="AH111" s="464"/>
      <c r="AI111" s="464"/>
      <c r="AJ111" s="464"/>
      <c r="AK111" s="464"/>
      <c r="AL111" s="464"/>
      <c r="AM111" s="464"/>
      <c r="AN111" s="464"/>
      <c r="AO111" s="464"/>
      <c r="AP111" s="464"/>
      <c r="AQ111" s="464"/>
      <c r="AR111" s="464"/>
      <c r="AS111" s="464"/>
      <c r="AT111" s="464"/>
      <c r="AU111" s="464"/>
      <c r="AV111" s="464"/>
      <c r="AW111" s="464"/>
      <c r="AX111" s="464"/>
      <c r="AY111" s="464"/>
      <c r="AZ111" s="464"/>
      <c r="BA111" s="464"/>
      <c r="BB111" s="464"/>
      <c r="BC111" s="464"/>
      <c r="BD111" s="464"/>
      <c r="BE111" s="464"/>
      <c r="BF111" s="464"/>
      <c r="BG111" s="464"/>
      <c r="BH111" s="464"/>
      <c r="BI111" s="464"/>
      <c r="BJ111" s="464"/>
      <c r="BK111" s="464"/>
      <c r="BL111" s="464"/>
      <c r="BM111" s="464"/>
      <c r="BN111" s="464"/>
      <c r="BO111" s="464"/>
      <c r="BP111" s="464"/>
      <c r="BQ111" s="464"/>
      <c r="BR111" s="464"/>
      <c r="BS111" s="464"/>
      <c r="BT111" s="464"/>
      <c r="BU111" s="464"/>
      <c r="BV111" s="464"/>
      <c r="BW111" s="464"/>
      <c r="BX111" s="464"/>
      <c r="BY111" s="464"/>
      <c r="BZ111" s="464"/>
      <c r="CA111" s="464"/>
      <c r="CB111" s="464"/>
      <c r="CC111" s="464"/>
      <c r="CD111" s="464"/>
      <c r="CE111" s="464"/>
      <c r="CF111" s="464"/>
      <c r="CG111" s="464"/>
      <c r="CH111" s="464"/>
      <c r="CI111" s="464"/>
      <c r="CJ111" s="464"/>
      <c r="CK111" s="464"/>
      <c r="CL111" s="464"/>
      <c r="CM111" s="464"/>
      <c r="CN111" s="464"/>
      <c r="CO111" s="464"/>
      <c r="CP111" s="464"/>
      <c r="CQ111" s="464"/>
      <c r="CR111" s="464"/>
      <c r="CS111" s="464"/>
      <c r="CT111" s="464"/>
      <c r="CU111" s="464"/>
      <c r="CV111" s="464"/>
      <c r="CW111" s="464"/>
      <c r="CX111" s="464"/>
      <c r="CY111" s="464"/>
      <c r="CZ111" s="464"/>
      <c r="DA111" s="464"/>
      <c r="DB111" s="464"/>
      <c r="DC111" s="464"/>
      <c r="DD111" s="464"/>
      <c r="DE111" s="464"/>
      <c r="DF111" s="464"/>
      <c r="DG111" s="464"/>
      <c r="DH111" s="464"/>
      <c r="DI111" s="464"/>
      <c r="DJ111" s="464"/>
      <c r="DK111" s="464"/>
      <c r="DL111" s="464"/>
      <c r="DM111" s="464"/>
      <c r="DN111" s="464"/>
      <c r="DO111" s="464"/>
      <c r="DP111" s="464"/>
      <c r="DQ111" s="464"/>
      <c r="DR111" s="464"/>
      <c r="DS111" s="464"/>
      <c r="DT111" s="464"/>
      <c r="DU111" s="464"/>
      <c r="DV111" s="464"/>
      <c r="DW111" s="464"/>
      <c r="DX111" s="464"/>
      <c r="DY111" s="464"/>
      <c r="DZ111" s="464"/>
      <c r="EA111" s="464"/>
      <c r="EB111" s="464"/>
      <c r="EC111" s="464"/>
      <c r="ED111" s="464"/>
      <c r="EE111" s="464"/>
      <c r="EF111" s="464"/>
      <c r="EG111" s="464"/>
      <c r="EH111" s="464"/>
      <c r="EI111" s="464"/>
      <c r="EJ111" s="464"/>
      <c r="EK111" s="464"/>
      <c r="EL111" s="464"/>
      <c r="EM111" s="464"/>
      <c r="EN111" s="464"/>
      <c r="EO111" s="464"/>
      <c r="EP111" s="464"/>
      <c r="EQ111" s="464"/>
      <c r="ER111" s="464"/>
      <c r="ES111" s="464"/>
      <c r="ET111" s="464"/>
      <c r="EU111" s="464"/>
      <c r="EV111" s="464"/>
      <c r="EW111" s="464"/>
      <c r="EX111" s="464"/>
      <c r="EY111" s="464"/>
      <c r="EZ111" s="464"/>
      <c r="FA111" s="464"/>
      <c r="FB111" s="464"/>
      <c r="FC111" s="464"/>
      <c r="FD111" s="464"/>
      <c r="FE111" s="464"/>
      <c r="FF111" s="472">
        <f>MEDIAN(P111,AB111)</f>
        <v>19000</v>
      </c>
      <c r="FG111" s="472">
        <f>AVERAGE(P111,AB111)</f>
        <v>19000</v>
      </c>
      <c r="FH111" s="473">
        <f>STDEV(P111,AB111)</f>
        <v>1414.2135623730951</v>
      </c>
      <c r="FI111" s="476">
        <f t="shared" si="45"/>
        <v>7.4432292756478696E-2</v>
      </c>
      <c r="FJ111" s="475">
        <f t="shared" si="46"/>
        <v>19000</v>
      </c>
      <c r="FK111" s="469">
        <f t="shared" si="48"/>
        <v>19000</v>
      </c>
      <c r="FL111" s="467" t="s">
        <v>621</v>
      </c>
      <c r="FM111" s="470"/>
    </row>
    <row r="112" spans="1:169" s="457" customFormat="1" ht="32.5" customHeight="1" x14ac:dyDescent="0.35">
      <c r="A112" s="458">
        <v>108</v>
      </c>
      <c r="B112" s="459" t="s">
        <v>835</v>
      </c>
      <c r="C112" s="460" t="s">
        <v>836</v>
      </c>
      <c r="D112" s="461" t="s">
        <v>620</v>
      </c>
      <c r="E112" s="458">
        <v>1</v>
      </c>
      <c r="F112" s="463"/>
      <c r="G112" s="463"/>
      <c r="H112" s="463"/>
      <c r="I112" s="463"/>
      <c r="J112" s="463"/>
      <c r="K112" s="463"/>
      <c r="L112" s="464"/>
      <c r="M112" s="464"/>
      <c r="N112" s="464"/>
      <c r="O112" s="464"/>
      <c r="P112" s="464"/>
      <c r="Q112" s="464"/>
      <c r="R112" s="464">
        <v>10000</v>
      </c>
      <c r="S112" s="464">
        <f>+R112*E112</f>
        <v>10000</v>
      </c>
      <c r="T112" s="464"/>
      <c r="U112" s="464"/>
      <c r="V112" s="464"/>
      <c r="W112" s="464"/>
      <c r="X112" s="464"/>
      <c r="Y112" s="464"/>
      <c r="Z112" s="464">
        <f>3900*6</f>
        <v>23400</v>
      </c>
      <c r="AA112" s="464">
        <f t="shared" ref="AA112:AA113" si="59">+Z112*E112</f>
        <v>23400</v>
      </c>
      <c r="AB112" s="464"/>
      <c r="AC112" s="464"/>
      <c r="AD112" s="463">
        <v>39177.18</v>
      </c>
      <c r="AE112" s="464">
        <f t="shared" si="55"/>
        <v>39177.18</v>
      </c>
      <c r="AF112" s="464"/>
      <c r="AG112" s="464"/>
      <c r="AH112" s="464"/>
      <c r="AI112" s="464"/>
      <c r="AJ112" s="464"/>
      <c r="AK112" s="464"/>
      <c r="AL112" s="464"/>
      <c r="AM112" s="464"/>
      <c r="AN112" s="464"/>
      <c r="AO112" s="464"/>
      <c r="AP112" s="464"/>
      <c r="AQ112" s="464"/>
      <c r="AR112" s="464"/>
      <c r="AS112" s="464"/>
      <c r="AT112" s="464"/>
      <c r="AU112" s="464"/>
      <c r="AV112" s="464"/>
      <c r="AW112" s="464"/>
      <c r="AX112" s="464">
        <v>16800</v>
      </c>
      <c r="AY112" s="464">
        <f>+AX112*E112</f>
        <v>16800</v>
      </c>
      <c r="AZ112" s="464"/>
      <c r="BA112" s="464"/>
      <c r="BB112" s="464"/>
      <c r="BC112" s="464"/>
      <c r="BD112" s="464"/>
      <c r="BE112" s="464"/>
      <c r="BF112" s="464"/>
      <c r="BG112" s="464"/>
      <c r="BH112" s="464">
        <v>5000</v>
      </c>
      <c r="BI112" s="464">
        <f>+BH112*E112</f>
        <v>5000</v>
      </c>
      <c r="BJ112" s="464"/>
      <c r="BK112" s="464"/>
      <c r="BL112" s="464"/>
      <c r="BM112" s="464"/>
      <c r="BN112" s="464"/>
      <c r="BO112" s="464"/>
      <c r="BP112" s="464"/>
      <c r="BQ112" s="464"/>
      <c r="BR112" s="464"/>
      <c r="BS112" s="464"/>
      <c r="BT112" s="464"/>
      <c r="BU112" s="464"/>
      <c r="BV112" s="464"/>
      <c r="BW112" s="464"/>
      <c r="BX112" s="464"/>
      <c r="BY112" s="464"/>
      <c r="BZ112" s="464"/>
      <c r="CA112" s="464"/>
      <c r="CB112" s="464"/>
      <c r="CC112" s="464"/>
      <c r="CD112" s="464"/>
      <c r="CE112" s="464"/>
      <c r="CF112" s="464"/>
      <c r="CG112" s="464"/>
      <c r="CH112" s="464"/>
      <c r="CI112" s="464"/>
      <c r="CJ112" s="464"/>
      <c r="CK112" s="464"/>
      <c r="CL112" s="464"/>
      <c r="CM112" s="464"/>
      <c r="CN112" s="464"/>
      <c r="CO112" s="464"/>
      <c r="CP112" s="464"/>
      <c r="CQ112" s="464"/>
      <c r="CR112" s="464"/>
      <c r="CS112" s="464"/>
      <c r="CT112" s="464"/>
      <c r="CU112" s="464"/>
      <c r="CV112" s="464"/>
      <c r="CW112" s="464"/>
      <c r="CX112" s="464"/>
      <c r="CY112" s="464"/>
      <c r="CZ112" s="464"/>
      <c r="DA112" s="464"/>
      <c r="DB112" s="464"/>
      <c r="DC112" s="464"/>
      <c r="DD112" s="464"/>
      <c r="DE112" s="464"/>
      <c r="DF112" s="464"/>
      <c r="DG112" s="464"/>
      <c r="DH112" s="464"/>
      <c r="DI112" s="464"/>
      <c r="DJ112" s="464"/>
      <c r="DK112" s="464"/>
      <c r="DL112" s="464"/>
      <c r="DM112" s="464"/>
      <c r="DN112" s="464"/>
      <c r="DO112" s="464"/>
      <c r="DP112" s="464"/>
      <c r="DQ112" s="464"/>
      <c r="DR112" s="464"/>
      <c r="DS112" s="464"/>
      <c r="DT112" s="464"/>
      <c r="DU112" s="464"/>
      <c r="DV112" s="464"/>
      <c r="DW112" s="464"/>
      <c r="DX112" s="464"/>
      <c r="DY112" s="464"/>
      <c r="DZ112" s="464"/>
      <c r="EA112" s="464"/>
      <c r="EB112" s="464"/>
      <c r="EC112" s="464"/>
      <c r="ED112" s="464"/>
      <c r="EE112" s="464"/>
      <c r="EF112" s="464"/>
      <c r="EG112" s="464"/>
      <c r="EH112" s="464"/>
      <c r="EI112" s="464"/>
      <c r="EJ112" s="464"/>
      <c r="EK112" s="464"/>
      <c r="EL112" s="464"/>
      <c r="EM112" s="464"/>
      <c r="EN112" s="464"/>
      <c r="EO112" s="464"/>
      <c r="EP112" s="464"/>
      <c r="EQ112" s="464"/>
      <c r="ER112" s="464"/>
      <c r="ES112" s="464"/>
      <c r="ET112" s="464"/>
      <c r="EU112" s="464"/>
      <c r="EV112" s="464"/>
      <c r="EW112" s="464"/>
      <c r="EX112" s="464"/>
      <c r="EY112" s="464"/>
      <c r="EZ112" s="464"/>
      <c r="FA112" s="464"/>
      <c r="FB112" s="464"/>
      <c r="FC112" s="464"/>
      <c r="FD112" s="464"/>
      <c r="FE112" s="464"/>
      <c r="FF112" s="472">
        <f>MEDIAN(Z112,AX112)</f>
        <v>20100</v>
      </c>
      <c r="FG112" s="472">
        <f>AVERAGE(Z112,AX112)</f>
        <v>20100</v>
      </c>
      <c r="FH112" s="473">
        <f>STDEV(Z112,AX112)</f>
        <v>4666.9047558312141</v>
      </c>
      <c r="FI112" s="476">
        <f t="shared" si="45"/>
        <v>0.23218431621050817</v>
      </c>
      <c r="FJ112" s="475">
        <f t="shared" si="46"/>
        <v>20100</v>
      </c>
      <c r="FK112" s="469">
        <f t="shared" si="48"/>
        <v>20100</v>
      </c>
      <c r="FL112" s="467" t="s">
        <v>632</v>
      </c>
      <c r="FM112" s="470"/>
    </row>
    <row r="113" spans="1:169" s="457" customFormat="1" ht="32.5" customHeight="1" x14ac:dyDescent="0.35">
      <c r="A113" s="458">
        <v>109</v>
      </c>
      <c r="B113" s="459" t="s">
        <v>837</v>
      </c>
      <c r="C113" s="460" t="s">
        <v>838</v>
      </c>
      <c r="D113" s="461" t="s">
        <v>620</v>
      </c>
      <c r="E113" s="458">
        <v>1</v>
      </c>
      <c r="F113" s="463"/>
      <c r="G113" s="463"/>
      <c r="H113" s="463"/>
      <c r="I113" s="463"/>
      <c r="J113" s="463"/>
      <c r="K113" s="463"/>
      <c r="L113" s="464"/>
      <c r="M113" s="464"/>
      <c r="N113" s="464"/>
      <c r="O113" s="464"/>
      <c r="P113" s="464"/>
      <c r="Q113" s="464"/>
      <c r="R113" s="464">
        <v>4000</v>
      </c>
      <c r="S113" s="464">
        <f>+R113*E113</f>
        <v>4000</v>
      </c>
      <c r="T113" s="464"/>
      <c r="U113" s="464"/>
      <c r="V113" s="464"/>
      <c r="W113" s="464"/>
      <c r="X113" s="464"/>
      <c r="Y113" s="464"/>
      <c r="Z113" s="464">
        <v>11750</v>
      </c>
      <c r="AA113" s="464">
        <f t="shared" si="59"/>
        <v>11750</v>
      </c>
      <c r="AB113" s="464"/>
      <c r="AC113" s="464"/>
      <c r="AD113" s="463">
        <v>8194.5099999999984</v>
      </c>
      <c r="AE113" s="464">
        <f t="shared" si="55"/>
        <v>8194.5099999999984</v>
      </c>
      <c r="AF113" s="464"/>
      <c r="AG113" s="464"/>
      <c r="AH113" s="464"/>
      <c r="AI113" s="464"/>
      <c r="AJ113" s="464"/>
      <c r="AK113" s="464"/>
      <c r="AL113" s="464"/>
      <c r="AM113" s="464"/>
      <c r="AN113" s="464"/>
      <c r="AO113" s="464"/>
      <c r="AP113" s="464"/>
      <c r="AQ113" s="464"/>
      <c r="AR113" s="464"/>
      <c r="AS113" s="464"/>
      <c r="AT113" s="464"/>
      <c r="AU113" s="464"/>
      <c r="AV113" s="464"/>
      <c r="AW113" s="464"/>
      <c r="AX113" s="464"/>
      <c r="AY113" s="464"/>
      <c r="AZ113" s="464"/>
      <c r="BA113" s="464"/>
      <c r="BB113" s="464"/>
      <c r="BC113" s="464"/>
      <c r="BD113" s="464"/>
      <c r="BE113" s="464"/>
      <c r="BF113" s="464"/>
      <c r="BG113" s="464"/>
      <c r="BH113" s="464"/>
      <c r="BI113" s="464"/>
      <c r="BJ113" s="464"/>
      <c r="BK113" s="464"/>
      <c r="BL113" s="464"/>
      <c r="BM113" s="464"/>
      <c r="BN113" s="464"/>
      <c r="BO113" s="464"/>
      <c r="BP113" s="464"/>
      <c r="BQ113" s="464"/>
      <c r="BR113" s="464"/>
      <c r="BS113" s="464"/>
      <c r="BT113" s="464"/>
      <c r="BU113" s="464"/>
      <c r="BV113" s="464"/>
      <c r="BW113" s="464"/>
      <c r="BX113" s="464"/>
      <c r="BY113" s="464"/>
      <c r="BZ113" s="464"/>
      <c r="CA113" s="464"/>
      <c r="CB113" s="464"/>
      <c r="CC113" s="464"/>
      <c r="CD113" s="464"/>
      <c r="CE113" s="464"/>
      <c r="CF113" s="464"/>
      <c r="CG113" s="464"/>
      <c r="CH113" s="464"/>
      <c r="CI113" s="464"/>
      <c r="CJ113" s="464"/>
      <c r="CK113" s="464"/>
      <c r="CL113" s="464"/>
      <c r="CM113" s="464"/>
      <c r="CN113" s="464"/>
      <c r="CO113" s="464"/>
      <c r="CP113" s="464"/>
      <c r="CQ113" s="464"/>
      <c r="CR113" s="464"/>
      <c r="CS113" s="464"/>
      <c r="CT113" s="464"/>
      <c r="CU113" s="464"/>
      <c r="CV113" s="464"/>
      <c r="CW113" s="464"/>
      <c r="CX113" s="464"/>
      <c r="CY113" s="464"/>
      <c r="CZ113" s="464"/>
      <c r="DA113" s="464"/>
      <c r="DB113" s="464"/>
      <c r="DC113" s="464"/>
      <c r="DD113" s="464"/>
      <c r="DE113" s="464"/>
      <c r="DF113" s="464"/>
      <c r="DG113" s="464"/>
      <c r="DH113" s="464"/>
      <c r="DI113" s="464"/>
      <c r="DJ113" s="464"/>
      <c r="DK113" s="464"/>
      <c r="DL113" s="464"/>
      <c r="DM113" s="464"/>
      <c r="DN113" s="464"/>
      <c r="DO113" s="464"/>
      <c r="DP113" s="464"/>
      <c r="DQ113" s="464"/>
      <c r="DR113" s="464"/>
      <c r="DS113" s="464"/>
      <c r="DT113" s="464">
        <v>14000</v>
      </c>
      <c r="DU113" s="464">
        <f>+DT113*E113</f>
        <v>14000</v>
      </c>
      <c r="DV113" s="464">
        <v>4000</v>
      </c>
      <c r="DW113" s="464">
        <f>+DV113*E113</f>
        <v>4000</v>
      </c>
      <c r="DX113" s="464"/>
      <c r="DY113" s="464"/>
      <c r="DZ113" s="464"/>
      <c r="EA113" s="464"/>
      <c r="EB113" s="464"/>
      <c r="EC113" s="464"/>
      <c r="ED113" s="464"/>
      <c r="EE113" s="464"/>
      <c r="EF113" s="464"/>
      <c r="EG113" s="464"/>
      <c r="EH113" s="464"/>
      <c r="EI113" s="464"/>
      <c r="EJ113" s="464"/>
      <c r="EK113" s="464"/>
      <c r="EL113" s="464"/>
      <c r="EM113" s="464"/>
      <c r="EN113" s="464"/>
      <c r="EO113" s="464"/>
      <c r="EP113" s="464"/>
      <c r="EQ113" s="464"/>
      <c r="ER113" s="464"/>
      <c r="ES113" s="464"/>
      <c r="ET113" s="464"/>
      <c r="EU113" s="464"/>
      <c r="EV113" s="464"/>
      <c r="EW113" s="464"/>
      <c r="EX113" s="464"/>
      <c r="EY113" s="464"/>
      <c r="EZ113" s="464"/>
      <c r="FA113" s="464"/>
      <c r="FB113" s="464"/>
      <c r="FC113" s="464"/>
      <c r="FD113" s="464"/>
      <c r="FE113" s="464"/>
      <c r="FF113" s="472">
        <f>MEDIAN(DT113,Z113)</f>
        <v>12875</v>
      </c>
      <c r="FG113" s="472">
        <f>AVERAGE(DT113,Z113)</f>
        <v>12875</v>
      </c>
      <c r="FH113" s="473">
        <f>STDEV(DT113,Z113)</f>
        <v>1590.9902576697318</v>
      </c>
      <c r="FI113" s="476">
        <f t="shared" si="45"/>
        <v>0.12357205884813451</v>
      </c>
      <c r="FJ113" s="475">
        <f t="shared" si="46"/>
        <v>12875</v>
      </c>
      <c r="FK113" s="469">
        <f t="shared" si="48"/>
        <v>12875</v>
      </c>
      <c r="FL113" s="467" t="s">
        <v>621</v>
      </c>
      <c r="FM113" s="470"/>
    </row>
    <row r="114" spans="1:169" ht="32.5" customHeight="1" x14ac:dyDescent="0.35">
      <c r="A114" s="458">
        <v>110</v>
      </c>
      <c r="B114" s="485" t="s">
        <v>839</v>
      </c>
      <c r="C114" s="486" t="s">
        <v>840</v>
      </c>
      <c r="D114" s="487" t="s">
        <v>620</v>
      </c>
      <c r="E114" s="458">
        <v>1</v>
      </c>
      <c r="F114" s="482"/>
      <c r="G114" s="482"/>
      <c r="H114" s="482"/>
      <c r="I114" s="482"/>
      <c r="J114" s="482"/>
      <c r="K114" s="482"/>
      <c r="L114" s="489">
        <v>15000</v>
      </c>
      <c r="M114" s="489">
        <f>+L114*E114</f>
        <v>15000</v>
      </c>
      <c r="N114" s="489"/>
      <c r="O114" s="489"/>
      <c r="P114" s="489"/>
      <c r="Q114" s="489"/>
      <c r="R114" s="489"/>
      <c r="S114" s="489"/>
      <c r="T114" s="489"/>
      <c r="U114" s="489"/>
      <c r="V114" s="489"/>
      <c r="W114" s="464"/>
      <c r="X114" s="464"/>
      <c r="Y114" s="464"/>
      <c r="Z114" s="464"/>
      <c r="AA114" s="464"/>
      <c r="AB114" s="464">
        <v>4500</v>
      </c>
      <c r="AC114" s="464">
        <f t="shared" ref="AC114" si="60">+AB114*E114</f>
        <v>4500</v>
      </c>
      <c r="AD114" s="482">
        <v>6318.9</v>
      </c>
      <c r="AE114" s="464">
        <f t="shared" si="55"/>
        <v>6318.9</v>
      </c>
      <c r="AF114" s="464"/>
      <c r="AG114" s="464"/>
      <c r="AH114" s="464"/>
      <c r="AI114" s="464"/>
      <c r="AJ114" s="464"/>
      <c r="AK114" s="464"/>
      <c r="AL114" s="464"/>
      <c r="AM114" s="464"/>
      <c r="AN114" s="464"/>
      <c r="AO114" s="464"/>
      <c r="AP114" s="464"/>
      <c r="AQ114" s="464"/>
      <c r="AR114" s="464"/>
      <c r="AS114" s="464"/>
      <c r="AT114" s="464"/>
      <c r="AU114" s="464"/>
      <c r="AV114" s="464"/>
      <c r="AW114" s="464"/>
      <c r="AX114" s="464"/>
      <c r="AY114" s="464"/>
      <c r="AZ114" s="464"/>
      <c r="BA114" s="464"/>
      <c r="BB114" s="464"/>
      <c r="BC114" s="464"/>
      <c r="BD114" s="464"/>
      <c r="BE114" s="464"/>
      <c r="BF114" s="464"/>
      <c r="BG114" s="464"/>
      <c r="BH114" s="464"/>
      <c r="BI114" s="464"/>
      <c r="BJ114" s="464"/>
      <c r="BK114" s="464"/>
      <c r="BL114" s="464"/>
      <c r="BM114" s="464"/>
      <c r="BN114" s="464"/>
      <c r="BO114" s="464"/>
      <c r="BP114" s="464"/>
      <c r="BQ114" s="464"/>
      <c r="BR114" s="464"/>
      <c r="BS114" s="464"/>
      <c r="BT114" s="464"/>
      <c r="BU114" s="464"/>
      <c r="BV114" s="464"/>
      <c r="BW114" s="464"/>
      <c r="BX114" s="464"/>
      <c r="BY114" s="464"/>
      <c r="BZ114" s="464"/>
      <c r="CA114" s="464"/>
      <c r="CB114" s="464"/>
      <c r="CC114" s="464"/>
      <c r="CD114" s="464"/>
      <c r="CE114" s="464"/>
      <c r="CF114" s="464"/>
      <c r="CG114" s="464"/>
      <c r="CH114" s="464"/>
      <c r="CI114" s="464"/>
      <c r="CJ114" s="464"/>
      <c r="CK114" s="464"/>
      <c r="CL114" s="464"/>
      <c r="CM114" s="464"/>
      <c r="CN114" s="464"/>
      <c r="CO114" s="464"/>
      <c r="CP114" s="464"/>
      <c r="CQ114" s="464"/>
      <c r="CR114" s="464"/>
      <c r="CS114" s="464"/>
      <c r="CT114" s="464"/>
      <c r="CU114" s="464"/>
      <c r="CV114" s="464"/>
      <c r="CW114" s="464"/>
      <c r="CX114" s="464"/>
      <c r="CY114" s="464"/>
      <c r="CZ114" s="464"/>
      <c r="DA114" s="464"/>
      <c r="DB114" s="464"/>
      <c r="DC114" s="464"/>
      <c r="DD114" s="464"/>
      <c r="DE114" s="464"/>
      <c r="DF114" s="464"/>
      <c r="DG114" s="464"/>
      <c r="DH114" s="464"/>
      <c r="DI114" s="464"/>
      <c r="DJ114" s="464"/>
      <c r="DK114" s="464"/>
      <c r="DL114" s="464"/>
      <c r="DM114" s="464"/>
      <c r="DN114" s="464"/>
      <c r="DO114" s="464"/>
      <c r="DP114" s="464"/>
      <c r="DQ114" s="464"/>
      <c r="DR114" s="464"/>
      <c r="DS114" s="464"/>
      <c r="DT114" s="464"/>
      <c r="DU114" s="464"/>
      <c r="DV114" s="464"/>
      <c r="DW114" s="464"/>
      <c r="DX114" s="464"/>
      <c r="DY114" s="464"/>
      <c r="DZ114" s="464"/>
      <c r="EA114" s="464"/>
      <c r="EB114" s="464"/>
      <c r="EC114" s="464"/>
      <c r="ED114" s="464"/>
      <c r="EE114" s="464"/>
      <c r="EF114" s="464"/>
      <c r="EG114" s="464"/>
      <c r="EH114" s="464"/>
      <c r="EI114" s="464"/>
      <c r="EJ114" s="464"/>
      <c r="EK114" s="464"/>
      <c r="EL114" s="464"/>
      <c r="EM114" s="464"/>
      <c r="EN114" s="464"/>
      <c r="EO114" s="464"/>
      <c r="EP114" s="464"/>
      <c r="EQ114" s="464"/>
      <c r="ER114" s="464"/>
      <c r="ES114" s="464"/>
      <c r="ET114" s="464"/>
      <c r="EU114" s="464"/>
      <c r="EV114" s="464"/>
      <c r="EW114" s="464"/>
      <c r="EX114" s="464"/>
      <c r="EY114" s="464"/>
      <c r="EZ114" s="464"/>
      <c r="FA114" s="464"/>
      <c r="FB114" s="464"/>
      <c r="FC114" s="464"/>
      <c r="FD114" s="464"/>
      <c r="FE114" s="464"/>
      <c r="FF114" s="472">
        <f>MEDIAN(AB114,AD114)</f>
        <v>5409.45</v>
      </c>
      <c r="FG114" s="472">
        <f>AVERAGE(AB114,AD114)</f>
        <v>5409.45</v>
      </c>
      <c r="FH114" s="473">
        <f>STDEV(AB114,AD114)</f>
        <v>1286.1565243002101</v>
      </c>
      <c r="FI114" s="476">
        <f t="shared" si="45"/>
        <v>0.23776105228816424</v>
      </c>
      <c r="FJ114" s="475">
        <f t="shared" si="46"/>
        <v>5410</v>
      </c>
      <c r="FK114" s="469">
        <f t="shared" si="48"/>
        <v>5410</v>
      </c>
      <c r="FL114" s="467" t="s">
        <v>632</v>
      </c>
      <c r="FM114" s="470"/>
    </row>
    <row r="115" spans="1:169" s="457" customFormat="1" ht="29" x14ac:dyDescent="0.35">
      <c r="A115" s="458">
        <v>111</v>
      </c>
      <c r="B115" s="459" t="s">
        <v>841</v>
      </c>
      <c r="C115" s="460" t="s">
        <v>842</v>
      </c>
      <c r="D115" s="461" t="s">
        <v>620</v>
      </c>
      <c r="E115" s="458">
        <v>1</v>
      </c>
      <c r="F115" s="463"/>
      <c r="G115" s="463"/>
      <c r="H115" s="463"/>
      <c r="I115" s="463"/>
      <c r="J115" s="463"/>
      <c r="K115" s="463"/>
      <c r="L115" s="464"/>
      <c r="M115" s="464"/>
      <c r="N115" s="464"/>
      <c r="O115" s="464"/>
      <c r="P115" s="464"/>
      <c r="Q115" s="464"/>
      <c r="R115" s="464"/>
      <c r="S115" s="464"/>
      <c r="T115" s="464"/>
      <c r="U115" s="464"/>
      <c r="V115" s="464"/>
      <c r="W115" s="464"/>
      <c r="X115" s="464"/>
      <c r="Y115" s="464"/>
      <c r="Z115" s="464">
        <v>10710</v>
      </c>
      <c r="AA115" s="464">
        <f t="shared" ref="AA115" si="61">+Z115*E115</f>
        <v>10710</v>
      </c>
      <c r="AB115" s="464"/>
      <c r="AC115" s="464"/>
      <c r="AD115" s="463">
        <v>11935.699999999999</v>
      </c>
      <c r="AE115" s="464">
        <f t="shared" si="55"/>
        <v>11935.699999999999</v>
      </c>
      <c r="AF115" s="464"/>
      <c r="AG115" s="464"/>
      <c r="AH115" s="464"/>
      <c r="AI115" s="464"/>
      <c r="AJ115" s="464"/>
      <c r="AK115" s="464"/>
      <c r="AL115" s="464"/>
      <c r="AM115" s="464"/>
      <c r="AN115" s="464"/>
      <c r="AO115" s="464"/>
      <c r="AP115" s="464"/>
      <c r="AQ115" s="464"/>
      <c r="AR115" s="464"/>
      <c r="AS115" s="464"/>
      <c r="AT115" s="464"/>
      <c r="AU115" s="464"/>
      <c r="AV115" s="464"/>
      <c r="AW115" s="464"/>
      <c r="AX115" s="464"/>
      <c r="AY115" s="464"/>
      <c r="AZ115" s="464"/>
      <c r="BA115" s="464"/>
      <c r="BB115" s="464"/>
      <c r="BC115" s="464"/>
      <c r="BD115" s="464"/>
      <c r="BE115" s="464"/>
      <c r="BF115" s="464"/>
      <c r="BG115" s="464"/>
      <c r="BH115" s="464"/>
      <c r="BI115" s="464"/>
      <c r="BJ115" s="464"/>
      <c r="BK115" s="464"/>
      <c r="BL115" s="464"/>
      <c r="BM115" s="464"/>
      <c r="BN115" s="464"/>
      <c r="BO115" s="464"/>
      <c r="BP115" s="464"/>
      <c r="BQ115" s="464"/>
      <c r="BR115" s="464"/>
      <c r="BS115" s="464"/>
      <c r="BT115" s="464"/>
      <c r="BU115" s="464"/>
      <c r="BV115" s="464"/>
      <c r="BW115" s="464"/>
      <c r="BX115" s="464"/>
      <c r="BY115" s="464"/>
      <c r="BZ115" s="464"/>
      <c r="CA115" s="464"/>
      <c r="CB115" s="464"/>
      <c r="CC115" s="464"/>
      <c r="CD115" s="464"/>
      <c r="CE115" s="464"/>
      <c r="CF115" s="464"/>
      <c r="CG115" s="464"/>
      <c r="CH115" s="464"/>
      <c r="CI115" s="464"/>
      <c r="CJ115" s="464"/>
      <c r="CK115" s="464"/>
      <c r="CL115" s="464"/>
      <c r="CM115" s="464"/>
      <c r="CN115" s="464"/>
      <c r="CO115" s="464"/>
      <c r="CP115" s="464"/>
      <c r="CQ115" s="464"/>
      <c r="CR115" s="464"/>
      <c r="CS115" s="464"/>
      <c r="CT115" s="464"/>
      <c r="CU115" s="464"/>
      <c r="CV115" s="464"/>
      <c r="CW115" s="464"/>
      <c r="CX115" s="464"/>
      <c r="CY115" s="464"/>
      <c r="CZ115" s="464">
        <v>29900</v>
      </c>
      <c r="DA115" s="464">
        <f>+CZ115*E115</f>
        <v>29900</v>
      </c>
      <c r="DB115" s="464"/>
      <c r="DC115" s="464"/>
      <c r="DD115" s="464"/>
      <c r="DE115" s="464"/>
      <c r="DF115" s="464">
        <v>50000</v>
      </c>
      <c r="DG115" s="464">
        <f>+DF115*E115</f>
        <v>50000</v>
      </c>
      <c r="DH115" s="464"/>
      <c r="DI115" s="464"/>
      <c r="DJ115" s="464"/>
      <c r="DK115" s="464"/>
      <c r="DL115" s="464"/>
      <c r="DM115" s="464"/>
      <c r="DN115" s="464"/>
      <c r="DO115" s="464"/>
      <c r="DP115" s="464"/>
      <c r="DQ115" s="464"/>
      <c r="DR115" s="464"/>
      <c r="DS115" s="464"/>
      <c r="DT115" s="464"/>
      <c r="DU115" s="464"/>
      <c r="DV115" s="464"/>
      <c r="DW115" s="464"/>
      <c r="DX115" s="464"/>
      <c r="DY115" s="464"/>
      <c r="DZ115" s="464"/>
      <c r="EA115" s="464"/>
      <c r="EB115" s="464"/>
      <c r="EC115" s="464"/>
      <c r="ED115" s="464"/>
      <c r="EE115" s="464"/>
      <c r="EF115" s="464"/>
      <c r="EG115" s="464"/>
      <c r="EH115" s="464"/>
      <c r="EI115" s="464"/>
      <c r="EJ115" s="464"/>
      <c r="EK115" s="464"/>
      <c r="EL115" s="464"/>
      <c r="EM115" s="464"/>
      <c r="EN115" s="464"/>
      <c r="EO115" s="464"/>
      <c r="EP115" s="464"/>
      <c r="EQ115" s="464"/>
      <c r="ER115" s="464"/>
      <c r="ES115" s="464"/>
      <c r="ET115" s="464"/>
      <c r="EU115" s="464"/>
      <c r="EV115" s="464"/>
      <c r="EW115" s="464"/>
      <c r="EX115" s="464"/>
      <c r="EY115" s="464"/>
      <c r="EZ115" s="464"/>
      <c r="FA115" s="464"/>
      <c r="FB115" s="464"/>
      <c r="FC115" s="464"/>
      <c r="FD115" s="464"/>
      <c r="FE115" s="464"/>
      <c r="FF115" s="472">
        <f>MEDIAN(Z115,AD115)</f>
        <v>11322.849999999999</v>
      </c>
      <c r="FG115" s="472">
        <f>AVERAGE(Z115,AD115)</f>
        <v>11322.849999999999</v>
      </c>
      <c r="FH115" s="473">
        <f>STDEV(Z115,AD115)</f>
        <v>866.7007817003506</v>
      </c>
      <c r="FI115" s="476">
        <f t="shared" si="45"/>
        <v>7.6544401957135411E-2</v>
      </c>
      <c r="FJ115" s="475">
        <f t="shared" si="46"/>
        <v>11323</v>
      </c>
      <c r="FK115" s="469">
        <f t="shared" si="48"/>
        <v>11323</v>
      </c>
      <c r="FL115" s="467" t="s">
        <v>621</v>
      </c>
      <c r="FM115" s="470"/>
    </row>
    <row r="116" spans="1:169" ht="29" x14ac:dyDescent="0.35">
      <c r="A116" s="458">
        <v>112</v>
      </c>
      <c r="B116" s="485" t="s">
        <v>843</v>
      </c>
      <c r="C116" s="486" t="s">
        <v>844</v>
      </c>
      <c r="D116" s="487" t="s">
        <v>620</v>
      </c>
      <c r="E116" s="458">
        <v>1</v>
      </c>
      <c r="F116" s="497"/>
      <c r="G116" s="497"/>
      <c r="H116" s="497"/>
      <c r="I116" s="497"/>
      <c r="J116" s="497"/>
      <c r="K116" s="497"/>
      <c r="L116" s="498"/>
      <c r="M116" s="498"/>
      <c r="N116" s="498"/>
      <c r="O116" s="498"/>
      <c r="P116" s="498"/>
      <c r="Q116" s="498"/>
      <c r="R116" s="498">
        <v>3125</v>
      </c>
      <c r="S116" s="498">
        <f>+R116*E116</f>
        <v>3125</v>
      </c>
      <c r="T116" s="498"/>
      <c r="U116" s="498"/>
      <c r="V116" s="498"/>
      <c r="W116" s="464"/>
      <c r="X116" s="499"/>
      <c r="Y116" s="464"/>
      <c r="Z116" s="499"/>
      <c r="AA116" s="464"/>
      <c r="AB116" s="499"/>
      <c r="AC116" s="464"/>
      <c r="AD116" s="482">
        <v>9688.98</v>
      </c>
      <c r="AE116" s="464">
        <f t="shared" si="55"/>
        <v>9688.98</v>
      </c>
      <c r="AF116" s="499"/>
      <c r="AG116" s="499"/>
      <c r="AH116" s="499"/>
      <c r="AI116" s="499"/>
      <c r="AJ116" s="499"/>
      <c r="AK116" s="499"/>
      <c r="AL116" s="499"/>
      <c r="AM116" s="499"/>
      <c r="AN116" s="499"/>
      <c r="AO116" s="499"/>
      <c r="AP116" s="499"/>
      <c r="AQ116" s="499"/>
      <c r="AR116" s="499"/>
      <c r="AS116" s="499"/>
      <c r="AT116" s="499"/>
      <c r="AU116" s="499"/>
      <c r="AV116" s="499"/>
      <c r="AW116" s="499"/>
      <c r="AX116" s="499"/>
      <c r="AY116" s="499"/>
      <c r="AZ116" s="499"/>
      <c r="BA116" s="499"/>
      <c r="BB116" s="499"/>
      <c r="BC116" s="499"/>
      <c r="BD116" s="499"/>
      <c r="BE116" s="499"/>
      <c r="BF116" s="499"/>
      <c r="BG116" s="499"/>
      <c r="BH116" s="499"/>
      <c r="BI116" s="499"/>
      <c r="BJ116" s="499"/>
      <c r="BK116" s="499"/>
      <c r="BL116" s="499"/>
      <c r="BM116" s="499"/>
      <c r="BN116" s="499">
        <v>10100</v>
      </c>
      <c r="BO116" s="499">
        <f>+BN116*E116</f>
        <v>10100</v>
      </c>
      <c r="BP116" s="499"/>
      <c r="BQ116" s="499"/>
      <c r="BR116" s="499"/>
      <c r="BS116" s="499"/>
      <c r="BT116" s="499"/>
      <c r="BU116" s="499"/>
      <c r="BV116" s="499"/>
      <c r="BW116" s="499"/>
      <c r="BX116" s="499"/>
      <c r="BY116" s="499"/>
      <c r="BZ116" s="499"/>
      <c r="CA116" s="499"/>
      <c r="CB116" s="499"/>
      <c r="CC116" s="499"/>
      <c r="CD116" s="499"/>
      <c r="CE116" s="499"/>
      <c r="CF116" s="499"/>
      <c r="CG116" s="499"/>
      <c r="CH116" s="499"/>
      <c r="CI116" s="499"/>
      <c r="CJ116" s="499"/>
      <c r="CK116" s="499"/>
      <c r="CL116" s="499"/>
      <c r="CM116" s="499"/>
      <c r="CN116" s="499"/>
      <c r="CO116" s="499"/>
      <c r="CP116" s="499"/>
      <c r="CQ116" s="499"/>
      <c r="CR116" s="499"/>
      <c r="CS116" s="499"/>
      <c r="CT116" s="499"/>
      <c r="CU116" s="499"/>
      <c r="CV116" s="499"/>
      <c r="CW116" s="499"/>
      <c r="CX116" s="499"/>
      <c r="CY116" s="499"/>
      <c r="CZ116" s="499"/>
      <c r="DA116" s="499"/>
      <c r="DB116" s="499"/>
      <c r="DC116" s="499"/>
      <c r="DD116" s="499"/>
      <c r="DE116" s="499"/>
      <c r="DF116" s="499"/>
      <c r="DG116" s="499"/>
      <c r="DH116" s="499"/>
      <c r="DI116" s="499"/>
      <c r="DJ116" s="499"/>
      <c r="DK116" s="499"/>
      <c r="DL116" s="499"/>
      <c r="DM116" s="499"/>
      <c r="DN116" s="499"/>
      <c r="DO116" s="499"/>
      <c r="DP116" s="499"/>
      <c r="DQ116" s="499"/>
      <c r="DR116" s="499"/>
      <c r="DS116" s="499"/>
      <c r="DT116" s="499"/>
      <c r="DU116" s="499"/>
      <c r="DV116" s="499"/>
      <c r="DW116" s="499"/>
      <c r="DX116" s="499"/>
      <c r="DY116" s="499"/>
      <c r="DZ116" s="499"/>
      <c r="EA116" s="499"/>
      <c r="EB116" s="499"/>
      <c r="EC116" s="499"/>
      <c r="ED116" s="499"/>
      <c r="EE116" s="499"/>
      <c r="EF116" s="499"/>
      <c r="EG116" s="499"/>
      <c r="EH116" s="499"/>
      <c r="EI116" s="499"/>
      <c r="EJ116" s="499"/>
      <c r="EK116" s="499"/>
      <c r="EL116" s="499"/>
      <c r="EM116" s="499"/>
      <c r="EN116" s="499"/>
      <c r="EO116" s="499"/>
      <c r="EP116" s="499"/>
      <c r="EQ116" s="499"/>
      <c r="ER116" s="499"/>
      <c r="ES116" s="499"/>
      <c r="ET116" s="499"/>
      <c r="EU116" s="499"/>
      <c r="EV116" s="499"/>
      <c r="EW116" s="499"/>
      <c r="EX116" s="499"/>
      <c r="EY116" s="499"/>
      <c r="EZ116" s="499"/>
      <c r="FA116" s="499"/>
      <c r="FB116" s="499"/>
      <c r="FC116" s="499"/>
      <c r="FD116" s="499"/>
      <c r="FE116" s="499"/>
      <c r="FF116" s="500">
        <f>MEDIAN(AD116,BN116)</f>
        <v>9894.49</v>
      </c>
      <c r="FG116" s="500">
        <f>AVERAGE(AD116,BN116)</f>
        <v>9894.49</v>
      </c>
      <c r="FH116" s="501">
        <f>STDEV(AD116,BN116)</f>
        <v>290.63502920329506</v>
      </c>
      <c r="FI116" s="476">
        <f t="shared" si="45"/>
        <v>2.9373421894740917E-2</v>
      </c>
      <c r="FJ116" s="502">
        <f t="shared" si="46"/>
        <v>9895</v>
      </c>
      <c r="FK116" s="469">
        <f t="shared" si="48"/>
        <v>9895</v>
      </c>
      <c r="FL116" s="467" t="s">
        <v>621</v>
      </c>
      <c r="FM116" s="470"/>
    </row>
    <row r="117" spans="1:169" ht="29" x14ac:dyDescent="0.35">
      <c r="A117" s="458">
        <v>113</v>
      </c>
      <c r="B117" s="495" t="s">
        <v>845</v>
      </c>
      <c r="C117" s="503" t="s">
        <v>846</v>
      </c>
      <c r="D117" s="487" t="s">
        <v>620</v>
      </c>
      <c r="E117" s="458">
        <v>1</v>
      </c>
      <c r="F117" s="497"/>
      <c r="G117" s="497"/>
      <c r="H117" s="497"/>
      <c r="I117" s="497"/>
      <c r="J117" s="497"/>
      <c r="K117" s="497"/>
      <c r="L117" s="498"/>
      <c r="M117" s="498"/>
      <c r="N117" s="498"/>
      <c r="O117" s="498"/>
      <c r="P117" s="498"/>
      <c r="Q117" s="498"/>
      <c r="R117" s="498"/>
      <c r="S117" s="498"/>
      <c r="T117" s="498"/>
      <c r="U117" s="498"/>
      <c r="V117" s="498"/>
      <c r="W117" s="464"/>
      <c r="X117" s="499"/>
      <c r="Y117" s="464"/>
      <c r="Z117" s="499"/>
      <c r="AA117" s="464"/>
      <c r="AB117" s="499"/>
      <c r="AC117" s="464"/>
      <c r="AD117" s="482"/>
      <c r="AE117" s="464"/>
      <c r="AF117" s="499"/>
      <c r="AG117" s="499"/>
      <c r="AH117" s="499"/>
      <c r="AI117" s="499"/>
      <c r="AJ117" s="499"/>
      <c r="AK117" s="499"/>
      <c r="AL117" s="499"/>
      <c r="AM117" s="499"/>
      <c r="AN117" s="499"/>
      <c r="AO117" s="499"/>
      <c r="AP117" s="499"/>
      <c r="AQ117" s="499"/>
      <c r="AR117" s="499"/>
      <c r="AS117" s="499"/>
      <c r="AT117" s="499"/>
      <c r="AU117" s="499"/>
      <c r="AV117" s="499"/>
      <c r="AW117" s="499"/>
      <c r="AX117" s="499"/>
      <c r="AY117" s="499"/>
      <c r="AZ117" s="499"/>
      <c r="BA117" s="499"/>
      <c r="BB117" s="499"/>
      <c r="BC117" s="499"/>
      <c r="BD117" s="499"/>
      <c r="BE117" s="499"/>
      <c r="BF117" s="499"/>
      <c r="BG117" s="499"/>
      <c r="BH117" s="499"/>
      <c r="BI117" s="499"/>
      <c r="BJ117" s="499"/>
      <c r="BK117" s="499"/>
      <c r="BL117" s="499"/>
      <c r="BM117" s="499"/>
      <c r="BN117" s="499"/>
      <c r="BO117" s="499"/>
      <c r="BP117" s="499"/>
      <c r="BQ117" s="499"/>
      <c r="BR117" s="499"/>
      <c r="BS117" s="499"/>
      <c r="BT117" s="499"/>
      <c r="BU117" s="499"/>
      <c r="BV117" s="499"/>
      <c r="BW117" s="499"/>
      <c r="BX117" s="499"/>
      <c r="BY117" s="499"/>
      <c r="BZ117" s="499"/>
      <c r="CA117" s="499"/>
      <c r="CB117" s="499"/>
      <c r="CC117" s="499"/>
      <c r="CD117" s="499"/>
      <c r="CE117" s="499"/>
      <c r="CF117" s="499"/>
      <c r="CG117" s="499"/>
      <c r="CH117" s="499"/>
      <c r="CI117" s="499"/>
      <c r="CJ117" s="499"/>
      <c r="CK117" s="499"/>
      <c r="CL117" s="499"/>
      <c r="CM117" s="499"/>
      <c r="CN117" s="499"/>
      <c r="CO117" s="499"/>
      <c r="CP117" s="499"/>
      <c r="CQ117" s="499"/>
      <c r="CR117" s="499"/>
      <c r="CS117" s="499"/>
      <c r="CT117" s="499"/>
      <c r="CU117" s="499"/>
      <c r="CV117" s="499"/>
      <c r="CW117" s="499"/>
      <c r="CX117" s="499"/>
      <c r="CY117" s="499"/>
      <c r="CZ117" s="499"/>
      <c r="DA117" s="499"/>
      <c r="DB117" s="499"/>
      <c r="DC117" s="499"/>
      <c r="DD117" s="499"/>
      <c r="DE117" s="499"/>
      <c r="DF117" s="499"/>
      <c r="DG117" s="499"/>
      <c r="DH117" s="499"/>
      <c r="DI117" s="499"/>
      <c r="DJ117" s="499"/>
      <c r="DK117" s="499"/>
      <c r="DL117" s="499"/>
      <c r="DM117" s="499"/>
      <c r="DN117" s="499"/>
      <c r="DO117" s="499"/>
      <c r="DP117" s="499"/>
      <c r="DQ117" s="499"/>
      <c r="DR117" s="499"/>
      <c r="DS117" s="499"/>
      <c r="DT117" s="499"/>
      <c r="DU117" s="499"/>
      <c r="DV117" s="499"/>
      <c r="DW117" s="499"/>
      <c r="DX117" s="499">
        <v>88900</v>
      </c>
      <c r="DY117" s="499">
        <f>+DX117*E117</f>
        <v>88900</v>
      </c>
      <c r="DZ117" s="499">
        <v>65000</v>
      </c>
      <c r="EA117" s="499">
        <f>+DZ117*E117</f>
        <v>65000</v>
      </c>
      <c r="EB117" s="499">
        <v>59000</v>
      </c>
      <c r="EC117" s="499"/>
      <c r="ED117" s="499"/>
      <c r="EE117" s="499"/>
      <c r="EF117" s="499"/>
      <c r="EG117" s="499"/>
      <c r="EH117" s="499"/>
      <c r="EI117" s="499"/>
      <c r="EJ117" s="499"/>
      <c r="EK117" s="499"/>
      <c r="EL117" s="499"/>
      <c r="EM117" s="499"/>
      <c r="EN117" s="499"/>
      <c r="EO117" s="499"/>
      <c r="EP117" s="499"/>
      <c r="EQ117" s="499"/>
      <c r="ER117" s="499"/>
      <c r="ES117" s="499"/>
      <c r="ET117" s="499"/>
      <c r="EU117" s="499"/>
      <c r="EV117" s="499"/>
      <c r="EW117" s="499"/>
      <c r="EX117" s="499"/>
      <c r="EY117" s="499"/>
      <c r="EZ117" s="499"/>
      <c r="FA117" s="499"/>
      <c r="FB117" s="499"/>
      <c r="FC117" s="499"/>
      <c r="FD117" s="499"/>
      <c r="FE117" s="499"/>
      <c r="FF117" s="500">
        <f>MEDIAN(DX117,DZ117,EB117)</f>
        <v>65000</v>
      </c>
      <c r="FG117" s="500">
        <f>AVERAGE(DX117,DZ117,EB117)</f>
        <v>70966.666666666672</v>
      </c>
      <c r="FH117" s="501">
        <f>STDEV(DX117,DZ117,EB117)</f>
        <v>15817.816958522848</v>
      </c>
      <c r="FI117" s="476">
        <f t="shared" si="45"/>
        <v>0.22289079791248728</v>
      </c>
      <c r="FJ117" s="502">
        <f t="shared" si="46"/>
        <v>65000</v>
      </c>
      <c r="FK117" s="469">
        <f t="shared" si="48"/>
        <v>65000</v>
      </c>
      <c r="FL117" s="467" t="s">
        <v>632</v>
      </c>
      <c r="FM117" s="470"/>
    </row>
    <row r="118" spans="1:169" ht="29" x14ac:dyDescent="0.35">
      <c r="A118" s="458">
        <v>114</v>
      </c>
      <c r="B118" s="495" t="s">
        <v>847</v>
      </c>
      <c r="C118" s="503" t="s">
        <v>848</v>
      </c>
      <c r="D118" s="487" t="s">
        <v>620</v>
      </c>
      <c r="E118" s="458">
        <v>1</v>
      </c>
      <c r="F118" s="497"/>
      <c r="G118" s="497"/>
      <c r="H118" s="497"/>
      <c r="I118" s="497"/>
      <c r="J118" s="497"/>
      <c r="K118" s="497"/>
      <c r="L118" s="498"/>
      <c r="M118" s="498"/>
      <c r="N118" s="498"/>
      <c r="O118" s="498"/>
      <c r="P118" s="498"/>
      <c r="Q118" s="498"/>
      <c r="R118" s="498"/>
      <c r="S118" s="498"/>
      <c r="T118" s="498"/>
      <c r="U118" s="498"/>
      <c r="V118" s="498"/>
      <c r="W118" s="464"/>
      <c r="X118" s="499"/>
      <c r="Y118" s="464"/>
      <c r="Z118" s="499"/>
      <c r="AA118" s="464"/>
      <c r="AB118" s="499"/>
      <c r="AC118" s="464"/>
      <c r="AD118" s="482"/>
      <c r="AE118" s="464"/>
      <c r="AF118" s="499"/>
      <c r="AG118" s="499"/>
      <c r="AH118" s="499"/>
      <c r="AI118" s="499"/>
      <c r="AJ118" s="499"/>
      <c r="AK118" s="499"/>
      <c r="AL118" s="499"/>
      <c r="AM118" s="499"/>
      <c r="AN118" s="499"/>
      <c r="AO118" s="499"/>
      <c r="AP118" s="499"/>
      <c r="AQ118" s="499"/>
      <c r="AR118" s="499"/>
      <c r="AS118" s="499"/>
      <c r="AT118" s="499"/>
      <c r="AU118" s="499"/>
      <c r="AV118" s="499"/>
      <c r="AW118" s="499"/>
      <c r="AX118" s="499"/>
      <c r="AY118" s="499"/>
      <c r="AZ118" s="499"/>
      <c r="BA118" s="499"/>
      <c r="BB118" s="499"/>
      <c r="BC118" s="499"/>
      <c r="BD118" s="499"/>
      <c r="BE118" s="499"/>
      <c r="BF118" s="499"/>
      <c r="BG118" s="499"/>
      <c r="BH118" s="499"/>
      <c r="BI118" s="499"/>
      <c r="BJ118" s="499"/>
      <c r="BK118" s="499"/>
      <c r="BL118" s="499"/>
      <c r="BM118" s="499"/>
      <c r="BN118" s="499"/>
      <c r="BO118" s="499"/>
      <c r="BP118" s="499"/>
      <c r="BQ118" s="499"/>
      <c r="BR118" s="499"/>
      <c r="BS118" s="499"/>
      <c r="BT118" s="499"/>
      <c r="BU118" s="499"/>
      <c r="BV118" s="499"/>
      <c r="BW118" s="499"/>
      <c r="BX118" s="499"/>
      <c r="BY118" s="499"/>
      <c r="BZ118" s="499"/>
      <c r="CA118" s="499"/>
      <c r="CB118" s="499"/>
      <c r="CC118" s="499"/>
      <c r="CD118" s="499"/>
      <c r="CE118" s="499"/>
      <c r="CF118" s="499"/>
      <c r="CG118" s="499"/>
      <c r="CH118" s="499"/>
      <c r="CI118" s="499"/>
      <c r="CJ118" s="499"/>
      <c r="CK118" s="499"/>
      <c r="CL118" s="499"/>
      <c r="CM118" s="499"/>
      <c r="CN118" s="499"/>
      <c r="CO118" s="499"/>
      <c r="CP118" s="499"/>
      <c r="CQ118" s="499"/>
      <c r="CR118" s="499"/>
      <c r="CS118" s="499"/>
      <c r="CT118" s="499"/>
      <c r="CU118" s="499"/>
      <c r="CV118" s="499"/>
      <c r="CW118" s="499"/>
      <c r="CX118" s="499"/>
      <c r="CY118" s="499"/>
      <c r="CZ118" s="499"/>
      <c r="DA118" s="499"/>
      <c r="DB118" s="499"/>
      <c r="DC118" s="499"/>
      <c r="DD118" s="499"/>
      <c r="DE118" s="499"/>
      <c r="DF118" s="499"/>
      <c r="DG118" s="499"/>
      <c r="DH118" s="499"/>
      <c r="DI118" s="499"/>
      <c r="DJ118" s="499"/>
      <c r="DK118" s="499"/>
      <c r="DL118" s="499"/>
      <c r="DM118" s="499"/>
      <c r="DN118" s="499"/>
      <c r="DO118" s="499"/>
      <c r="DP118" s="499"/>
      <c r="DQ118" s="499"/>
      <c r="DR118" s="499"/>
      <c r="DS118" s="499"/>
      <c r="DT118" s="499"/>
      <c r="DU118" s="499"/>
      <c r="DV118" s="499"/>
      <c r="DW118" s="499"/>
      <c r="DX118" s="499">
        <v>12500</v>
      </c>
      <c r="DY118" s="499">
        <f>+DX118*E118</f>
        <v>12500</v>
      </c>
      <c r="DZ118" s="499">
        <v>12000</v>
      </c>
      <c r="EA118" s="499">
        <f t="shared" ref="EA118:EA120" si="62">+DZ118*E118</f>
        <v>12000</v>
      </c>
      <c r="EB118" s="499">
        <v>10000</v>
      </c>
      <c r="EC118" s="499"/>
      <c r="ED118" s="499"/>
      <c r="EE118" s="499"/>
      <c r="EF118" s="499"/>
      <c r="EG118" s="499"/>
      <c r="EH118" s="499"/>
      <c r="EI118" s="499"/>
      <c r="EJ118" s="499"/>
      <c r="EK118" s="499"/>
      <c r="EL118" s="499"/>
      <c r="EM118" s="499"/>
      <c r="EN118" s="499"/>
      <c r="EO118" s="499"/>
      <c r="EP118" s="499"/>
      <c r="EQ118" s="499"/>
      <c r="ER118" s="499"/>
      <c r="ES118" s="499"/>
      <c r="ET118" s="499"/>
      <c r="EU118" s="499"/>
      <c r="EV118" s="499"/>
      <c r="EW118" s="499"/>
      <c r="EX118" s="499"/>
      <c r="EY118" s="499"/>
      <c r="EZ118" s="499"/>
      <c r="FA118" s="499"/>
      <c r="FB118" s="499"/>
      <c r="FC118" s="499"/>
      <c r="FD118" s="499"/>
      <c r="FE118" s="499"/>
      <c r="FF118" s="500">
        <f t="shared" ref="FF118:FF120" si="63">MEDIAN(DX118,DZ118,EB118)</f>
        <v>12000</v>
      </c>
      <c r="FG118" s="500">
        <f t="shared" ref="FG118:FG120" si="64">AVERAGE(DX118,DZ118,EB118)</f>
        <v>11500</v>
      </c>
      <c r="FH118" s="501">
        <f t="shared" ref="FH118:FH120" si="65">STDEV(DX118,DZ118,EB118)</f>
        <v>1322.8756555322952</v>
      </c>
      <c r="FI118" s="476">
        <f t="shared" si="45"/>
        <v>0.11503266569846046</v>
      </c>
      <c r="FJ118" s="502">
        <f t="shared" si="46"/>
        <v>11500</v>
      </c>
      <c r="FK118" s="469">
        <f t="shared" si="48"/>
        <v>11500</v>
      </c>
      <c r="FL118" s="467" t="s">
        <v>621</v>
      </c>
      <c r="FM118" s="470"/>
    </row>
    <row r="119" spans="1:169" ht="29" x14ac:dyDescent="0.35">
      <c r="A119" s="458">
        <v>115</v>
      </c>
      <c r="B119" s="495" t="s">
        <v>849</v>
      </c>
      <c r="C119" s="503" t="s">
        <v>850</v>
      </c>
      <c r="D119" s="487" t="s">
        <v>620</v>
      </c>
      <c r="E119" s="458">
        <v>1</v>
      </c>
      <c r="F119" s="497"/>
      <c r="G119" s="497"/>
      <c r="H119" s="497"/>
      <c r="I119" s="497"/>
      <c r="J119" s="497"/>
      <c r="K119" s="497"/>
      <c r="L119" s="498"/>
      <c r="M119" s="498"/>
      <c r="N119" s="498"/>
      <c r="O119" s="498"/>
      <c r="P119" s="498"/>
      <c r="Q119" s="498"/>
      <c r="R119" s="498"/>
      <c r="S119" s="498"/>
      <c r="T119" s="498"/>
      <c r="U119" s="498"/>
      <c r="V119" s="498"/>
      <c r="W119" s="464"/>
      <c r="X119" s="499"/>
      <c r="Y119" s="464"/>
      <c r="Z119" s="499"/>
      <c r="AA119" s="464"/>
      <c r="AB119" s="499"/>
      <c r="AC119" s="464"/>
      <c r="AD119" s="482"/>
      <c r="AE119" s="464"/>
      <c r="AF119" s="499"/>
      <c r="AG119" s="499"/>
      <c r="AH119" s="499"/>
      <c r="AI119" s="499"/>
      <c r="AJ119" s="499"/>
      <c r="AK119" s="499"/>
      <c r="AL119" s="499"/>
      <c r="AM119" s="499"/>
      <c r="AN119" s="499"/>
      <c r="AO119" s="499"/>
      <c r="AP119" s="499"/>
      <c r="AQ119" s="499"/>
      <c r="AR119" s="499"/>
      <c r="AS119" s="499"/>
      <c r="AT119" s="499"/>
      <c r="AU119" s="499"/>
      <c r="AV119" s="499"/>
      <c r="AW119" s="499"/>
      <c r="AX119" s="499"/>
      <c r="AY119" s="499"/>
      <c r="AZ119" s="499"/>
      <c r="BA119" s="499"/>
      <c r="BB119" s="499"/>
      <c r="BC119" s="499"/>
      <c r="BD119" s="499"/>
      <c r="BE119" s="499"/>
      <c r="BF119" s="499"/>
      <c r="BG119" s="499"/>
      <c r="BH119" s="499"/>
      <c r="BI119" s="499"/>
      <c r="BJ119" s="499"/>
      <c r="BK119" s="499"/>
      <c r="BL119" s="499"/>
      <c r="BM119" s="499"/>
      <c r="BN119" s="499"/>
      <c r="BO119" s="499"/>
      <c r="BP119" s="499"/>
      <c r="BQ119" s="499"/>
      <c r="BR119" s="499"/>
      <c r="BS119" s="499"/>
      <c r="BT119" s="499"/>
      <c r="BU119" s="499"/>
      <c r="BV119" s="499"/>
      <c r="BW119" s="499"/>
      <c r="BX119" s="499"/>
      <c r="BY119" s="499"/>
      <c r="BZ119" s="499"/>
      <c r="CA119" s="499"/>
      <c r="CB119" s="499"/>
      <c r="CC119" s="499"/>
      <c r="CD119" s="499"/>
      <c r="CE119" s="499"/>
      <c r="CF119" s="499"/>
      <c r="CG119" s="499"/>
      <c r="CH119" s="499"/>
      <c r="CI119" s="499"/>
      <c r="CJ119" s="499"/>
      <c r="CK119" s="499"/>
      <c r="CL119" s="499"/>
      <c r="CM119" s="499"/>
      <c r="CN119" s="499"/>
      <c r="CO119" s="499"/>
      <c r="CP119" s="499"/>
      <c r="CQ119" s="499"/>
      <c r="CR119" s="499"/>
      <c r="CS119" s="499"/>
      <c r="CT119" s="499"/>
      <c r="CU119" s="499"/>
      <c r="CV119" s="499"/>
      <c r="CW119" s="499"/>
      <c r="CX119" s="499"/>
      <c r="CY119" s="499"/>
      <c r="CZ119" s="499"/>
      <c r="DA119" s="499"/>
      <c r="DB119" s="499"/>
      <c r="DC119" s="499"/>
      <c r="DD119" s="499"/>
      <c r="DE119" s="499"/>
      <c r="DF119" s="499"/>
      <c r="DG119" s="499"/>
      <c r="DH119" s="499"/>
      <c r="DI119" s="499"/>
      <c r="DJ119" s="499"/>
      <c r="DK119" s="499"/>
      <c r="DL119" s="499"/>
      <c r="DM119" s="499"/>
      <c r="DN119" s="499"/>
      <c r="DO119" s="499"/>
      <c r="DP119" s="499"/>
      <c r="DQ119" s="499"/>
      <c r="DR119" s="499"/>
      <c r="DS119" s="499"/>
      <c r="DT119" s="499"/>
      <c r="DU119" s="499"/>
      <c r="DV119" s="499"/>
      <c r="DW119" s="499"/>
      <c r="DX119" s="499">
        <v>7500</v>
      </c>
      <c r="DY119" s="499">
        <f>+DX119*E119</f>
        <v>7500</v>
      </c>
      <c r="DZ119" s="499">
        <v>7000</v>
      </c>
      <c r="EA119" s="499">
        <f t="shared" si="62"/>
        <v>7000</v>
      </c>
      <c r="EB119" s="499">
        <v>5500</v>
      </c>
      <c r="EC119" s="499"/>
      <c r="ED119" s="499"/>
      <c r="EE119" s="499"/>
      <c r="EF119" s="499"/>
      <c r="EG119" s="499"/>
      <c r="EH119" s="499"/>
      <c r="EI119" s="499"/>
      <c r="EJ119" s="499"/>
      <c r="EK119" s="499"/>
      <c r="EL119" s="499"/>
      <c r="EM119" s="499"/>
      <c r="EN119" s="499"/>
      <c r="EO119" s="499"/>
      <c r="EP119" s="499"/>
      <c r="EQ119" s="499"/>
      <c r="ER119" s="499"/>
      <c r="ES119" s="499"/>
      <c r="ET119" s="499"/>
      <c r="EU119" s="499"/>
      <c r="EV119" s="499"/>
      <c r="EW119" s="499"/>
      <c r="EX119" s="499"/>
      <c r="EY119" s="499"/>
      <c r="EZ119" s="499"/>
      <c r="FA119" s="499"/>
      <c r="FB119" s="499"/>
      <c r="FC119" s="499"/>
      <c r="FD119" s="499"/>
      <c r="FE119" s="499"/>
      <c r="FF119" s="500">
        <f t="shared" si="63"/>
        <v>7000</v>
      </c>
      <c r="FG119" s="500">
        <f t="shared" si="64"/>
        <v>6666.666666666667</v>
      </c>
      <c r="FH119" s="501">
        <f t="shared" si="65"/>
        <v>1040.8329997330675</v>
      </c>
      <c r="FI119" s="476">
        <f t="shared" si="45"/>
        <v>0.15612494995996012</v>
      </c>
      <c r="FJ119" s="502">
        <f t="shared" si="46"/>
        <v>7000</v>
      </c>
      <c r="FK119" s="469">
        <f t="shared" si="48"/>
        <v>7000</v>
      </c>
      <c r="FL119" s="467" t="s">
        <v>632</v>
      </c>
      <c r="FM119" s="470"/>
    </row>
    <row r="120" spans="1:169" ht="29" x14ac:dyDescent="0.35">
      <c r="A120" s="458">
        <v>116</v>
      </c>
      <c r="B120" s="495" t="s">
        <v>851</v>
      </c>
      <c r="C120" s="494" t="s">
        <v>852</v>
      </c>
      <c r="D120" s="487" t="s">
        <v>620</v>
      </c>
      <c r="E120" s="458">
        <v>1</v>
      </c>
      <c r="F120" s="497"/>
      <c r="G120" s="497"/>
      <c r="H120" s="497"/>
      <c r="I120" s="497"/>
      <c r="J120" s="497"/>
      <c r="K120" s="497"/>
      <c r="L120" s="498"/>
      <c r="M120" s="498"/>
      <c r="N120" s="498"/>
      <c r="O120" s="498"/>
      <c r="P120" s="498"/>
      <c r="Q120" s="498"/>
      <c r="R120" s="498"/>
      <c r="S120" s="498"/>
      <c r="T120" s="498"/>
      <c r="U120" s="498"/>
      <c r="V120" s="498"/>
      <c r="W120" s="464"/>
      <c r="X120" s="499"/>
      <c r="Y120" s="464"/>
      <c r="Z120" s="499"/>
      <c r="AA120" s="464"/>
      <c r="AB120" s="499"/>
      <c r="AC120" s="464"/>
      <c r="AD120" s="482"/>
      <c r="AE120" s="464"/>
      <c r="AF120" s="499"/>
      <c r="AG120" s="499"/>
      <c r="AH120" s="499"/>
      <c r="AI120" s="499"/>
      <c r="AJ120" s="499"/>
      <c r="AK120" s="499"/>
      <c r="AL120" s="499"/>
      <c r="AM120" s="499"/>
      <c r="AN120" s="499"/>
      <c r="AO120" s="499"/>
      <c r="AP120" s="499"/>
      <c r="AQ120" s="499"/>
      <c r="AR120" s="499"/>
      <c r="AS120" s="499"/>
      <c r="AT120" s="499"/>
      <c r="AU120" s="499"/>
      <c r="AV120" s="499"/>
      <c r="AW120" s="499"/>
      <c r="AX120" s="499"/>
      <c r="AY120" s="499"/>
      <c r="AZ120" s="499"/>
      <c r="BA120" s="499"/>
      <c r="BB120" s="499"/>
      <c r="BC120" s="499"/>
      <c r="BD120" s="499"/>
      <c r="BE120" s="499"/>
      <c r="BF120" s="499"/>
      <c r="BG120" s="499"/>
      <c r="BH120" s="499"/>
      <c r="BI120" s="499"/>
      <c r="BJ120" s="499"/>
      <c r="BK120" s="499"/>
      <c r="BL120" s="499"/>
      <c r="BM120" s="499"/>
      <c r="BN120" s="499"/>
      <c r="BO120" s="499"/>
      <c r="BP120" s="499"/>
      <c r="BQ120" s="499"/>
      <c r="BR120" s="499"/>
      <c r="BS120" s="499"/>
      <c r="BT120" s="499"/>
      <c r="BU120" s="499"/>
      <c r="BV120" s="499"/>
      <c r="BW120" s="499"/>
      <c r="BX120" s="499"/>
      <c r="BY120" s="499"/>
      <c r="BZ120" s="499"/>
      <c r="CA120" s="499"/>
      <c r="CB120" s="499"/>
      <c r="CC120" s="499"/>
      <c r="CD120" s="499"/>
      <c r="CE120" s="499"/>
      <c r="CF120" s="499"/>
      <c r="CG120" s="499"/>
      <c r="CH120" s="499"/>
      <c r="CI120" s="499"/>
      <c r="CJ120" s="499"/>
      <c r="CK120" s="499"/>
      <c r="CL120" s="499"/>
      <c r="CM120" s="499"/>
      <c r="CN120" s="499"/>
      <c r="CO120" s="499"/>
      <c r="CP120" s="499"/>
      <c r="CQ120" s="499"/>
      <c r="CR120" s="499"/>
      <c r="CS120" s="499"/>
      <c r="CT120" s="499"/>
      <c r="CU120" s="499"/>
      <c r="CV120" s="499"/>
      <c r="CW120" s="499"/>
      <c r="CX120" s="499"/>
      <c r="CY120" s="499"/>
      <c r="CZ120" s="499"/>
      <c r="DA120" s="499"/>
      <c r="DB120" s="499"/>
      <c r="DC120" s="499"/>
      <c r="DD120" s="499"/>
      <c r="DE120" s="499"/>
      <c r="DF120" s="499"/>
      <c r="DG120" s="499"/>
      <c r="DH120" s="499"/>
      <c r="DI120" s="499"/>
      <c r="DJ120" s="499"/>
      <c r="DK120" s="499"/>
      <c r="DL120" s="499"/>
      <c r="DM120" s="499"/>
      <c r="DN120" s="499"/>
      <c r="DO120" s="499"/>
      <c r="DP120" s="499"/>
      <c r="DQ120" s="499"/>
      <c r="DR120" s="499"/>
      <c r="DS120" s="499"/>
      <c r="DT120" s="499"/>
      <c r="DU120" s="499"/>
      <c r="DV120" s="499"/>
      <c r="DW120" s="499"/>
      <c r="DX120" s="499">
        <v>9998</v>
      </c>
      <c r="DY120" s="499">
        <f>+DX120*E120</f>
        <v>9998</v>
      </c>
      <c r="DZ120" s="499">
        <v>8000</v>
      </c>
      <c r="EA120" s="499">
        <f t="shared" si="62"/>
        <v>8000</v>
      </c>
      <c r="EB120" s="499">
        <v>6500</v>
      </c>
      <c r="EC120" s="499"/>
      <c r="ED120" s="499"/>
      <c r="EE120" s="499"/>
      <c r="EF120" s="499"/>
      <c r="EG120" s="499"/>
      <c r="EH120" s="499"/>
      <c r="EI120" s="499"/>
      <c r="EJ120" s="499"/>
      <c r="EK120" s="499"/>
      <c r="EL120" s="499"/>
      <c r="EM120" s="499"/>
      <c r="EN120" s="499"/>
      <c r="EO120" s="499"/>
      <c r="EP120" s="499"/>
      <c r="EQ120" s="499"/>
      <c r="ER120" s="499"/>
      <c r="ES120" s="499"/>
      <c r="ET120" s="499"/>
      <c r="EU120" s="499"/>
      <c r="EV120" s="499"/>
      <c r="EW120" s="499"/>
      <c r="EX120" s="499"/>
      <c r="EY120" s="499"/>
      <c r="EZ120" s="499"/>
      <c r="FA120" s="499"/>
      <c r="FB120" s="499"/>
      <c r="FC120" s="499"/>
      <c r="FD120" s="499"/>
      <c r="FE120" s="499"/>
      <c r="FF120" s="500">
        <f t="shared" si="63"/>
        <v>8000</v>
      </c>
      <c r="FG120" s="500">
        <f t="shared" si="64"/>
        <v>8166</v>
      </c>
      <c r="FH120" s="501">
        <f t="shared" si="65"/>
        <v>1754.8982876508826</v>
      </c>
      <c r="FI120" s="476">
        <f t="shared" si="45"/>
        <v>0.21490304771624819</v>
      </c>
      <c r="FJ120" s="502">
        <f t="shared" si="46"/>
        <v>8000</v>
      </c>
      <c r="FK120" s="469">
        <f t="shared" si="48"/>
        <v>8000</v>
      </c>
      <c r="FL120" s="467" t="s">
        <v>632</v>
      </c>
      <c r="FM120" s="470"/>
    </row>
    <row r="121" spans="1:169" ht="29" x14ac:dyDescent="0.35">
      <c r="A121" s="458">
        <v>117</v>
      </c>
      <c r="B121" s="495" t="s">
        <v>853</v>
      </c>
      <c r="C121" s="504" t="s">
        <v>854</v>
      </c>
      <c r="D121" s="487" t="s">
        <v>620</v>
      </c>
      <c r="E121" s="458">
        <v>1</v>
      </c>
      <c r="F121" s="497"/>
      <c r="G121" s="497"/>
      <c r="H121" s="497"/>
      <c r="I121" s="497"/>
      <c r="J121" s="497"/>
      <c r="K121" s="497"/>
      <c r="L121" s="498"/>
      <c r="M121" s="498"/>
      <c r="N121" s="498"/>
      <c r="O121" s="498"/>
      <c r="P121" s="498"/>
      <c r="Q121" s="498"/>
      <c r="R121" s="498"/>
      <c r="S121" s="498"/>
      <c r="T121" s="498"/>
      <c r="U121" s="498"/>
      <c r="V121" s="498"/>
      <c r="W121" s="464"/>
      <c r="X121" s="499"/>
      <c r="Y121" s="464"/>
      <c r="Z121" s="499"/>
      <c r="AA121" s="464"/>
      <c r="AB121" s="499"/>
      <c r="AC121" s="464"/>
      <c r="AD121" s="482"/>
      <c r="AE121" s="464"/>
      <c r="AF121" s="499"/>
      <c r="AG121" s="499"/>
      <c r="AH121" s="499"/>
      <c r="AI121" s="499"/>
      <c r="AJ121" s="499"/>
      <c r="AK121" s="499"/>
      <c r="AL121" s="499"/>
      <c r="AM121" s="499"/>
      <c r="AN121" s="499"/>
      <c r="AO121" s="499"/>
      <c r="AP121" s="499"/>
      <c r="AQ121" s="499"/>
      <c r="AR121" s="499"/>
      <c r="AS121" s="499"/>
      <c r="AT121" s="499"/>
      <c r="AU121" s="499"/>
      <c r="AV121" s="499"/>
      <c r="AW121" s="499"/>
      <c r="AX121" s="499"/>
      <c r="AY121" s="499"/>
      <c r="AZ121" s="499"/>
      <c r="BA121" s="499"/>
      <c r="BB121" s="499"/>
      <c r="BC121" s="499"/>
      <c r="BD121" s="499"/>
      <c r="BE121" s="499"/>
      <c r="BF121" s="499"/>
      <c r="BG121" s="499"/>
      <c r="BH121" s="499"/>
      <c r="BI121" s="499"/>
      <c r="BJ121" s="499"/>
      <c r="BK121" s="499"/>
      <c r="BL121" s="499"/>
      <c r="BM121" s="499"/>
      <c r="BN121" s="499"/>
      <c r="BO121" s="499"/>
      <c r="BP121" s="499"/>
      <c r="BQ121" s="499"/>
      <c r="BR121" s="499"/>
      <c r="BS121" s="499"/>
      <c r="BT121" s="499"/>
      <c r="BU121" s="499"/>
      <c r="BV121" s="499"/>
      <c r="BW121" s="499"/>
      <c r="BX121" s="499"/>
      <c r="BY121" s="499"/>
      <c r="BZ121" s="499"/>
      <c r="CA121" s="499"/>
      <c r="CB121" s="499"/>
      <c r="CC121" s="499"/>
      <c r="CD121" s="499"/>
      <c r="CE121" s="499"/>
      <c r="CF121" s="499"/>
      <c r="CG121" s="499"/>
      <c r="CH121" s="499"/>
      <c r="CI121" s="499"/>
      <c r="CJ121" s="499"/>
      <c r="CK121" s="499"/>
      <c r="CL121" s="499"/>
      <c r="CM121" s="499"/>
      <c r="CN121" s="499"/>
      <c r="CO121" s="499"/>
      <c r="CP121" s="499"/>
      <c r="CQ121" s="499"/>
      <c r="CR121" s="499"/>
      <c r="CS121" s="499"/>
      <c r="CT121" s="499"/>
      <c r="CU121" s="499"/>
      <c r="CV121" s="499"/>
      <c r="CW121" s="499"/>
      <c r="CX121" s="499"/>
      <c r="CY121" s="499"/>
      <c r="CZ121" s="499"/>
      <c r="DA121" s="499"/>
      <c r="DB121" s="499"/>
      <c r="DC121" s="499"/>
      <c r="DD121" s="499"/>
      <c r="DE121" s="499"/>
      <c r="DF121" s="499"/>
      <c r="DG121" s="499"/>
      <c r="DH121" s="499"/>
      <c r="DI121" s="499"/>
      <c r="DJ121" s="499"/>
      <c r="DK121" s="499"/>
      <c r="DL121" s="499"/>
      <c r="DM121" s="499"/>
      <c r="DN121" s="499"/>
      <c r="DO121" s="499"/>
      <c r="DP121" s="499"/>
      <c r="DQ121" s="499"/>
      <c r="DR121" s="499"/>
      <c r="DS121" s="499"/>
      <c r="DT121" s="499">
        <v>3500</v>
      </c>
      <c r="DU121" s="499">
        <f>+DT121*E121</f>
        <v>3500</v>
      </c>
      <c r="DV121" s="499">
        <v>3500</v>
      </c>
      <c r="DW121" s="499">
        <f>+DV121*E121</f>
        <v>3500</v>
      </c>
      <c r="DX121" s="499"/>
      <c r="DY121" s="499"/>
      <c r="DZ121" s="499"/>
      <c r="EA121" s="499"/>
      <c r="EB121" s="499"/>
      <c r="EC121" s="499"/>
      <c r="ED121" s="499"/>
      <c r="EE121" s="499"/>
      <c r="EF121" s="499"/>
      <c r="EG121" s="499"/>
      <c r="EH121" s="499"/>
      <c r="EI121" s="499"/>
      <c r="EJ121" s="499"/>
      <c r="EK121" s="499"/>
      <c r="EL121" s="499"/>
      <c r="EM121" s="499"/>
      <c r="EN121" s="499"/>
      <c r="EO121" s="499"/>
      <c r="EP121" s="499"/>
      <c r="EQ121" s="499"/>
      <c r="ER121" s="499"/>
      <c r="ES121" s="499"/>
      <c r="ET121" s="499"/>
      <c r="EU121" s="499"/>
      <c r="EV121" s="499"/>
      <c r="EW121" s="499"/>
      <c r="EX121" s="499"/>
      <c r="EY121" s="499"/>
      <c r="EZ121" s="499"/>
      <c r="FA121" s="499"/>
      <c r="FB121" s="499"/>
      <c r="FC121" s="499"/>
      <c r="FD121" s="499"/>
      <c r="FE121" s="499"/>
      <c r="FF121" s="500">
        <f>MEDIAN(DT121,DV121)</f>
        <v>3500</v>
      </c>
      <c r="FG121" s="500">
        <f>AVERAGE(DT121,DV121)</f>
        <v>3500</v>
      </c>
      <c r="FH121" s="501">
        <f>STDEV(DT121,DV121)</f>
        <v>0</v>
      </c>
      <c r="FI121" s="476">
        <f t="shared" si="45"/>
        <v>0</v>
      </c>
      <c r="FJ121" s="502">
        <f t="shared" si="46"/>
        <v>3500</v>
      </c>
      <c r="FK121" s="469">
        <f t="shared" si="48"/>
        <v>3500</v>
      </c>
      <c r="FL121" s="467" t="s">
        <v>621</v>
      </c>
      <c r="FM121" s="470"/>
    </row>
    <row r="122" spans="1:169" ht="29" x14ac:dyDescent="0.35">
      <c r="A122" s="458">
        <v>118</v>
      </c>
      <c r="B122" s="495" t="s">
        <v>855</v>
      </c>
      <c r="C122" s="504" t="s">
        <v>856</v>
      </c>
      <c r="D122" s="487" t="s">
        <v>620</v>
      </c>
      <c r="E122" s="458">
        <v>1</v>
      </c>
      <c r="F122" s="497"/>
      <c r="G122" s="497"/>
      <c r="H122" s="497"/>
      <c r="I122" s="497"/>
      <c r="J122" s="497"/>
      <c r="K122" s="497"/>
      <c r="L122" s="498"/>
      <c r="M122" s="498"/>
      <c r="N122" s="498"/>
      <c r="O122" s="498"/>
      <c r="P122" s="498"/>
      <c r="Q122" s="498"/>
      <c r="R122" s="498"/>
      <c r="S122" s="498"/>
      <c r="T122" s="498"/>
      <c r="U122" s="498"/>
      <c r="V122" s="498"/>
      <c r="W122" s="464"/>
      <c r="X122" s="499"/>
      <c r="Y122" s="464"/>
      <c r="Z122" s="499"/>
      <c r="AA122" s="464"/>
      <c r="AB122" s="499"/>
      <c r="AC122" s="464"/>
      <c r="AD122" s="482"/>
      <c r="AE122" s="464"/>
      <c r="AF122" s="499"/>
      <c r="AG122" s="499"/>
      <c r="AH122" s="499"/>
      <c r="AI122" s="499"/>
      <c r="AJ122" s="499"/>
      <c r="AK122" s="499"/>
      <c r="AL122" s="499"/>
      <c r="AM122" s="499"/>
      <c r="AN122" s="499"/>
      <c r="AO122" s="499"/>
      <c r="AP122" s="499"/>
      <c r="AQ122" s="499"/>
      <c r="AR122" s="499"/>
      <c r="AS122" s="499"/>
      <c r="AT122" s="499"/>
      <c r="AU122" s="499"/>
      <c r="AV122" s="499"/>
      <c r="AW122" s="499"/>
      <c r="AX122" s="499"/>
      <c r="AY122" s="499"/>
      <c r="AZ122" s="499"/>
      <c r="BA122" s="499"/>
      <c r="BB122" s="499"/>
      <c r="BC122" s="499"/>
      <c r="BD122" s="499"/>
      <c r="BE122" s="499"/>
      <c r="BF122" s="499"/>
      <c r="BG122" s="499"/>
      <c r="BH122" s="499"/>
      <c r="BI122" s="499"/>
      <c r="BJ122" s="499"/>
      <c r="BK122" s="499"/>
      <c r="BL122" s="499"/>
      <c r="BM122" s="499"/>
      <c r="BN122" s="499"/>
      <c r="BO122" s="499"/>
      <c r="BP122" s="499"/>
      <c r="BQ122" s="499"/>
      <c r="BR122" s="499"/>
      <c r="BS122" s="499"/>
      <c r="BT122" s="499"/>
      <c r="BU122" s="499"/>
      <c r="BV122" s="499"/>
      <c r="BW122" s="499"/>
      <c r="BX122" s="499"/>
      <c r="BY122" s="499"/>
      <c r="BZ122" s="499"/>
      <c r="CA122" s="499"/>
      <c r="CB122" s="499"/>
      <c r="CC122" s="499"/>
      <c r="CD122" s="499"/>
      <c r="CE122" s="499"/>
      <c r="CF122" s="499"/>
      <c r="CG122" s="499"/>
      <c r="CH122" s="499"/>
      <c r="CI122" s="499"/>
      <c r="CJ122" s="499"/>
      <c r="CK122" s="499"/>
      <c r="CL122" s="499"/>
      <c r="CM122" s="499"/>
      <c r="CN122" s="499"/>
      <c r="CO122" s="499"/>
      <c r="CP122" s="499"/>
      <c r="CQ122" s="499"/>
      <c r="CR122" s="499"/>
      <c r="CS122" s="499"/>
      <c r="CT122" s="499"/>
      <c r="CU122" s="499"/>
      <c r="CV122" s="499"/>
      <c r="CW122" s="499"/>
      <c r="CX122" s="499"/>
      <c r="CY122" s="499"/>
      <c r="CZ122" s="499"/>
      <c r="DA122" s="499"/>
      <c r="DB122" s="499"/>
      <c r="DC122" s="499"/>
      <c r="DD122" s="499"/>
      <c r="DE122" s="499"/>
      <c r="DF122" s="499"/>
      <c r="DG122" s="499"/>
      <c r="DH122" s="499"/>
      <c r="DI122" s="499"/>
      <c r="DJ122" s="499"/>
      <c r="DK122" s="499"/>
      <c r="DL122" s="499"/>
      <c r="DM122" s="499"/>
      <c r="DN122" s="499"/>
      <c r="DO122" s="499"/>
      <c r="DP122" s="499">
        <v>1000</v>
      </c>
      <c r="DQ122" s="499">
        <f>+DP122*E122</f>
        <v>1000</v>
      </c>
      <c r="DR122" s="499">
        <v>1000</v>
      </c>
      <c r="DS122" s="499">
        <f>+DR122*E122</f>
        <v>1000</v>
      </c>
      <c r="DT122" s="499"/>
      <c r="DU122" s="499"/>
      <c r="DV122" s="499"/>
      <c r="DW122" s="499"/>
      <c r="DX122" s="499">
        <v>1681</v>
      </c>
      <c r="DY122" s="499">
        <f>+DX122*E122</f>
        <v>1681</v>
      </c>
      <c r="DZ122" s="499"/>
      <c r="EA122" s="499"/>
      <c r="EB122" s="499">
        <v>1000</v>
      </c>
      <c r="EC122" s="499">
        <f>+EB122*E122</f>
        <v>1000</v>
      </c>
      <c r="ED122" s="499"/>
      <c r="EE122" s="499"/>
      <c r="EF122" s="499"/>
      <c r="EG122" s="499"/>
      <c r="EH122" s="499"/>
      <c r="EI122" s="499"/>
      <c r="EJ122" s="499"/>
      <c r="EK122" s="499"/>
      <c r="EL122" s="499"/>
      <c r="EM122" s="499"/>
      <c r="EN122" s="499"/>
      <c r="EO122" s="499"/>
      <c r="EP122" s="499"/>
      <c r="EQ122" s="499"/>
      <c r="ER122" s="499"/>
      <c r="ES122" s="499"/>
      <c r="ET122" s="499"/>
      <c r="EU122" s="499"/>
      <c r="EV122" s="499"/>
      <c r="EW122" s="499"/>
      <c r="EX122" s="499"/>
      <c r="EY122" s="499"/>
      <c r="EZ122" s="499"/>
      <c r="FA122" s="499"/>
      <c r="FB122" s="499"/>
      <c r="FC122" s="499"/>
      <c r="FD122" s="499"/>
      <c r="FE122" s="499"/>
      <c r="FF122" s="500">
        <f>MEDIAN(DP122,DR122,EB122)</f>
        <v>1000</v>
      </c>
      <c r="FG122" s="500">
        <f>AVERAGE(DP122,DR122,EB122)</f>
        <v>1000</v>
      </c>
      <c r="FH122" s="501">
        <f>STDEV(DP122,DR122,EB122)</f>
        <v>0</v>
      </c>
      <c r="FI122" s="476">
        <f t="shared" si="45"/>
        <v>0</v>
      </c>
      <c r="FJ122" s="502">
        <f t="shared" si="46"/>
        <v>1000</v>
      </c>
      <c r="FK122" s="469">
        <f t="shared" si="48"/>
        <v>1000</v>
      </c>
      <c r="FL122" s="467" t="s">
        <v>621</v>
      </c>
      <c r="FM122" s="470"/>
    </row>
    <row r="123" spans="1:169" ht="29" x14ac:dyDescent="0.35">
      <c r="A123" s="458">
        <v>119</v>
      </c>
      <c r="B123" s="495" t="s">
        <v>857</v>
      </c>
      <c r="C123" s="504" t="s">
        <v>858</v>
      </c>
      <c r="D123" s="487" t="s">
        <v>620</v>
      </c>
      <c r="E123" s="458">
        <v>1</v>
      </c>
      <c r="F123" s="497"/>
      <c r="G123" s="497"/>
      <c r="H123" s="497"/>
      <c r="I123" s="497"/>
      <c r="J123" s="497"/>
      <c r="K123" s="497"/>
      <c r="L123" s="498"/>
      <c r="M123" s="498"/>
      <c r="N123" s="498"/>
      <c r="O123" s="498"/>
      <c r="P123" s="498"/>
      <c r="Q123" s="498"/>
      <c r="R123" s="498"/>
      <c r="S123" s="498"/>
      <c r="T123" s="498"/>
      <c r="U123" s="498"/>
      <c r="V123" s="498"/>
      <c r="W123" s="464"/>
      <c r="X123" s="499"/>
      <c r="Y123" s="464"/>
      <c r="Z123" s="499"/>
      <c r="AA123" s="464"/>
      <c r="AB123" s="499"/>
      <c r="AC123" s="464"/>
      <c r="AD123" s="482"/>
      <c r="AE123" s="464"/>
      <c r="AF123" s="499"/>
      <c r="AG123" s="499"/>
      <c r="AH123" s="499"/>
      <c r="AI123" s="499"/>
      <c r="AJ123" s="499"/>
      <c r="AK123" s="499"/>
      <c r="AL123" s="499"/>
      <c r="AM123" s="499"/>
      <c r="AN123" s="499"/>
      <c r="AO123" s="499"/>
      <c r="AP123" s="499"/>
      <c r="AQ123" s="499"/>
      <c r="AR123" s="499"/>
      <c r="AS123" s="499"/>
      <c r="AT123" s="499"/>
      <c r="AU123" s="499"/>
      <c r="AV123" s="499"/>
      <c r="AW123" s="499"/>
      <c r="AX123" s="499"/>
      <c r="AY123" s="499"/>
      <c r="AZ123" s="499"/>
      <c r="BA123" s="499"/>
      <c r="BB123" s="499"/>
      <c r="BC123" s="499"/>
      <c r="BD123" s="499"/>
      <c r="BE123" s="499"/>
      <c r="BF123" s="499"/>
      <c r="BG123" s="499"/>
      <c r="BH123" s="499"/>
      <c r="BI123" s="499"/>
      <c r="BJ123" s="499"/>
      <c r="BK123" s="499"/>
      <c r="BL123" s="499"/>
      <c r="BM123" s="499"/>
      <c r="BN123" s="499"/>
      <c r="BO123" s="499"/>
      <c r="BP123" s="499"/>
      <c r="BQ123" s="499"/>
      <c r="BR123" s="499"/>
      <c r="BS123" s="499"/>
      <c r="BT123" s="499"/>
      <c r="BU123" s="499"/>
      <c r="BV123" s="499"/>
      <c r="BW123" s="499"/>
      <c r="BX123" s="499"/>
      <c r="BY123" s="499"/>
      <c r="BZ123" s="499"/>
      <c r="CA123" s="499"/>
      <c r="CB123" s="499"/>
      <c r="CC123" s="499"/>
      <c r="CD123" s="499"/>
      <c r="CE123" s="499"/>
      <c r="CF123" s="499"/>
      <c r="CG123" s="499"/>
      <c r="CH123" s="499"/>
      <c r="CI123" s="499"/>
      <c r="CJ123" s="499"/>
      <c r="CK123" s="499"/>
      <c r="CL123" s="499"/>
      <c r="CM123" s="499"/>
      <c r="CN123" s="499"/>
      <c r="CO123" s="499"/>
      <c r="CP123" s="499"/>
      <c r="CQ123" s="499"/>
      <c r="CR123" s="499">
        <v>5243</v>
      </c>
      <c r="CS123" s="499">
        <f>+CR123*E123</f>
        <v>5243</v>
      </c>
      <c r="CT123" s="499"/>
      <c r="CU123" s="499"/>
      <c r="CV123" s="499"/>
      <c r="CW123" s="499"/>
      <c r="CX123" s="499"/>
      <c r="CY123" s="499"/>
      <c r="CZ123" s="499"/>
      <c r="DA123" s="499"/>
      <c r="DB123" s="499"/>
      <c r="DC123" s="499"/>
      <c r="DD123" s="499"/>
      <c r="DE123" s="499"/>
      <c r="DF123" s="499"/>
      <c r="DG123" s="499"/>
      <c r="DH123" s="499"/>
      <c r="DI123" s="499"/>
      <c r="DJ123" s="499"/>
      <c r="DK123" s="499"/>
      <c r="DL123" s="499"/>
      <c r="DM123" s="499"/>
      <c r="DN123" s="499"/>
      <c r="DO123" s="499"/>
      <c r="DP123" s="499"/>
      <c r="DQ123" s="499"/>
      <c r="DR123" s="499"/>
      <c r="DS123" s="499"/>
      <c r="DT123" s="499"/>
      <c r="DU123" s="499"/>
      <c r="DV123" s="499"/>
      <c r="DW123" s="499"/>
      <c r="DX123" s="499">
        <v>5700</v>
      </c>
      <c r="DY123" s="499">
        <f>+DX123*E123</f>
        <v>5700</v>
      </c>
      <c r="DZ123" s="499"/>
      <c r="EA123" s="499"/>
      <c r="EB123" s="499"/>
      <c r="EC123" s="499"/>
      <c r="ED123" s="499"/>
      <c r="EE123" s="499"/>
      <c r="EF123" s="499"/>
      <c r="EG123" s="499"/>
      <c r="EH123" s="499"/>
      <c r="EI123" s="499"/>
      <c r="EJ123" s="499"/>
      <c r="EK123" s="499"/>
      <c r="EL123" s="499"/>
      <c r="EM123" s="499"/>
      <c r="EN123" s="499"/>
      <c r="EO123" s="499"/>
      <c r="EP123" s="499"/>
      <c r="EQ123" s="499"/>
      <c r="ER123" s="499"/>
      <c r="ES123" s="499"/>
      <c r="ET123" s="499"/>
      <c r="EU123" s="499"/>
      <c r="EV123" s="499"/>
      <c r="EW123" s="499"/>
      <c r="EX123" s="499"/>
      <c r="EY123" s="499"/>
      <c r="EZ123" s="499"/>
      <c r="FA123" s="499"/>
      <c r="FB123" s="499"/>
      <c r="FC123" s="499"/>
      <c r="FD123" s="499"/>
      <c r="FE123" s="499"/>
      <c r="FF123" s="500">
        <f>MEDIAN(CR123,DX123)</f>
        <v>5471.5</v>
      </c>
      <c r="FG123" s="500">
        <f>AVERAGE(CR123,DX123)</f>
        <v>5471.5</v>
      </c>
      <c r="FH123" s="501">
        <f>STDEV(CR123,DX123)</f>
        <v>323.14779900225221</v>
      </c>
      <c r="FI123" s="476">
        <f t="shared" si="45"/>
        <v>5.9060184410536821E-2</v>
      </c>
      <c r="FJ123" s="502">
        <f t="shared" si="46"/>
        <v>5472</v>
      </c>
      <c r="FK123" s="469">
        <f t="shared" si="48"/>
        <v>5472</v>
      </c>
      <c r="FL123" s="467" t="s">
        <v>621</v>
      </c>
      <c r="FM123" s="470"/>
    </row>
    <row r="124" spans="1:169" ht="29" x14ac:dyDescent="0.35">
      <c r="A124" s="458">
        <v>120</v>
      </c>
      <c r="B124" s="495" t="s">
        <v>859</v>
      </c>
      <c r="C124" s="505" t="s">
        <v>860</v>
      </c>
      <c r="D124" s="487" t="s">
        <v>620</v>
      </c>
      <c r="E124" s="458">
        <v>1</v>
      </c>
      <c r="F124" s="497"/>
      <c r="G124" s="497"/>
      <c r="H124" s="497"/>
      <c r="I124" s="497"/>
      <c r="J124" s="497"/>
      <c r="K124" s="497"/>
      <c r="L124" s="498"/>
      <c r="M124" s="498"/>
      <c r="N124" s="498"/>
      <c r="O124" s="498"/>
      <c r="P124" s="498"/>
      <c r="Q124" s="498"/>
      <c r="R124" s="498"/>
      <c r="S124" s="498"/>
      <c r="T124" s="498"/>
      <c r="U124" s="498"/>
      <c r="V124" s="498"/>
      <c r="W124" s="464"/>
      <c r="X124" s="499"/>
      <c r="Y124" s="464"/>
      <c r="Z124" s="499"/>
      <c r="AA124" s="464"/>
      <c r="AB124" s="499"/>
      <c r="AC124" s="464"/>
      <c r="AD124" s="482"/>
      <c r="AE124" s="464"/>
      <c r="AF124" s="499"/>
      <c r="AG124" s="499"/>
      <c r="AH124" s="499"/>
      <c r="AI124" s="499"/>
      <c r="AJ124" s="499"/>
      <c r="AK124" s="499"/>
      <c r="AL124" s="499"/>
      <c r="AM124" s="499"/>
      <c r="AN124" s="499"/>
      <c r="AO124" s="499"/>
      <c r="AP124" s="499"/>
      <c r="AQ124" s="499"/>
      <c r="AR124" s="499"/>
      <c r="AS124" s="499"/>
      <c r="AT124" s="499"/>
      <c r="AU124" s="499"/>
      <c r="AV124" s="499"/>
      <c r="AW124" s="499"/>
      <c r="AX124" s="499"/>
      <c r="AY124" s="499"/>
      <c r="AZ124" s="499"/>
      <c r="BA124" s="499"/>
      <c r="BB124" s="499"/>
      <c r="BC124" s="499"/>
      <c r="BD124" s="499"/>
      <c r="BE124" s="499"/>
      <c r="BF124" s="499"/>
      <c r="BG124" s="499"/>
      <c r="BH124" s="499"/>
      <c r="BI124" s="499"/>
      <c r="BJ124" s="499"/>
      <c r="BK124" s="499"/>
      <c r="BL124" s="499"/>
      <c r="BM124" s="499"/>
      <c r="BN124" s="499"/>
      <c r="BO124" s="499"/>
      <c r="BP124" s="499"/>
      <c r="BQ124" s="499"/>
      <c r="BR124" s="499"/>
      <c r="BS124" s="499"/>
      <c r="BT124" s="499"/>
      <c r="BU124" s="499"/>
      <c r="BV124" s="499"/>
      <c r="BW124" s="499"/>
      <c r="BX124" s="499"/>
      <c r="BY124" s="499"/>
      <c r="BZ124" s="499"/>
      <c r="CA124" s="499"/>
      <c r="CB124" s="499"/>
      <c r="CC124" s="499"/>
      <c r="CD124" s="499"/>
      <c r="CE124" s="499"/>
      <c r="CF124" s="499"/>
      <c r="CG124" s="499"/>
      <c r="CH124" s="499"/>
      <c r="CI124" s="499"/>
      <c r="CJ124" s="499"/>
      <c r="CK124" s="499"/>
      <c r="CL124" s="499"/>
      <c r="CM124" s="499"/>
      <c r="CN124" s="499"/>
      <c r="CO124" s="499"/>
      <c r="CP124" s="499"/>
      <c r="CQ124" s="499"/>
      <c r="CR124" s="499"/>
      <c r="CS124" s="499"/>
      <c r="CT124" s="499"/>
      <c r="CU124" s="499"/>
      <c r="CV124" s="499"/>
      <c r="CW124" s="499"/>
      <c r="CX124" s="499"/>
      <c r="CY124" s="499"/>
      <c r="CZ124" s="499"/>
      <c r="DA124" s="499"/>
      <c r="DB124" s="499"/>
      <c r="DC124" s="499"/>
      <c r="DD124" s="499"/>
      <c r="DE124" s="499"/>
      <c r="DF124" s="499"/>
      <c r="DG124" s="499"/>
      <c r="DH124" s="499"/>
      <c r="DI124" s="499"/>
      <c r="DJ124" s="499"/>
      <c r="DK124" s="499"/>
      <c r="DL124" s="499"/>
      <c r="DM124" s="499"/>
      <c r="DN124" s="499"/>
      <c r="DO124" s="499"/>
      <c r="DP124" s="499">
        <v>60000</v>
      </c>
      <c r="DQ124" s="499">
        <f>+DP124*E124</f>
        <v>60000</v>
      </c>
      <c r="DR124" s="499">
        <v>70000</v>
      </c>
      <c r="DS124" s="499">
        <f>+DR124*E124</f>
        <v>70000</v>
      </c>
      <c r="DT124" s="499"/>
      <c r="DU124" s="499"/>
      <c r="DV124" s="499"/>
      <c r="DW124" s="499"/>
      <c r="DX124" s="499"/>
      <c r="DY124" s="499"/>
      <c r="DZ124" s="499"/>
      <c r="EA124" s="499"/>
      <c r="EB124" s="499"/>
      <c r="EC124" s="499"/>
      <c r="ED124" s="499"/>
      <c r="EE124" s="499"/>
      <c r="EF124" s="499"/>
      <c r="EG124" s="499"/>
      <c r="EH124" s="499"/>
      <c r="EI124" s="499"/>
      <c r="EJ124" s="499"/>
      <c r="EK124" s="499"/>
      <c r="EL124" s="499"/>
      <c r="EM124" s="499"/>
      <c r="EN124" s="499"/>
      <c r="EO124" s="499"/>
      <c r="EP124" s="499"/>
      <c r="EQ124" s="499"/>
      <c r="ER124" s="499"/>
      <c r="ES124" s="499"/>
      <c r="ET124" s="499"/>
      <c r="EU124" s="499"/>
      <c r="EV124" s="499"/>
      <c r="EW124" s="499"/>
      <c r="EX124" s="499"/>
      <c r="EY124" s="499"/>
      <c r="EZ124" s="499"/>
      <c r="FA124" s="499"/>
      <c r="FB124" s="499"/>
      <c r="FC124" s="499"/>
      <c r="FD124" s="499"/>
      <c r="FE124" s="499"/>
      <c r="FF124" s="500">
        <f>MEDIAN(DP124,DR124)</f>
        <v>65000</v>
      </c>
      <c r="FG124" s="500">
        <f>AVERAGE(DP124,DR124)</f>
        <v>65000</v>
      </c>
      <c r="FH124" s="501">
        <f>STDEV(DP124,DR124)</f>
        <v>7071.0678118654751</v>
      </c>
      <c r="FI124" s="476">
        <f t="shared" si="45"/>
        <v>0.10878565864408424</v>
      </c>
      <c r="FJ124" s="502">
        <f t="shared" si="46"/>
        <v>65000</v>
      </c>
      <c r="FK124" s="469">
        <f t="shared" si="48"/>
        <v>65000</v>
      </c>
      <c r="FL124" s="467" t="s">
        <v>621</v>
      </c>
      <c r="FM124" s="470"/>
    </row>
    <row r="125" spans="1:169" ht="144.75" customHeight="1" x14ac:dyDescent="0.35">
      <c r="A125" s="458">
        <v>121</v>
      </c>
      <c r="B125" s="495" t="s">
        <v>861</v>
      </c>
      <c r="C125" s="505" t="s">
        <v>862</v>
      </c>
      <c r="D125" s="487" t="s">
        <v>620</v>
      </c>
      <c r="E125" s="458">
        <v>1</v>
      </c>
      <c r="F125" s="497"/>
      <c r="G125" s="497"/>
      <c r="H125" s="497"/>
      <c r="I125" s="497"/>
      <c r="J125" s="497"/>
      <c r="K125" s="497"/>
      <c r="L125" s="498"/>
      <c r="M125" s="498"/>
      <c r="N125" s="498"/>
      <c r="O125" s="498"/>
      <c r="P125" s="498"/>
      <c r="Q125" s="498"/>
      <c r="R125" s="498"/>
      <c r="S125" s="498"/>
      <c r="T125" s="498"/>
      <c r="U125" s="498"/>
      <c r="V125" s="498"/>
      <c r="W125" s="464"/>
      <c r="X125" s="499"/>
      <c r="Y125" s="464"/>
      <c r="Z125" s="499"/>
      <c r="AA125" s="464"/>
      <c r="AB125" s="499"/>
      <c r="AC125" s="464"/>
      <c r="AD125" s="482"/>
      <c r="AE125" s="464"/>
      <c r="AF125" s="499"/>
      <c r="AG125" s="499"/>
      <c r="AH125" s="499"/>
      <c r="AI125" s="499"/>
      <c r="AJ125" s="499"/>
      <c r="AK125" s="499"/>
      <c r="AL125" s="499"/>
      <c r="AM125" s="499"/>
      <c r="AN125" s="499"/>
      <c r="AO125" s="499"/>
      <c r="AP125" s="499"/>
      <c r="AQ125" s="499"/>
      <c r="AR125" s="499"/>
      <c r="AS125" s="499"/>
      <c r="AT125" s="499"/>
      <c r="AU125" s="499"/>
      <c r="AV125" s="499"/>
      <c r="AW125" s="499"/>
      <c r="AX125" s="499"/>
      <c r="AY125" s="499"/>
      <c r="AZ125" s="499"/>
      <c r="BA125" s="499"/>
      <c r="BB125" s="499"/>
      <c r="BC125" s="499"/>
      <c r="BD125" s="499"/>
      <c r="BE125" s="499"/>
      <c r="BF125" s="499"/>
      <c r="BG125" s="499"/>
      <c r="BH125" s="499"/>
      <c r="BI125" s="499"/>
      <c r="BJ125" s="499"/>
      <c r="BK125" s="499"/>
      <c r="BL125" s="499"/>
      <c r="BM125" s="499"/>
      <c r="BN125" s="499"/>
      <c r="BO125" s="499"/>
      <c r="BP125" s="499"/>
      <c r="BQ125" s="499"/>
      <c r="BR125" s="499"/>
      <c r="BS125" s="499"/>
      <c r="BT125" s="499"/>
      <c r="BU125" s="499"/>
      <c r="BV125" s="499"/>
      <c r="BW125" s="499"/>
      <c r="BX125" s="499"/>
      <c r="BY125" s="499"/>
      <c r="BZ125" s="499"/>
      <c r="CA125" s="499"/>
      <c r="CB125" s="499"/>
      <c r="CC125" s="499"/>
      <c r="CD125" s="499"/>
      <c r="CE125" s="499"/>
      <c r="CF125" s="499"/>
      <c r="CG125" s="499"/>
      <c r="CH125" s="499"/>
      <c r="CI125" s="499"/>
      <c r="CJ125" s="499"/>
      <c r="CK125" s="499"/>
      <c r="CL125" s="499"/>
      <c r="CM125" s="499"/>
      <c r="CN125" s="499"/>
      <c r="CO125" s="499"/>
      <c r="CP125" s="499"/>
      <c r="CQ125" s="499"/>
      <c r="CR125" s="499">
        <v>6195</v>
      </c>
      <c r="CS125" s="499">
        <f>+CR125*E125</f>
        <v>6195</v>
      </c>
      <c r="CT125" s="499"/>
      <c r="CU125" s="499"/>
      <c r="CV125" s="499"/>
      <c r="CW125" s="499"/>
      <c r="CX125" s="499"/>
      <c r="CY125" s="499"/>
      <c r="CZ125" s="499"/>
      <c r="DA125" s="499"/>
      <c r="DB125" s="499"/>
      <c r="DC125" s="499"/>
      <c r="DD125" s="499"/>
      <c r="DE125" s="499"/>
      <c r="DF125" s="499"/>
      <c r="DG125" s="499"/>
      <c r="DH125" s="499"/>
      <c r="DI125" s="499"/>
      <c r="DJ125" s="499"/>
      <c r="DK125" s="499"/>
      <c r="DL125" s="499"/>
      <c r="DM125" s="499"/>
      <c r="DN125" s="499"/>
      <c r="DO125" s="499"/>
      <c r="DP125" s="499"/>
      <c r="DQ125" s="499"/>
      <c r="DR125" s="499"/>
      <c r="DS125" s="499"/>
      <c r="DT125" s="499"/>
      <c r="DU125" s="499"/>
      <c r="DV125" s="499"/>
      <c r="DW125" s="499"/>
      <c r="DX125" s="499">
        <v>6902</v>
      </c>
      <c r="DY125" s="499">
        <f>+DX125*E125</f>
        <v>6902</v>
      </c>
      <c r="DZ125" s="499"/>
      <c r="EA125" s="499"/>
      <c r="EB125" s="499"/>
      <c r="EC125" s="499"/>
      <c r="ED125" s="499"/>
      <c r="EE125" s="499"/>
      <c r="EF125" s="499"/>
      <c r="EG125" s="499"/>
      <c r="EH125" s="499"/>
      <c r="EI125" s="499"/>
      <c r="EJ125" s="499"/>
      <c r="EK125" s="499"/>
      <c r="EL125" s="499"/>
      <c r="EM125" s="499"/>
      <c r="EN125" s="499"/>
      <c r="EO125" s="499"/>
      <c r="EP125" s="499"/>
      <c r="EQ125" s="499"/>
      <c r="ER125" s="499"/>
      <c r="ES125" s="499"/>
      <c r="ET125" s="499"/>
      <c r="EU125" s="499"/>
      <c r="EV125" s="499"/>
      <c r="EW125" s="499"/>
      <c r="EX125" s="499"/>
      <c r="EY125" s="499"/>
      <c r="EZ125" s="499"/>
      <c r="FA125" s="499"/>
      <c r="FB125" s="499"/>
      <c r="FC125" s="499"/>
      <c r="FD125" s="499"/>
      <c r="FE125" s="499"/>
      <c r="FF125" s="500">
        <f>MEDIAN(CR125,DX125)</f>
        <v>6548.5</v>
      </c>
      <c r="FG125" s="500">
        <f>AVERAGE(CR125,DX125)</f>
        <v>6548.5</v>
      </c>
      <c r="FH125" s="501">
        <f>STDEV(CR125,DX125)</f>
        <v>499.9244942988891</v>
      </c>
      <c r="FI125" s="476">
        <f t="shared" si="45"/>
        <v>7.6341833137190063E-2</v>
      </c>
      <c r="FJ125" s="502">
        <f t="shared" si="46"/>
        <v>6549</v>
      </c>
      <c r="FK125" s="469">
        <f t="shared" si="48"/>
        <v>6549</v>
      </c>
      <c r="FL125" s="467" t="s">
        <v>621</v>
      </c>
      <c r="FM125" s="470"/>
    </row>
    <row r="126" spans="1:169" ht="43.5" x14ac:dyDescent="0.35">
      <c r="A126" s="458">
        <v>122</v>
      </c>
      <c r="B126" s="462" t="s">
        <v>863</v>
      </c>
      <c r="C126" s="460" t="s">
        <v>864</v>
      </c>
      <c r="D126" s="487" t="s">
        <v>620</v>
      </c>
      <c r="E126" s="458">
        <v>1</v>
      </c>
      <c r="F126" s="497"/>
      <c r="G126" s="497"/>
      <c r="H126" s="497"/>
      <c r="I126" s="497"/>
      <c r="J126" s="497"/>
      <c r="K126" s="497"/>
      <c r="L126" s="498"/>
      <c r="M126" s="498"/>
      <c r="N126" s="498"/>
      <c r="O126" s="498"/>
      <c r="P126" s="498"/>
      <c r="Q126" s="498"/>
      <c r="R126" s="498"/>
      <c r="S126" s="498"/>
      <c r="T126" s="498"/>
      <c r="U126" s="498"/>
      <c r="V126" s="498"/>
      <c r="W126" s="464"/>
      <c r="X126" s="499"/>
      <c r="Y126" s="464"/>
      <c r="Z126" s="499"/>
      <c r="AA126" s="464"/>
      <c r="AB126" s="499"/>
      <c r="AC126" s="464"/>
      <c r="AD126" s="482"/>
      <c r="AE126" s="464"/>
      <c r="AF126" s="499"/>
      <c r="AG126" s="499"/>
      <c r="AH126" s="499"/>
      <c r="AI126" s="499"/>
      <c r="AJ126" s="499"/>
      <c r="AK126" s="499"/>
      <c r="AL126" s="499"/>
      <c r="AM126" s="499"/>
      <c r="AN126" s="499"/>
      <c r="AO126" s="499"/>
      <c r="AP126" s="499"/>
      <c r="AQ126" s="499"/>
      <c r="AR126" s="499"/>
      <c r="AS126" s="499"/>
      <c r="AT126" s="499"/>
      <c r="AU126" s="499"/>
      <c r="AV126" s="499"/>
      <c r="AW126" s="499"/>
      <c r="AX126" s="499"/>
      <c r="AY126" s="499"/>
      <c r="AZ126" s="499"/>
      <c r="BA126" s="499"/>
      <c r="BB126" s="499"/>
      <c r="BC126" s="499"/>
      <c r="BD126" s="499"/>
      <c r="BE126" s="499"/>
      <c r="BF126" s="499"/>
      <c r="BG126" s="499"/>
      <c r="BH126" s="499"/>
      <c r="BI126" s="499"/>
      <c r="BJ126" s="499"/>
      <c r="BK126" s="499"/>
      <c r="BL126" s="499"/>
      <c r="BM126" s="499"/>
      <c r="BN126" s="499"/>
      <c r="BO126" s="499"/>
      <c r="BP126" s="499"/>
      <c r="BQ126" s="499"/>
      <c r="BR126" s="499"/>
      <c r="BS126" s="499"/>
      <c r="BT126" s="499"/>
      <c r="BU126" s="499"/>
      <c r="BV126" s="499"/>
      <c r="BW126" s="499"/>
      <c r="BX126" s="499"/>
      <c r="BY126" s="499"/>
      <c r="BZ126" s="499"/>
      <c r="CA126" s="499"/>
      <c r="CB126" s="499"/>
      <c r="CC126" s="499"/>
      <c r="CD126" s="499"/>
      <c r="CE126" s="499"/>
      <c r="CF126" s="499"/>
      <c r="CG126" s="499"/>
      <c r="CH126" s="499"/>
      <c r="CI126" s="499"/>
      <c r="CJ126" s="499"/>
      <c r="CK126" s="499"/>
      <c r="CL126" s="499"/>
      <c r="CM126" s="499"/>
      <c r="CN126" s="499"/>
      <c r="CO126" s="499"/>
      <c r="CP126" s="499"/>
      <c r="CQ126" s="499"/>
      <c r="CR126" s="499">
        <v>629874</v>
      </c>
      <c r="CS126" s="499">
        <f>+E126</f>
        <v>1</v>
      </c>
      <c r="CT126" s="499"/>
      <c r="CU126" s="499"/>
      <c r="CV126" s="499"/>
      <c r="CW126" s="499"/>
      <c r="CX126" s="499"/>
      <c r="CY126" s="499"/>
      <c r="CZ126" s="499"/>
      <c r="DA126" s="499"/>
      <c r="DB126" s="499"/>
      <c r="DC126" s="499"/>
      <c r="DD126" s="499"/>
      <c r="DE126" s="499"/>
      <c r="DF126" s="499"/>
      <c r="DG126" s="499"/>
      <c r="DH126" s="499"/>
      <c r="DI126" s="499"/>
      <c r="DJ126" s="499"/>
      <c r="DK126" s="499"/>
      <c r="DL126" s="499"/>
      <c r="DM126" s="499"/>
      <c r="DN126" s="499"/>
      <c r="DO126" s="499"/>
      <c r="DP126" s="499"/>
      <c r="DQ126" s="499"/>
      <c r="DR126" s="499"/>
      <c r="DS126" s="499"/>
      <c r="DT126" s="499"/>
      <c r="DU126" s="499"/>
      <c r="DV126" s="499"/>
      <c r="DW126" s="499"/>
      <c r="DX126" s="499"/>
      <c r="DY126" s="499"/>
      <c r="DZ126" s="499"/>
      <c r="EA126" s="499"/>
      <c r="EB126" s="499"/>
      <c r="EC126" s="499"/>
      <c r="ED126" s="499">
        <v>455395</v>
      </c>
      <c r="EE126" s="499">
        <f>+ED126*E126</f>
        <v>455395</v>
      </c>
      <c r="EF126" s="499"/>
      <c r="EG126" s="499"/>
      <c r="EH126" s="499"/>
      <c r="EI126" s="499"/>
      <c r="EJ126" s="499"/>
      <c r="EK126" s="499"/>
      <c r="EL126" s="499"/>
      <c r="EM126" s="499"/>
      <c r="EN126" s="499"/>
      <c r="EO126" s="499"/>
      <c r="EP126" s="499"/>
      <c r="EQ126" s="499"/>
      <c r="ER126" s="499"/>
      <c r="ES126" s="499"/>
      <c r="ET126" s="499"/>
      <c r="EU126" s="499"/>
      <c r="EV126" s="499"/>
      <c r="EW126" s="499"/>
      <c r="EX126" s="499"/>
      <c r="EY126" s="499"/>
      <c r="EZ126" s="499"/>
      <c r="FA126" s="499"/>
      <c r="FB126" s="499"/>
      <c r="FC126" s="499"/>
      <c r="FD126" s="499"/>
      <c r="FE126" s="499"/>
      <c r="FF126" s="500">
        <f>MEDIAN(CR126,ED126)</f>
        <v>542634.5</v>
      </c>
      <c r="FG126" s="500">
        <f>AVERAGE(CR126,ED126)</f>
        <v>542634.5</v>
      </c>
      <c r="FH126" s="501">
        <f>STDEV(CR126,ED126)</f>
        <v>123375.28407464763</v>
      </c>
      <c r="FI126" s="476">
        <f t="shared" si="45"/>
        <v>0.2273635090924879</v>
      </c>
      <c r="FJ126" s="502">
        <f t="shared" si="46"/>
        <v>542635</v>
      </c>
      <c r="FK126" s="469">
        <f t="shared" si="48"/>
        <v>542635</v>
      </c>
      <c r="FL126" s="467" t="s">
        <v>632</v>
      </c>
      <c r="FM126" s="470"/>
    </row>
    <row r="127" spans="1:169" ht="155" x14ac:dyDescent="0.35">
      <c r="A127" s="506">
        <v>123</v>
      </c>
      <c r="B127" s="507" t="s">
        <v>865</v>
      </c>
      <c r="C127" s="508" t="s">
        <v>866</v>
      </c>
      <c r="D127" s="508" t="s">
        <v>867</v>
      </c>
      <c r="E127" s="458">
        <v>1</v>
      </c>
      <c r="F127" s="509"/>
      <c r="G127" s="497"/>
      <c r="H127" s="497"/>
      <c r="I127" s="497"/>
      <c r="J127" s="497"/>
      <c r="K127" s="497"/>
      <c r="L127" s="498"/>
      <c r="M127" s="498"/>
      <c r="N127" s="498"/>
      <c r="O127" s="498"/>
      <c r="P127" s="498"/>
      <c r="Q127" s="498"/>
      <c r="R127" s="498"/>
      <c r="S127" s="498"/>
      <c r="T127" s="498"/>
      <c r="U127" s="498"/>
      <c r="V127" s="498"/>
      <c r="W127" s="464"/>
      <c r="X127" s="499"/>
      <c r="Y127" s="464"/>
      <c r="Z127" s="499"/>
      <c r="AA127" s="464"/>
      <c r="AB127" s="499"/>
      <c r="AC127" s="464"/>
      <c r="AD127" s="482"/>
      <c r="AE127" s="464"/>
      <c r="AF127" s="499"/>
      <c r="AG127" s="499"/>
      <c r="AH127" s="499"/>
      <c r="AI127" s="499"/>
      <c r="AJ127" s="499"/>
      <c r="AK127" s="499"/>
      <c r="AL127" s="499"/>
      <c r="AM127" s="499"/>
      <c r="AN127" s="499"/>
      <c r="AO127" s="499"/>
      <c r="AP127" s="499"/>
      <c r="AQ127" s="499"/>
      <c r="AR127" s="499"/>
      <c r="AS127" s="499"/>
      <c r="AT127" s="499"/>
      <c r="AU127" s="499"/>
      <c r="AV127" s="499"/>
      <c r="AW127" s="499"/>
      <c r="AX127" s="499"/>
      <c r="AY127" s="499"/>
      <c r="AZ127" s="499"/>
      <c r="BA127" s="499"/>
      <c r="BB127" s="499"/>
      <c r="BC127" s="499"/>
      <c r="BD127" s="499"/>
      <c r="BE127" s="499"/>
      <c r="BF127" s="499"/>
      <c r="BG127" s="499"/>
      <c r="BH127" s="499"/>
      <c r="BI127" s="499"/>
      <c r="BJ127" s="499"/>
      <c r="BK127" s="499"/>
      <c r="BL127" s="499"/>
      <c r="BM127" s="499"/>
      <c r="BN127" s="499"/>
      <c r="BO127" s="499"/>
      <c r="BP127" s="499"/>
      <c r="BQ127" s="499"/>
      <c r="BR127" s="499"/>
      <c r="BS127" s="499"/>
      <c r="BT127" s="499"/>
      <c r="BU127" s="499"/>
      <c r="BV127" s="499"/>
      <c r="BW127" s="499"/>
      <c r="BX127" s="499"/>
      <c r="BY127" s="499"/>
      <c r="BZ127" s="499"/>
      <c r="CA127" s="499"/>
      <c r="CB127" s="499"/>
      <c r="CC127" s="499"/>
      <c r="CD127" s="499"/>
      <c r="CE127" s="499"/>
      <c r="CF127" s="499"/>
      <c r="CG127" s="499"/>
      <c r="CH127" s="499"/>
      <c r="CI127" s="499"/>
      <c r="CJ127" s="499"/>
      <c r="CK127" s="499"/>
      <c r="CL127" s="499"/>
      <c r="CM127" s="499"/>
      <c r="CN127" s="499"/>
      <c r="CO127" s="499"/>
      <c r="CP127" s="499"/>
      <c r="CQ127" s="499"/>
      <c r="CR127" s="499"/>
      <c r="CS127" s="499"/>
      <c r="CT127" s="499"/>
      <c r="CU127" s="499"/>
      <c r="CV127" s="499"/>
      <c r="CW127" s="499"/>
      <c r="CX127" s="499"/>
      <c r="CY127" s="499"/>
      <c r="CZ127" s="499"/>
      <c r="DA127" s="499"/>
      <c r="DB127" s="499"/>
      <c r="DC127" s="499"/>
      <c r="DD127" s="499"/>
      <c r="DE127" s="499"/>
      <c r="DF127" s="499"/>
      <c r="DG127" s="499"/>
      <c r="DH127" s="499"/>
      <c r="DI127" s="499"/>
      <c r="DJ127" s="499"/>
      <c r="DK127" s="499"/>
      <c r="DL127" s="499"/>
      <c r="DM127" s="499"/>
      <c r="DN127" s="499"/>
      <c r="DO127" s="499"/>
      <c r="DP127" s="499"/>
      <c r="DQ127" s="499"/>
      <c r="DR127" s="499"/>
      <c r="DS127" s="499"/>
      <c r="DT127" s="499"/>
      <c r="DU127" s="499"/>
      <c r="DV127" s="499"/>
      <c r="DW127" s="499"/>
      <c r="DX127" s="499"/>
      <c r="DY127" s="499"/>
      <c r="DZ127" s="499"/>
      <c r="EA127" s="499"/>
      <c r="EB127" s="499"/>
      <c r="EC127" s="499"/>
      <c r="ED127" s="499"/>
      <c r="EE127" s="499"/>
      <c r="EF127" s="499"/>
      <c r="EG127" s="499"/>
      <c r="EH127" s="499"/>
      <c r="EI127" s="499"/>
      <c r="EJ127" s="499"/>
      <c r="EK127" s="499"/>
      <c r="EL127" s="499"/>
      <c r="EM127" s="499"/>
      <c r="EN127" s="499"/>
      <c r="EO127" s="499"/>
      <c r="EP127" s="510">
        <v>1200000</v>
      </c>
      <c r="EQ127" s="510">
        <f>+EP127*E127</f>
        <v>1200000</v>
      </c>
      <c r="ER127" s="510">
        <v>1560000</v>
      </c>
      <c r="ES127" s="510">
        <f>+ER127*E127</f>
        <v>1560000</v>
      </c>
      <c r="ET127" s="510">
        <v>900000</v>
      </c>
      <c r="EU127" s="510">
        <f>+ET127*E127</f>
        <v>900000</v>
      </c>
      <c r="EV127" s="511"/>
      <c r="EW127" s="511"/>
      <c r="EX127" s="511"/>
      <c r="EY127" s="511"/>
      <c r="EZ127" s="511"/>
      <c r="FA127" s="511"/>
      <c r="FB127" s="511"/>
      <c r="FC127" s="511"/>
      <c r="FD127" s="511"/>
      <c r="FE127" s="511"/>
      <c r="FF127" s="500">
        <f>MEDIAN(EP127,ER127,ET127)</f>
        <v>1200000</v>
      </c>
      <c r="FG127" s="500">
        <f>AVERAGE(EP127,ER127,ET127)</f>
        <v>1220000</v>
      </c>
      <c r="FH127" s="501">
        <f>STDEV(EP127,ER127,ET127)</f>
        <v>330454.23283716611</v>
      </c>
      <c r="FI127" s="476">
        <f t="shared" si="45"/>
        <v>0.27086412527636566</v>
      </c>
      <c r="FJ127" s="502">
        <f t="shared" si="46"/>
        <v>1200000</v>
      </c>
      <c r="FK127" s="469">
        <f t="shared" si="48"/>
        <v>1200000</v>
      </c>
      <c r="FL127" s="467" t="s">
        <v>632</v>
      </c>
      <c r="FM127" s="470"/>
    </row>
    <row r="128" spans="1:169" ht="62" x14ac:dyDescent="0.35">
      <c r="A128" s="506">
        <v>124</v>
      </c>
      <c r="B128" s="507" t="s">
        <v>868</v>
      </c>
      <c r="C128" s="508" t="s">
        <v>869</v>
      </c>
      <c r="D128" s="509" t="s">
        <v>19</v>
      </c>
      <c r="E128" s="458">
        <v>1</v>
      </c>
      <c r="F128" s="497"/>
      <c r="G128" s="497"/>
      <c r="H128" s="497"/>
      <c r="I128" s="497"/>
      <c r="J128" s="497"/>
      <c r="K128" s="497"/>
      <c r="L128" s="498"/>
      <c r="M128" s="498"/>
      <c r="N128" s="498"/>
      <c r="O128" s="498"/>
      <c r="P128" s="498"/>
      <c r="Q128" s="498"/>
      <c r="R128" s="498"/>
      <c r="S128" s="498"/>
      <c r="T128" s="498"/>
      <c r="U128" s="498"/>
      <c r="V128" s="498"/>
      <c r="W128" s="464"/>
      <c r="X128" s="499"/>
      <c r="Y128" s="464"/>
      <c r="Z128" s="499"/>
      <c r="AA128" s="464"/>
      <c r="AB128" s="499"/>
      <c r="AC128" s="464"/>
      <c r="AD128" s="482"/>
      <c r="AE128" s="464"/>
      <c r="AF128" s="499"/>
      <c r="AG128" s="499"/>
      <c r="AH128" s="499"/>
      <c r="AI128" s="499"/>
      <c r="AJ128" s="499"/>
      <c r="AK128" s="499"/>
      <c r="AL128" s="499"/>
      <c r="AM128" s="499"/>
      <c r="AN128" s="499"/>
      <c r="AO128" s="499"/>
      <c r="AP128" s="499"/>
      <c r="AQ128" s="499"/>
      <c r="AR128" s="499"/>
      <c r="AS128" s="499"/>
      <c r="AT128" s="499"/>
      <c r="AU128" s="499"/>
      <c r="AV128" s="499"/>
      <c r="AW128" s="499"/>
      <c r="AX128" s="499"/>
      <c r="AY128" s="499"/>
      <c r="AZ128" s="499"/>
      <c r="BA128" s="499"/>
      <c r="BB128" s="499"/>
      <c r="BC128" s="499"/>
      <c r="BD128" s="499"/>
      <c r="BE128" s="499"/>
      <c r="BF128" s="499"/>
      <c r="BG128" s="499"/>
      <c r="BH128" s="499"/>
      <c r="BI128" s="499"/>
      <c r="BJ128" s="499"/>
      <c r="BK128" s="499"/>
      <c r="BL128" s="499"/>
      <c r="BM128" s="499"/>
      <c r="BN128" s="499"/>
      <c r="BO128" s="499"/>
      <c r="BP128" s="499"/>
      <c r="BQ128" s="499"/>
      <c r="BR128" s="499"/>
      <c r="BS128" s="499"/>
      <c r="BT128" s="499"/>
      <c r="BU128" s="499"/>
      <c r="BV128" s="499"/>
      <c r="BW128" s="499"/>
      <c r="BX128" s="499"/>
      <c r="BY128" s="499"/>
      <c r="BZ128" s="499"/>
      <c r="CA128" s="499"/>
      <c r="CB128" s="499"/>
      <c r="CC128" s="499"/>
      <c r="CD128" s="499"/>
      <c r="CE128" s="499"/>
      <c r="CF128" s="499"/>
      <c r="CG128" s="499"/>
      <c r="CH128" s="499"/>
      <c r="CI128" s="499"/>
      <c r="CJ128" s="499"/>
      <c r="CK128" s="499"/>
      <c r="CL128" s="499"/>
      <c r="CM128" s="499"/>
      <c r="CN128" s="499"/>
      <c r="CO128" s="499"/>
      <c r="CP128" s="499"/>
      <c r="CQ128" s="499"/>
      <c r="CR128" s="499"/>
      <c r="CS128" s="499"/>
      <c r="CT128" s="499"/>
      <c r="CU128" s="499"/>
      <c r="CV128" s="499"/>
      <c r="CW128" s="499"/>
      <c r="CX128" s="499"/>
      <c r="CY128" s="499"/>
      <c r="CZ128" s="499"/>
      <c r="DA128" s="499"/>
      <c r="DB128" s="499"/>
      <c r="DC128" s="499"/>
      <c r="DD128" s="499"/>
      <c r="DE128" s="499"/>
      <c r="DF128" s="499"/>
      <c r="DG128" s="499"/>
      <c r="DH128" s="499"/>
      <c r="DI128" s="499"/>
      <c r="DJ128" s="499"/>
      <c r="DK128" s="499"/>
      <c r="DL128" s="499"/>
      <c r="DM128" s="499"/>
      <c r="DN128" s="499"/>
      <c r="DO128" s="499"/>
      <c r="DP128" s="499"/>
      <c r="DQ128" s="499"/>
      <c r="DR128" s="499"/>
      <c r="DS128" s="499"/>
      <c r="DT128" s="499"/>
      <c r="DU128" s="499"/>
      <c r="DV128" s="499"/>
      <c r="DW128" s="499"/>
      <c r="DX128" s="499"/>
      <c r="DY128" s="499"/>
      <c r="DZ128" s="499"/>
      <c r="EA128" s="499"/>
      <c r="EB128" s="499"/>
      <c r="EC128" s="499"/>
      <c r="ED128" s="499"/>
      <c r="EE128" s="499"/>
      <c r="EF128" s="499"/>
      <c r="EG128" s="499"/>
      <c r="EH128" s="499"/>
      <c r="EI128" s="499"/>
      <c r="EJ128" s="499"/>
      <c r="EK128" s="499"/>
      <c r="EL128" s="499"/>
      <c r="EM128" s="499"/>
      <c r="EN128" s="499"/>
      <c r="EO128" s="499"/>
      <c r="EP128" s="499"/>
      <c r="EQ128" s="499"/>
      <c r="ER128" s="499"/>
      <c r="ES128" s="499"/>
      <c r="ET128" s="499"/>
      <c r="EU128" s="499"/>
      <c r="EV128" s="512">
        <v>4000</v>
      </c>
      <c r="EW128" s="513">
        <f>+EV128*E128</f>
        <v>4000</v>
      </c>
      <c r="EX128" s="512">
        <v>6000</v>
      </c>
      <c r="EY128" s="513">
        <f>+EX128*E128</f>
        <v>6000</v>
      </c>
      <c r="EZ128" s="510">
        <v>6300</v>
      </c>
      <c r="FA128" s="510">
        <f>+EZ128*E128</f>
        <v>6300</v>
      </c>
      <c r="FB128" s="511"/>
      <c r="FC128" s="511"/>
      <c r="FD128" s="511"/>
      <c r="FE128" s="511"/>
      <c r="FF128" s="500">
        <f>MEDIAN(EV128,EX128,EZ128)</f>
        <v>6000</v>
      </c>
      <c r="FG128" s="500">
        <f>AVERAGE(EV128,EX128,EZ128)</f>
        <v>5433.333333333333</v>
      </c>
      <c r="FH128" s="501">
        <f>STDEV(EV128,EX128,EZ128)</f>
        <v>1250.3332889007379</v>
      </c>
      <c r="FI128" s="476">
        <f t="shared" si="45"/>
        <v>0.23012269120872478</v>
      </c>
      <c r="FJ128" s="502">
        <f t="shared" si="46"/>
        <v>6000</v>
      </c>
      <c r="FK128" s="469">
        <f t="shared" si="48"/>
        <v>6000</v>
      </c>
      <c r="FL128" s="467" t="s">
        <v>632</v>
      </c>
      <c r="FM128" s="470"/>
    </row>
    <row r="129" spans="1:170" ht="54" x14ac:dyDescent="0.35">
      <c r="A129" s="506">
        <v>125</v>
      </c>
      <c r="B129" s="514" t="s">
        <v>870</v>
      </c>
      <c r="C129" s="514" t="s">
        <v>871</v>
      </c>
      <c r="D129" s="515" t="s">
        <v>872</v>
      </c>
      <c r="E129" s="458">
        <v>1</v>
      </c>
      <c r="F129" s="497"/>
      <c r="G129" s="497"/>
      <c r="H129" s="497"/>
      <c r="I129" s="497"/>
      <c r="J129" s="497"/>
      <c r="K129" s="497"/>
      <c r="L129" s="498"/>
      <c r="M129" s="498"/>
      <c r="N129" s="498"/>
      <c r="O129" s="498"/>
      <c r="P129" s="498"/>
      <c r="Q129" s="498"/>
      <c r="R129" s="498"/>
      <c r="S129" s="498"/>
      <c r="T129" s="498"/>
      <c r="U129" s="498"/>
      <c r="V129" s="498"/>
      <c r="W129" s="464"/>
      <c r="X129" s="499"/>
      <c r="Y129" s="464"/>
      <c r="Z129" s="499"/>
      <c r="AA129" s="464"/>
      <c r="AB129" s="499"/>
      <c r="AC129" s="464"/>
      <c r="AD129" s="482"/>
      <c r="AE129" s="464"/>
      <c r="AF129" s="499"/>
      <c r="AG129" s="499"/>
      <c r="AH129" s="499"/>
      <c r="AI129" s="499"/>
      <c r="AJ129" s="499"/>
      <c r="AK129" s="499"/>
      <c r="AL129" s="499"/>
      <c r="AM129" s="499"/>
      <c r="AN129" s="499"/>
      <c r="AO129" s="499"/>
      <c r="AP129" s="499"/>
      <c r="AQ129" s="499"/>
      <c r="AR129" s="499"/>
      <c r="AS129" s="499"/>
      <c r="AT129" s="499"/>
      <c r="AU129" s="499"/>
      <c r="AV129" s="499"/>
      <c r="AW129" s="499"/>
      <c r="AX129" s="499"/>
      <c r="AY129" s="499"/>
      <c r="AZ129" s="499"/>
      <c r="BA129" s="499"/>
      <c r="BB129" s="499"/>
      <c r="BC129" s="499"/>
      <c r="BD129" s="499"/>
      <c r="BE129" s="499"/>
      <c r="BF129" s="499"/>
      <c r="BG129" s="499"/>
      <c r="BH129" s="499"/>
      <c r="BI129" s="499"/>
      <c r="BJ129" s="499"/>
      <c r="BK129" s="499"/>
      <c r="BL129" s="499"/>
      <c r="BM129" s="499"/>
      <c r="BN129" s="499"/>
      <c r="BO129" s="499"/>
      <c r="BP129" s="499"/>
      <c r="BQ129" s="499"/>
      <c r="BR129" s="499"/>
      <c r="BS129" s="499"/>
      <c r="BT129" s="499"/>
      <c r="BU129" s="499"/>
      <c r="BV129" s="499"/>
      <c r="BW129" s="499"/>
      <c r="BX129" s="499"/>
      <c r="BY129" s="499"/>
      <c r="BZ129" s="499"/>
      <c r="CA129" s="499"/>
      <c r="CB129" s="499"/>
      <c r="CC129" s="499"/>
      <c r="CD129" s="499"/>
      <c r="CE129" s="499"/>
      <c r="CF129" s="499"/>
      <c r="CG129" s="499"/>
      <c r="CH129" s="499"/>
      <c r="CI129" s="499"/>
      <c r="CJ129" s="499"/>
      <c r="CK129" s="499"/>
      <c r="CL129" s="499"/>
      <c r="CM129" s="499"/>
      <c r="CN129" s="499"/>
      <c r="CO129" s="499"/>
      <c r="CP129" s="499"/>
      <c r="CQ129" s="499"/>
      <c r="CR129" s="499"/>
      <c r="CS129" s="499"/>
      <c r="CT129" s="499"/>
      <c r="CU129" s="499"/>
      <c r="CV129" s="499"/>
      <c r="CW129" s="499"/>
      <c r="CX129" s="499"/>
      <c r="CY129" s="499"/>
      <c r="CZ129" s="499"/>
      <c r="DA129" s="499"/>
      <c r="DB129" s="499"/>
      <c r="DC129" s="499"/>
      <c r="DD129" s="499"/>
      <c r="DE129" s="499"/>
      <c r="DF129" s="499"/>
      <c r="DG129" s="499"/>
      <c r="DH129" s="499"/>
      <c r="DI129" s="499"/>
      <c r="DJ129" s="499"/>
      <c r="DK129" s="499"/>
      <c r="DL129" s="499"/>
      <c r="DM129" s="499"/>
      <c r="DN129" s="499"/>
      <c r="DO129" s="499"/>
      <c r="DP129" s="499"/>
      <c r="DQ129" s="499"/>
      <c r="DR129" s="499"/>
      <c r="DS129" s="499"/>
      <c r="DT129" s="499"/>
      <c r="DU129" s="499"/>
      <c r="DV129" s="499"/>
      <c r="DW129" s="499"/>
      <c r="DX129" s="499"/>
      <c r="DY129" s="499"/>
      <c r="DZ129" s="499"/>
      <c r="EA129" s="499"/>
      <c r="EB129" s="499"/>
      <c r="EC129" s="499"/>
      <c r="ED129" s="499"/>
      <c r="EE129" s="499"/>
      <c r="EF129" s="499"/>
      <c r="EG129" s="499"/>
      <c r="EH129" s="499"/>
      <c r="EI129" s="499"/>
      <c r="EJ129" s="499"/>
      <c r="EK129" s="499"/>
      <c r="EL129" s="499"/>
      <c r="EM129" s="499"/>
      <c r="EN129" s="499"/>
      <c r="EO129" s="499"/>
      <c r="EP129" s="499"/>
      <c r="EQ129" s="499"/>
      <c r="ER129" s="499"/>
      <c r="ES129" s="499"/>
      <c r="ET129" s="499"/>
      <c r="EU129" s="499"/>
      <c r="EV129" s="512"/>
      <c r="EW129" s="513"/>
      <c r="EX129" s="512"/>
      <c r="EY129" s="513"/>
      <c r="EZ129" s="510"/>
      <c r="FA129" s="510"/>
      <c r="FB129" s="516">
        <v>45000</v>
      </c>
      <c r="FC129" s="516">
        <f>+FB129*1</f>
        <v>45000</v>
      </c>
      <c r="FD129" s="517">
        <v>50000</v>
      </c>
      <c r="FE129" s="517">
        <f>+FD129*1</f>
        <v>50000</v>
      </c>
      <c r="FF129" s="500">
        <f>MEDIAN(FB129,FD129)</f>
        <v>47500</v>
      </c>
      <c r="FG129" s="500">
        <f>AVERAGE(FB129,FD129)</f>
        <v>47500</v>
      </c>
      <c r="FH129" s="501">
        <f>STDEV(FB129,FD129)</f>
        <v>3535.5339059327375</v>
      </c>
      <c r="FI129" s="476">
        <f t="shared" si="45"/>
        <v>7.4432292756478682E-2</v>
      </c>
      <c r="FJ129" s="502">
        <f t="shared" si="46"/>
        <v>47500</v>
      </c>
      <c r="FK129" s="469">
        <f t="shared" si="48"/>
        <v>47500</v>
      </c>
      <c r="FL129" s="467" t="s">
        <v>621</v>
      </c>
      <c r="FM129" s="470"/>
    </row>
    <row r="130" spans="1:170" ht="81" x14ac:dyDescent="0.35">
      <c r="A130" s="506">
        <v>126</v>
      </c>
      <c r="B130" s="514" t="s">
        <v>873</v>
      </c>
      <c r="C130" s="514" t="s">
        <v>874</v>
      </c>
      <c r="D130" s="515" t="s">
        <v>872</v>
      </c>
      <c r="E130" s="458">
        <v>1</v>
      </c>
      <c r="F130" s="497"/>
      <c r="G130" s="497"/>
      <c r="H130" s="497"/>
      <c r="I130" s="497"/>
      <c r="J130" s="497"/>
      <c r="K130" s="497"/>
      <c r="L130" s="498"/>
      <c r="M130" s="498"/>
      <c r="N130" s="498"/>
      <c r="O130" s="498"/>
      <c r="P130" s="498"/>
      <c r="Q130" s="498"/>
      <c r="R130" s="498"/>
      <c r="S130" s="498"/>
      <c r="T130" s="498"/>
      <c r="U130" s="498"/>
      <c r="V130" s="498"/>
      <c r="W130" s="464"/>
      <c r="X130" s="499"/>
      <c r="Y130" s="464"/>
      <c r="Z130" s="499"/>
      <c r="AA130" s="464"/>
      <c r="AB130" s="499"/>
      <c r="AC130" s="464"/>
      <c r="AD130" s="482"/>
      <c r="AE130" s="464"/>
      <c r="AF130" s="499"/>
      <c r="AG130" s="499"/>
      <c r="AH130" s="499"/>
      <c r="AI130" s="499"/>
      <c r="AJ130" s="499"/>
      <c r="AK130" s="499"/>
      <c r="AL130" s="499"/>
      <c r="AM130" s="499"/>
      <c r="AN130" s="499"/>
      <c r="AO130" s="499"/>
      <c r="AP130" s="499"/>
      <c r="AQ130" s="499"/>
      <c r="AR130" s="499"/>
      <c r="AS130" s="499"/>
      <c r="AT130" s="499"/>
      <c r="AU130" s="499"/>
      <c r="AV130" s="499"/>
      <c r="AW130" s="499"/>
      <c r="AX130" s="499"/>
      <c r="AY130" s="499"/>
      <c r="AZ130" s="499"/>
      <c r="BA130" s="499"/>
      <c r="BB130" s="499"/>
      <c r="BC130" s="499"/>
      <c r="BD130" s="499"/>
      <c r="BE130" s="499"/>
      <c r="BF130" s="499"/>
      <c r="BG130" s="499"/>
      <c r="BH130" s="499"/>
      <c r="BI130" s="499"/>
      <c r="BJ130" s="499"/>
      <c r="BK130" s="499"/>
      <c r="BL130" s="499"/>
      <c r="BM130" s="499"/>
      <c r="BN130" s="499"/>
      <c r="BO130" s="499"/>
      <c r="BP130" s="499"/>
      <c r="BQ130" s="499"/>
      <c r="BR130" s="499"/>
      <c r="BS130" s="499"/>
      <c r="BT130" s="499"/>
      <c r="BU130" s="499"/>
      <c r="BV130" s="499"/>
      <c r="BW130" s="499"/>
      <c r="BX130" s="499"/>
      <c r="BY130" s="499"/>
      <c r="BZ130" s="499"/>
      <c r="CA130" s="499"/>
      <c r="CB130" s="499"/>
      <c r="CC130" s="499"/>
      <c r="CD130" s="499"/>
      <c r="CE130" s="499"/>
      <c r="CF130" s="499"/>
      <c r="CG130" s="499"/>
      <c r="CH130" s="499"/>
      <c r="CI130" s="499"/>
      <c r="CJ130" s="499"/>
      <c r="CK130" s="499"/>
      <c r="CL130" s="499"/>
      <c r="CM130" s="499"/>
      <c r="CN130" s="499"/>
      <c r="CO130" s="499"/>
      <c r="CP130" s="499"/>
      <c r="CQ130" s="499"/>
      <c r="CR130" s="499"/>
      <c r="CS130" s="499"/>
      <c r="CT130" s="499"/>
      <c r="CU130" s="499"/>
      <c r="CV130" s="499"/>
      <c r="CW130" s="499"/>
      <c r="CX130" s="499"/>
      <c r="CY130" s="499"/>
      <c r="CZ130" s="499"/>
      <c r="DA130" s="499"/>
      <c r="DB130" s="499"/>
      <c r="DC130" s="499"/>
      <c r="DD130" s="499"/>
      <c r="DE130" s="499"/>
      <c r="DF130" s="499"/>
      <c r="DG130" s="499"/>
      <c r="DH130" s="499"/>
      <c r="DI130" s="499"/>
      <c r="DJ130" s="499"/>
      <c r="DK130" s="499"/>
      <c r="DL130" s="499"/>
      <c r="DM130" s="499"/>
      <c r="DN130" s="499"/>
      <c r="DO130" s="499"/>
      <c r="DP130" s="499"/>
      <c r="DQ130" s="499"/>
      <c r="DR130" s="499"/>
      <c r="DS130" s="499"/>
      <c r="DT130" s="499"/>
      <c r="DU130" s="499"/>
      <c r="DV130" s="499"/>
      <c r="DW130" s="499"/>
      <c r="DX130" s="499"/>
      <c r="DY130" s="499"/>
      <c r="DZ130" s="499"/>
      <c r="EA130" s="499"/>
      <c r="EB130" s="499"/>
      <c r="EC130" s="499"/>
      <c r="ED130" s="499"/>
      <c r="EE130" s="499"/>
      <c r="EF130" s="499"/>
      <c r="EG130" s="499"/>
      <c r="EH130" s="499"/>
      <c r="EI130" s="499"/>
      <c r="EJ130" s="499"/>
      <c r="EK130" s="499"/>
      <c r="EL130" s="499"/>
      <c r="EM130" s="499"/>
      <c r="EN130" s="499"/>
      <c r="EO130" s="499"/>
      <c r="EP130" s="499"/>
      <c r="EQ130" s="499"/>
      <c r="ER130" s="499"/>
      <c r="ES130" s="499"/>
      <c r="ET130" s="499"/>
      <c r="EU130" s="499"/>
      <c r="EV130" s="512"/>
      <c r="EW130" s="513"/>
      <c r="EX130" s="512"/>
      <c r="EY130" s="513"/>
      <c r="EZ130" s="510"/>
      <c r="FA130" s="510"/>
      <c r="FB130" s="516">
        <v>80000</v>
      </c>
      <c r="FC130" s="516">
        <f>+FB130*1</f>
        <v>80000</v>
      </c>
      <c r="FD130" s="517">
        <v>85000</v>
      </c>
      <c r="FE130" s="517">
        <f>+FD130*1</f>
        <v>85000</v>
      </c>
      <c r="FF130" s="500">
        <f t="shared" ref="FF130:FF137" si="66">MEDIAN(FB130,FD130)</f>
        <v>82500</v>
      </c>
      <c r="FG130" s="500">
        <f t="shared" ref="FG130:FG137" si="67">AVERAGE(FB130,FD130)</f>
        <v>82500</v>
      </c>
      <c r="FH130" s="501">
        <f t="shared" ref="FH130:FH137" si="68">STDEV(FB130,FD130)</f>
        <v>3535.5339059327375</v>
      </c>
      <c r="FI130" s="476">
        <f t="shared" si="45"/>
        <v>4.2854956435548333E-2</v>
      </c>
      <c r="FJ130" s="502">
        <f t="shared" si="46"/>
        <v>82500</v>
      </c>
      <c r="FK130" s="469">
        <f t="shared" si="48"/>
        <v>82500</v>
      </c>
      <c r="FL130" s="467" t="s">
        <v>621</v>
      </c>
      <c r="FM130" s="470"/>
    </row>
    <row r="131" spans="1:170" ht="54" x14ac:dyDescent="0.35">
      <c r="A131" s="506">
        <v>127</v>
      </c>
      <c r="B131" s="518" t="s">
        <v>875</v>
      </c>
      <c r="C131" s="518" t="s">
        <v>876</v>
      </c>
      <c r="D131" s="515" t="s">
        <v>872</v>
      </c>
      <c r="E131" s="458">
        <v>1</v>
      </c>
      <c r="F131" s="497"/>
      <c r="G131" s="497"/>
      <c r="H131" s="497"/>
      <c r="I131" s="497"/>
      <c r="J131" s="497"/>
      <c r="K131" s="497"/>
      <c r="L131" s="498"/>
      <c r="M131" s="498"/>
      <c r="N131" s="498"/>
      <c r="O131" s="498"/>
      <c r="P131" s="498"/>
      <c r="Q131" s="498"/>
      <c r="R131" s="498"/>
      <c r="S131" s="498"/>
      <c r="T131" s="498"/>
      <c r="U131" s="498"/>
      <c r="V131" s="498"/>
      <c r="W131" s="464"/>
      <c r="X131" s="499"/>
      <c r="Y131" s="464"/>
      <c r="Z131" s="499"/>
      <c r="AA131" s="464"/>
      <c r="AB131" s="499"/>
      <c r="AC131" s="464"/>
      <c r="AD131" s="482"/>
      <c r="AE131" s="464"/>
      <c r="AF131" s="499"/>
      <c r="AG131" s="499"/>
      <c r="AH131" s="499"/>
      <c r="AI131" s="499"/>
      <c r="AJ131" s="499"/>
      <c r="AK131" s="499"/>
      <c r="AL131" s="499"/>
      <c r="AM131" s="499"/>
      <c r="AN131" s="499"/>
      <c r="AO131" s="499"/>
      <c r="AP131" s="499"/>
      <c r="AQ131" s="499"/>
      <c r="AR131" s="499"/>
      <c r="AS131" s="499"/>
      <c r="AT131" s="499"/>
      <c r="AU131" s="499"/>
      <c r="AV131" s="499"/>
      <c r="AW131" s="499"/>
      <c r="AX131" s="499"/>
      <c r="AY131" s="499"/>
      <c r="AZ131" s="499"/>
      <c r="BA131" s="499"/>
      <c r="BB131" s="499"/>
      <c r="BC131" s="499"/>
      <c r="BD131" s="499"/>
      <c r="BE131" s="499"/>
      <c r="BF131" s="499"/>
      <c r="BG131" s="499"/>
      <c r="BH131" s="499"/>
      <c r="BI131" s="499"/>
      <c r="BJ131" s="499"/>
      <c r="BK131" s="499"/>
      <c r="BL131" s="499"/>
      <c r="BM131" s="499"/>
      <c r="BN131" s="499"/>
      <c r="BO131" s="499"/>
      <c r="BP131" s="499"/>
      <c r="BQ131" s="499"/>
      <c r="BR131" s="499"/>
      <c r="BS131" s="499"/>
      <c r="BT131" s="499"/>
      <c r="BU131" s="499"/>
      <c r="BV131" s="499"/>
      <c r="BW131" s="499"/>
      <c r="BX131" s="499"/>
      <c r="BY131" s="499"/>
      <c r="BZ131" s="499"/>
      <c r="CA131" s="499"/>
      <c r="CB131" s="499"/>
      <c r="CC131" s="499"/>
      <c r="CD131" s="499"/>
      <c r="CE131" s="499"/>
      <c r="CF131" s="499"/>
      <c r="CG131" s="499"/>
      <c r="CH131" s="499"/>
      <c r="CI131" s="499"/>
      <c r="CJ131" s="499"/>
      <c r="CK131" s="499"/>
      <c r="CL131" s="499"/>
      <c r="CM131" s="499"/>
      <c r="CN131" s="499"/>
      <c r="CO131" s="499"/>
      <c r="CP131" s="499"/>
      <c r="CQ131" s="499"/>
      <c r="CR131" s="499"/>
      <c r="CS131" s="499"/>
      <c r="CT131" s="499"/>
      <c r="CU131" s="499"/>
      <c r="CV131" s="499"/>
      <c r="CW131" s="499"/>
      <c r="CX131" s="499"/>
      <c r="CY131" s="499"/>
      <c r="CZ131" s="499"/>
      <c r="DA131" s="499"/>
      <c r="DB131" s="499"/>
      <c r="DC131" s="499"/>
      <c r="DD131" s="499"/>
      <c r="DE131" s="499"/>
      <c r="DF131" s="499"/>
      <c r="DG131" s="499"/>
      <c r="DH131" s="499"/>
      <c r="DI131" s="499"/>
      <c r="DJ131" s="499"/>
      <c r="DK131" s="499"/>
      <c r="DL131" s="499"/>
      <c r="DM131" s="499"/>
      <c r="DN131" s="499"/>
      <c r="DO131" s="499"/>
      <c r="DP131" s="499"/>
      <c r="DQ131" s="499"/>
      <c r="DR131" s="499"/>
      <c r="DS131" s="499"/>
      <c r="DT131" s="499"/>
      <c r="DU131" s="499"/>
      <c r="DV131" s="499"/>
      <c r="DW131" s="499"/>
      <c r="DX131" s="499"/>
      <c r="DY131" s="499"/>
      <c r="DZ131" s="499"/>
      <c r="EA131" s="499"/>
      <c r="EB131" s="499"/>
      <c r="EC131" s="499"/>
      <c r="ED131" s="499"/>
      <c r="EE131" s="499"/>
      <c r="EF131" s="499"/>
      <c r="EG131" s="499"/>
      <c r="EH131" s="499"/>
      <c r="EI131" s="499"/>
      <c r="EJ131" s="499"/>
      <c r="EK131" s="499"/>
      <c r="EL131" s="499"/>
      <c r="EM131" s="499"/>
      <c r="EN131" s="499"/>
      <c r="EO131" s="499"/>
      <c r="EP131" s="499"/>
      <c r="EQ131" s="499"/>
      <c r="ER131" s="499"/>
      <c r="ES131" s="499"/>
      <c r="ET131" s="499"/>
      <c r="EU131" s="499"/>
      <c r="EV131" s="512"/>
      <c r="EW131" s="513"/>
      <c r="EX131" s="512"/>
      <c r="EY131" s="513"/>
      <c r="EZ131" s="510"/>
      <c r="FA131" s="510"/>
      <c r="FB131" s="516">
        <v>60000</v>
      </c>
      <c r="FC131" s="516">
        <f>+FB131*E131</f>
        <v>60000</v>
      </c>
      <c r="FD131" s="517">
        <v>63800</v>
      </c>
      <c r="FE131" s="517">
        <f>+FD131*E131</f>
        <v>63800</v>
      </c>
      <c r="FF131" s="500">
        <f t="shared" si="66"/>
        <v>61900</v>
      </c>
      <c r="FG131" s="500">
        <f t="shared" si="67"/>
        <v>61900</v>
      </c>
      <c r="FH131" s="501">
        <f t="shared" si="68"/>
        <v>2687.0057685088805</v>
      </c>
      <c r="FI131" s="476">
        <f t="shared" si="45"/>
        <v>4.3408816938754126E-2</v>
      </c>
      <c r="FJ131" s="502">
        <f t="shared" si="46"/>
        <v>61900</v>
      </c>
      <c r="FK131" s="469">
        <f t="shared" si="48"/>
        <v>61900</v>
      </c>
      <c r="FL131" s="467" t="s">
        <v>621</v>
      </c>
      <c r="FM131" s="470"/>
    </row>
    <row r="132" spans="1:170" ht="40.5" x14ac:dyDescent="0.35">
      <c r="A132" s="506">
        <v>128</v>
      </c>
      <c r="B132" s="514" t="s">
        <v>877</v>
      </c>
      <c r="C132" s="514" t="s">
        <v>878</v>
      </c>
      <c r="D132" s="515" t="s">
        <v>872</v>
      </c>
      <c r="E132" s="458">
        <v>1</v>
      </c>
      <c r="F132" s="497"/>
      <c r="G132" s="497"/>
      <c r="H132" s="497"/>
      <c r="I132" s="497"/>
      <c r="J132" s="497"/>
      <c r="K132" s="497"/>
      <c r="L132" s="498"/>
      <c r="M132" s="498"/>
      <c r="N132" s="498"/>
      <c r="O132" s="498"/>
      <c r="P132" s="498"/>
      <c r="Q132" s="498"/>
      <c r="R132" s="498"/>
      <c r="S132" s="498"/>
      <c r="T132" s="498"/>
      <c r="U132" s="498"/>
      <c r="V132" s="498"/>
      <c r="W132" s="464"/>
      <c r="X132" s="499"/>
      <c r="Y132" s="464"/>
      <c r="Z132" s="499"/>
      <c r="AA132" s="464"/>
      <c r="AB132" s="499"/>
      <c r="AC132" s="464"/>
      <c r="AD132" s="482"/>
      <c r="AE132" s="464"/>
      <c r="AF132" s="499"/>
      <c r="AG132" s="499"/>
      <c r="AH132" s="499"/>
      <c r="AI132" s="499"/>
      <c r="AJ132" s="499"/>
      <c r="AK132" s="499"/>
      <c r="AL132" s="499"/>
      <c r="AM132" s="499"/>
      <c r="AN132" s="499"/>
      <c r="AO132" s="499"/>
      <c r="AP132" s="499"/>
      <c r="AQ132" s="499"/>
      <c r="AR132" s="499"/>
      <c r="AS132" s="499"/>
      <c r="AT132" s="499"/>
      <c r="AU132" s="499"/>
      <c r="AV132" s="499"/>
      <c r="AW132" s="499"/>
      <c r="AX132" s="499"/>
      <c r="AY132" s="499"/>
      <c r="AZ132" s="499"/>
      <c r="BA132" s="499"/>
      <c r="BB132" s="499"/>
      <c r="BC132" s="499"/>
      <c r="BD132" s="499"/>
      <c r="BE132" s="499"/>
      <c r="BF132" s="499"/>
      <c r="BG132" s="499"/>
      <c r="BH132" s="499"/>
      <c r="BI132" s="499"/>
      <c r="BJ132" s="499"/>
      <c r="BK132" s="499"/>
      <c r="BL132" s="499"/>
      <c r="BM132" s="499"/>
      <c r="BN132" s="499"/>
      <c r="BO132" s="499"/>
      <c r="BP132" s="499"/>
      <c r="BQ132" s="499"/>
      <c r="BR132" s="499"/>
      <c r="BS132" s="499"/>
      <c r="BT132" s="499"/>
      <c r="BU132" s="499"/>
      <c r="BV132" s="499"/>
      <c r="BW132" s="499"/>
      <c r="BX132" s="499"/>
      <c r="BY132" s="499"/>
      <c r="BZ132" s="499"/>
      <c r="CA132" s="499"/>
      <c r="CB132" s="499"/>
      <c r="CC132" s="499"/>
      <c r="CD132" s="499"/>
      <c r="CE132" s="499"/>
      <c r="CF132" s="499"/>
      <c r="CG132" s="499"/>
      <c r="CH132" s="499"/>
      <c r="CI132" s="499"/>
      <c r="CJ132" s="499"/>
      <c r="CK132" s="499"/>
      <c r="CL132" s="499"/>
      <c r="CM132" s="499"/>
      <c r="CN132" s="499"/>
      <c r="CO132" s="499"/>
      <c r="CP132" s="499"/>
      <c r="CQ132" s="499"/>
      <c r="CR132" s="499"/>
      <c r="CS132" s="499"/>
      <c r="CT132" s="499"/>
      <c r="CU132" s="499"/>
      <c r="CV132" s="499"/>
      <c r="CW132" s="499"/>
      <c r="CX132" s="499"/>
      <c r="CY132" s="499"/>
      <c r="CZ132" s="499"/>
      <c r="DA132" s="499"/>
      <c r="DB132" s="499"/>
      <c r="DC132" s="499"/>
      <c r="DD132" s="499"/>
      <c r="DE132" s="499"/>
      <c r="DF132" s="499"/>
      <c r="DG132" s="499"/>
      <c r="DH132" s="499"/>
      <c r="DI132" s="499"/>
      <c r="DJ132" s="499"/>
      <c r="DK132" s="499"/>
      <c r="DL132" s="499"/>
      <c r="DM132" s="499"/>
      <c r="DN132" s="499"/>
      <c r="DO132" s="499"/>
      <c r="DP132" s="499"/>
      <c r="DQ132" s="499"/>
      <c r="DR132" s="499"/>
      <c r="DS132" s="499"/>
      <c r="DT132" s="499"/>
      <c r="DU132" s="499"/>
      <c r="DV132" s="499"/>
      <c r="DW132" s="499"/>
      <c r="DX132" s="499"/>
      <c r="DY132" s="499"/>
      <c r="DZ132" s="499"/>
      <c r="EA132" s="499"/>
      <c r="EB132" s="499"/>
      <c r="EC132" s="499"/>
      <c r="ED132" s="499"/>
      <c r="EE132" s="499"/>
      <c r="EF132" s="499"/>
      <c r="EG132" s="499"/>
      <c r="EH132" s="499"/>
      <c r="EI132" s="499"/>
      <c r="EJ132" s="499"/>
      <c r="EK132" s="499"/>
      <c r="EL132" s="499"/>
      <c r="EM132" s="499"/>
      <c r="EN132" s="499"/>
      <c r="EO132" s="499"/>
      <c r="EP132" s="499"/>
      <c r="EQ132" s="499"/>
      <c r="ER132" s="499"/>
      <c r="ES132" s="499"/>
      <c r="ET132" s="499"/>
      <c r="EU132" s="499"/>
      <c r="EV132" s="512"/>
      <c r="EW132" s="513"/>
      <c r="EX132" s="512"/>
      <c r="EY132" s="513"/>
      <c r="EZ132" s="510"/>
      <c r="FA132" s="510"/>
      <c r="FB132" s="516">
        <v>40000</v>
      </c>
      <c r="FC132" s="516">
        <f>+FB132*E132</f>
        <v>40000</v>
      </c>
      <c r="FD132" s="517">
        <v>35000</v>
      </c>
      <c r="FE132" s="517">
        <f>+FD132*E132</f>
        <v>35000</v>
      </c>
      <c r="FF132" s="500">
        <f t="shared" si="66"/>
        <v>37500</v>
      </c>
      <c r="FG132" s="500">
        <f t="shared" si="67"/>
        <v>37500</v>
      </c>
      <c r="FH132" s="501">
        <f t="shared" si="68"/>
        <v>3535.5339059327375</v>
      </c>
      <c r="FI132" s="476">
        <f t="shared" si="45"/>
        <v>9.4280904158206336E-2</v>
      </c>
      <c r="FJ132" s="502">
        <f t="shared" si="46"/>
        <v>37500</v>
      </c>
      <c r="FK132" s="469">
        <f t="shared" si="48"/>
        <v>37500</v>
      </c>
      <c r="FL132" s="467" t="s">
        <v>621</v>
      </c>
      <c r="FM132" s="470"/>
    </row>
    <row r="133" spans="1:170" ht="54" x14ac:dyDescent="0.35">
      <c r="A133" s="506">
        <v>129</v>
      </c>
      <c r="B133" s="514" t="s">
        <v>879</v>
      </c>
      <c r="C133" s="514" t="s">
        <v>880</v>
      </c>
      <c r="D133" s="515" t="s">
        <v>872</v>
      </c>
      <c r="E133" s="458">
        <v>1</v>
      </c>
      <c r="F133" s="497"/>
      <c r="G133" s="497"/>
      <c r="H133" s="497"/>
      <c r="I133" s="497"/>
      <c r="J133" s="497"/>
      <c r="K133" s="497"/>
      <c r="L133" s="498"/>
      <c r="M133" s="498"/>
      <c r="N133" s="498"/>
      <c r="O133" s="498"/>
      <c r="P133" s="498"/>
      <c r="Q133" s="498"/>
      <c r="R133" s="498"/>
      <c r="S133" s="498"/>
      <c r="T133" s="498"/>
      <c r="U133" s="498"/>
      <c r="V133" s="498"/>
      <c r="W133" s="464"/>
      <c r="X133" s="499"/>
      <c r="Y133" s="464"/>
      <c r="Z133" s="499"/>
      <c r="AA133" s="464"/>
      <c r="AB133" s="499"/>
      <c r="AC133" s="464"/>
      <c r="AD133" s="482"/>
      <c r="AE133" s="464"/>
      <c r="AF133" s="499"/>
      <c r="AG133" s="499"/>
      <c r="AH133" s="499"/>
      <c r="AI133" s="499"/>
      <c r="AJ133" s="499"/>
      <c r="AK133" s="499"/>
      <c r="AL133" s="499"/>
      <c r="AM133" s="499"/>
      <c r="AN133" s="499"/>
      <c r="AO133" s="499"/>
      <c r="AP133" s="499"/>
      <c r="AQ133" s="499"/>
      <c r="AR133" s="499"/>
      <c r="AS133" s="499"/>
      <c r="AT133" s="499"/>
      <c r="AU133" s="499"/>
      <c r="AV133" s="499"/>
      <c r="AW133" s="499"/>
      <c r="AX133" s="499"/>
      <c r="AY133" s="499"/>
      <c r="AZ133" s="499"/>
      <c r="BA133" s="499"/>
      <c r="BB133" s="499"/>
      <c r="BC133" s="499"/>
      <c r="BD133" s="499"/>
      <c r="BE133" s="499"/>
      <c r="BF133" s="499"/>
      <c r="BG133" s="499"/>
      <c r="BH133" s="499"/>
      <c r="BI133" s="499"/>
      <c r="BJ133" s="499"/>
      <c r="BK133" s="499"/>
      <c r="BL133" s="499"/>
      <c r="BM133" s="499"/>
      <c r="BN133" s="499"/>
      <c r="BO133" s="499"/>
      <c r="BP133" s="499"/>
      <c r="BQ133" s="499"/>
      <c r="BR133" s="499"/>
      <c r="BS133" s="499"/>
      <c r="BT133" s="499"/>
      <c r="BU133" s="499"/>
      <c r="BV133" s="499"/>
      <c r="BW133" s="499"/>
      <c r="BX133" s="499"/>
      <c r="BY133" s="499"/>
      <c r="BZ133" s="499"/>
      <c r="CA133" s="499"/>
      <c r="CB133" s="499"/>
      <c r="CC133" s="499"/>
      <c r="CD133" s="499"/>
      <c r="CE133" s="499"/>
      <c r="CF133" s="499"/>
      <c r="CG133" s="499"/>
      <c r="CH133" s="499"/>
      <c r="CI133" s="499"/>
      <c r="CJ133" s="499"/>
      <c r="CK133" s="499"/>
      <c r="CL133" s="499"/>
      <c r="CM133" s="499"/>
      <c r="CN133" s="499"/>
      <c r="CO133" s="499"/>
      <c r="CP133" s="499"/>
      <c r="CQ133" s="499"/>
      <c r="CR133" s="499"/>
      <c r="CS133" s="499"/>
      <c r="CT133" s="499"/>
      <c r="CU133" s="499"/>
      <c r="CV133" s="499"/>
      <c r="CW133" s="499"/>
      <c r="CX133" s="499"/>
      <c r="CY133" s="499"/>
      <c r="CZ133" s="499"/>
      <c r="DA133" s="499"/>
      <c r="DB133" s="499"/>
      <c r="DC133" s="499"/>
      <c r="DD133" s="499"/>
      <c r="DE133" s="499"/>
      <c r="DF133" s="499"/>
      <c r="DG133" s="499"/>
      <c r="DH133" s="499"/>
      <c r="DI133" s="499"/>
      <c r="DJ133" s="499"/>
      <c r="DK133" s="499"/>
      <c r="DL133" s="499"/>
      <c r="DM133" s="499"/>
      <c r="DN133" s="499"/>
      <c r="DO133" s="499"/>
      <c r="DP133" s="499"/>
      <c r="DQ133" s="499"/>
      <c r="DR133" s="499"/>
      <c r="DS133" s="499"/>
      <c r="DT133" s="499"/>
      <c r="DU133" s="499"/>
      <c r="DV133" s="499"/>
      <c r="DW133" s="499"/>
      <c r="DX133" s="499"/>
      <c r="DY133" s="499"/>
      <c r="DZ133" s="499"/>
      <c r="EA133" s="499"/>
      <c r="EB133" s="499"/>
      <c r="EC133" s="499"/>
      <c r="ED133" s="499"/>
      <c r="EE133" s="499"/>
      <c r="EF133" s="499"/>
      <c r="EG133" s="499"/>
      <c r="EH133" s="499"/>
      <c r="EI133" s="499"/>
      <c r="EJ133" s="499"/>
      <c r="EK133" s="499"/>
      <c r="EL133" s="499"/>
      <c r="EM133" s="499"/>
      <c r="EN133" s="499"/>
      <c r="EO133" s="499"/>
      <c r="EP133" s="499"/>
      <c r="EQ133" s="499"/>
      <c r="ER133" s="499"/>
      <c r="ES133" s="499"/>
      <c r="ET133" s="499"/>
      <c r="EU133" s="499"/>
      <c r="EV133" s="512"/>
      <c r="EW133" s="513"/>
      <c r="EX133" s="512"/>
      <c r="EY133" s="513"/>
      <c r="EZ133" s="510"/>
      <c r="FA133" s="510"/>
      <c r="FB133" s="516">
        <v>25000</v>
      </c>
      <c r="FC133" s="516">
        <f t="shared" ref="FC133:FC137" si="69">+FB133*E133</f>
        <v>25000</v>
      </c>
      <c r="FD133" s="517">
        <v>32000</v>
      </c>
      <c r="FE133" s="517">
        <f t="shared" ref="FE133:FE137" si="70">+FD133*E133</f>
        <v>32000</v>
      </c>
      <c r="FF133" s="500">
        <f t="shared" si="66"/>
        <v>28500</v>
      </c>
      <c r="FG133" s="500">
        <f t="shared" si="67"/>
        <v>28500</v>
      </c>
      <c r="FH133" s="501">
        <f t="shared" si="68"/>
        <v>4949.7474683058326</v>
      </c>
      <c r="FI133" s="476">
        <f t="shared" si="45"/>
        <v>0.17367534976511692</v>
      </c>
      <c r="FJ133" s="502">
        <f t="shared" si="46"/>
        <v>28500</v>
      </c>
      <c r="FK133" s="469">
        <f t="shared" si="48"/>
        <v>28500</v>
      </c>
      <c r="FL133" s="467" t="s">
        <v>621</v>
      </c>
      <c r="FM133" s="470"/>
    </row>
    <row r="134" spans="1:170" ht="54" x14ac:dyDescent="0.35">
      <c r="A134" s="506">
        <v>130</v>
      </c>
      <c r="B134" s="514" t="s">
        <v>881</v>
      </c>
      <c r="C134" s="514" t="s">
        <v>882</v>
      </c>
      <c r="D134" s="519" t="s">
        <v>872</v>
      </c>
      <c r="E134" s="458">
        <v>1</v>
      </c>
      <c r="F134" s="497"/>
      <c r="G134" s="497"/>
      <c r="H134" s="497"/>
      <c r="I134" s="497"/>
      <c r="J134" s="497"/>
      <c r="K134" s="497"/>
      <c r="L134" s="498"/>
      <c r="M134" s="498"/>
      <c r="N134" s="498"/>
      <c r="O134" s="498"/>
      <c r="P134" s="498"/>
      <c r="Q134" s="498"/>
      <c r="R134" s="498"/>
      <c r="S134" s="498"/>
      <c r="T134" s="498"/>
      <c r="U134" s="498"/>
      <c r="V134" s="498"/>
      <c r="W134" s="464"/>
      <c r="X134" s="499"/>
      <c r="Y134" s="464"/>
      <c r="Z134" s="499"/>
      <c r="AA134" s="464"/>
      <c r="AB134" s="499"/>
      <c r="AC134" s="464"/>
      <c r="AD134" s="482"/>
      <c r="AE134" s="464"/>
      <c r="AF134" s="499"/>
      <c r="AG134" s="499"/>
      <c r="AH134" s="499"/>
      <c r="AI134" s="499"/>
      <c r="AJ134" s="499"/>
      <c r="AK134" s="499"/>
      <c r="AL134" s="499"/>
      <c r="AM134" s="499"/>
      <c r="AN134" s="499"/>
      <c r="AO134" s="499"/>
      <c r="AP134" s="499"/>
      <c r="AQ134" s="499"/>
      <c r="AR134" s="499"/>
      <c r="AS134" s="499"/>
      <c r="AT134" s="499"/>
      <c r="AU134" s="499"/>
      <c r="AV134" s="499"/>
      <c r="AW134" s="499"/>
      <c r="AX134" s="499"/>
      <c r="AY134" s="499"/>
      <c r="AZ134" s="499"/>
      <c r="BA134" s="499"/>
      <c r="BB134" s="499"/>
      <c r="BC134" s="499"/>
      <c r="BD134" s="499"/>
      <c r="BE134" s="499"/>
      <c r="BF134" s="499"/>
      <c r="BG134" s="499"/>
      <c r="BH134" s="499"/>
      <c r="BI134" s="499"/>
      <c r="BJ134" s="499"/>
      <c r="BK134" s="499"/>
      <c r="BL134" s="499"/>
      <c r="BM134" s="499"/>
      <c r="BN134" s="499"/>
      <c r="BO134" s="499"/>
      <c r="BP134" s="499"/>
      <c r="BQ134" s="499"/>
      <c r="BR134" s="499"/>
      <c r="BS134" s="499"/>
      <c r="BT134" s="499"/>
      <c r="BU134" s="499"/>
      <c r="BV134" s="499"/>
      <c r="BW134" s="499"/>
      <c r="BX134" s="499"/>
      <c r="BY134" s="499"/>
      <c r="BZ134" s="499"/>
      <c r="CA134" s="499"/>
      <c r="CB134" s="499"/>
      <c r="CC134" s="499"/>
      <c r="CD134" s="499"/>
      <c r="CE134" s="499"/>
      <c r="CF134" s="499"/>
      <c r="CG134" s="499"/>
      <c r="CH134" s="499"/>
      <c r="CI134" s="499"/>
      <c r="CJ134" s="499"/>
      <c r="CK134" s="499"/>
      <c r="CL134" s="499"/>
      <c r="CM134" s="499"/>
      <c r="CN134" s="499"/>
      <c r="CO134" s="499"/>
      <c r="CP134" s="499"/>
      <c r="CQ134" s="499"/>
      <c r="CR134" s="499"/>
      <c r="CS134" s="499"/>
      <c r="CT134" s="499"/>
      <c r="CU134" s="499"/>
      <c r="CV134" s="499"/>
      <c r="CW134" s="499"/>
      <c r="CX134" s="499"/>
      <c r="CY134" s="499"/>
      <c r="CZ134" s="499"/>
      <c r="DA134" s="499"/>
      <c r="DB134" s="499"/>
      <c r="DC134" s="499"/>
      <c r="DD134" s="499"/>
      <c r="DE134" s="499"/>
      <c r="DF134" s="499"/>
      <c r="DG134" s="499"/>
      <c r="DH134" s="499"/>
      <c r="DI134" s="499"/>
      <c r="DJ134" s="499"/>
      <c r="DK134" s="499"/>
      <c r="DL134" s="499"/>
      <c r="DM134" s="499"/>
      <c r="DN134" s="499"/>
      <c r="DO134" s="499"/>
      <c r="DP134" s="499"/>
      <c r="DQ134" s="499"/>
      <c r="DR134" s="499"/>
      <c r="DS134" s="499"/>
      <c r="DT134" s="499"/>
      <c r="DU134" s="499"/>
      <c r="DV134" s="499"/>
      <c r="DW134" s="499"/>
      <c r="DX134" s="499"/>
      <c r="DY134" s="499"/>
      <c r="DZ134" s="499"/>
      <c r="EA134" s="499"/>
      <c r="EB134" s="499"/>
      <c r="EC134" s="499"/>
      <c r="ED134" s="499"/>
      <c r="EE134" s="499"/>
      <c r="EF134" s="499"/>
      <c r="EG134" s="499"/>
      <c r="EH134" s="499"/>
      <c r="EI134" s="499"/>
      <c r="EJ134" s="499"/>
      <c r="EK134" s="499"/>
      <c r="EL134" s="499"/>
      <c r="EM134" s="499"/>
      <c r="EN134" s="499"/>
      <c r="EO134" s="499"/>
      <c r="EP134" s="499"/>
      <c r="EQ134" s="499"/>
      <c r="ER134" s="499"/>
      <c r="ES134" s="499"/>
      <c r="ET134" s="499"/>
      <c r="EU134" s="499"/>
      <c r="EV134" s="512"/>
      <c r="EW134" s="513"/>
      <c r="EX134" s="512"/>
      <c r="EY134" s="513"/>
      <c r="EZ134" s="510"/>
      <c r="FA134" s="510"/>
      <c r="FB134" s="516">
        <v>80000</v>
      </c>
      <c r="FC134" s="516">
        <f t="shared" si="69"/>
        <v>80000</v>
      </c>
      <c r="FD134" s="517">
        <v>100000</v>
      </c>
      <c r="FE134" s="517">
        <f t="shared" si="70"/>
        <v>100000</v>
      </c>
      <c r="FF134" s="500">
        <f t="shared" si="66"/>
        <v>90000</v>
      </c>
      <c r="FG134" s="500">
        <f t="shared" si="67"/>
        <v>90000</v>
      </c>
      <c r="FH134" s="501">
        <f t="shared" si="68"/>
        <v>14142.13562373095</v>
      </c>
      <c r="FI134" s="476">
        <f t="shared" si="45"/>
        <v>0.15713484026367722</v>
      </c>
      <c r="FJ134" s="502">
        <f t="shared" si="46"/>
        <v>90000</v>
      </c>
      <c r="FK134" s="469">
        <f t="shared" si="48"/>
        <v>90000</v>
      </c>
      <c r="FL134" s="467" t="s">
        <v>621</v>
      </c>
      <c r="FM134" s="470"/>
    </row>
    <row r="135" spans="1:170" ht="54" x14ac:dyDescent="0.35">
      <c r="A135" s="506">
        <v>131</v>
      </c>
      <c r="B135" s="520" t="s">
        <v>883</v>
      </c>
      <c r="C135" s="520" t="s">
        <v>884</v>
      </c>
      <c r="D135" s="521" t="s">
        <v>872</v>
      </c>
      <c r="E135" s="458">
        <v>1</v>
      </c>
      <c r="F135" s="497"/>
      <c r="G135" s="497"/>
      <c r="H135" s="497"/>
      <c r="I135" s="497"/>
      <c r="J135" s="497"/>
      <c r="K135" s="497"/>
      <c r="L135" s="498"/>
      <c r="M135" s="498"/>
      <c r="N135" s="498"/>
      <c r="O135" s="498"/>
      <c r="P135" s="498"/>
      <c r="Q135" s="498"/>
      <c r="R135" s="498"/>
      <c r="S135" s="498"/>
      <c r="T135" s="498"/>
      <c r="U135" s="498"/>
      <c r="V135" s="498"/>
      <c r="W135" s="464"/>
      <c r="X135" s="499"/>
      <c r="Y135" s="464"/>
      <c r="Z135" s="499"/>
      <c r="AA135" s="464"/>
      <c r="AB135" s="499"/>
      <c r="AC135" s="464"/>
      <c r="AD135" s="482"/>
      <c r="AE135" s="464"/>
      <c r="AF135" s="499"/>
      <c r="AG135" s="499"/>
      <c r="AH135" s="499"/>
      <c r="AI135" s="499"/>
      <c r="AJ135" s="499"/>
      <c r="AK135" s="499"/>
      <c r="AL135" s="499"/>
      <c r="AM135" s="499"/>
      <c r="AN135" s="499"/>
      <c r="AO135" s="499"/>
      <c r="AP135" s="499"/>
      <c r="AQ135" s="499"/>
      <c r="AR135" s="499"/>
      <c r="AS135" s="499"/>
      <c r="AT135" s="499"/>
      <c r="AU135" s="499"/>
      <c r="AV135" s="499"/>
      <c r="AW135" s="499"/>
      <c r="AX135" s="499"/>
      <c r="AY135" s="499"/>
      <c r="AZ135" s="499"/>
      <c r="BA135" s="499"/>
      <c r="BB135" s="499"/>
      <c r="BC135" s="499"/>
      <c r="BD135" s="499"/>
      <c r="BE135" s="499"/>
      <c r="BF135" s="499"/>
      <c r="BG135" s="499"/>
      <c r="BH135" s="499"/>
      <c r="BI135" s="499"/>
      <c r="BJ135" s="499"/>
      <c r="BK135" s="499"/>
      <c r="BL135" s="499"/>
      <c r="BM135" s="499"/>
      <c r="BN135" s="499"/>
      <c r="BO135" s="499"/>
      <c r="BP135" s="499"/>
      <c r="BQ135" s="499"/>
      <c r="BR135" s="499"/>
      <c r="BS135" s="499"/>
      <c r="BT135" s="499"/>
      <c r="BU135" s="499"/>
      <c r="BV135" s="499"/>
      <c r="BW135" s="499"/>
      <c r="BX135" s="499"/>
      <c r="BY135" s="499"/>
      <c r="BZ135" s="499"/>
      <c r="CA135" s="499"/>
      <c r="CB135" s="499"/>
      <c r="CC135" s="499"/>
      <c r="CD135" s="499"/>
      <c r="CE135" s="499"/>
      <c r="CF135" s="499"/>
      <c r="CG135" s="499"/>
      <c r="CH135" s="499"/>
      <c r="CI135" s="499"/>
      <c r="CJ135" s="499"/>
      <c r="CK135" s="499"/>
      <c r="CL135" s="499"/>
      <c r="CM135" s="499"/>
      <c r="CN135" s="499"/>
      <c r="CO135" s="499"/>
      <c r="CP135" s="499"/>
      <c r="CQ135" s="499"/>
      <c r="CR135" s="499"/>
      <c r="CS135" s="499"/>
      <c r="CT135" s="499"/>
      <c r="CU135" s="499"/>
      <c r="CV135" s="499"/>
      <c r="CW135" s="499"/>
      <c r="CX135" s="499"/>
      <c r="CY135" s="499"/>
      <c r="CZ135" s="499"/>
      <c r="DA135" s="499"/>
      <c r="DB135" s="499"/>
      <c r="DC135" s="499"/>
      <c r="DD135" s="499"/>
      <c r="DE135" s="499"/>
      <c r="DF135" s="499"/>
      <c r="DG135" s="499"/>
      <c r="DH135" s="499"/>
      <c r="DI135" s="499"/>
      <c r="DJ135" s="499"/>
      <c r="DK135" s="499"/>
      <c r="DL135" s="499"/>
      <c r="DM135" s="499"/>
      <c r="DN135" s="499"/>
      <c r="DO135" s="499"/>
      <c r="DP135" s="499"/>
      <c r="DQ135" s="499"/>
      <c r="DR135" s="499"/>
      <c r="DS135" s="499"/>
      <c r="DT135" s="499"/>
      <c r="DU135" s="499"/>
      <c r="DV135" s="499"/>
      <c r="DW135" s="499"/>
      <c r="DX135" s="499"/>
      <c r="DY135" s="499"/>
      <c r="DZ135" s="499"/>
      <c r="EA135" s="499"/>
      <c r="EB135" s="499"/>
      <c r="EC135" s="499"/>
      <c r="ED135" s="499"/>
      <c r="EE135" s="499"/>
      <c r="EF135" s="499"/>
      <c r="EG135" s="499"/>
      <c r="EH135" s="499"/>
      <c r="EI135" s="499"/>
      <c r="EJ135" s="499"/>
      <c r="EK135" s="499"/>
      <c r="EL135" s="499"/>
      <c r="EM135" s="499"/>
      <c r="EN135" s="499"/>
      <c r="EO135" s="499"/>
      <c r="EP135" s="499"/>
      <c r="EQ135" s="499"/>
      <c r="ER135" s="499"/>
      <c r="ES135" s="499"/>
      <c r="ET135" s="499"/>
      <c r="EU135" s="499"/>
      <c r="EV135" s="512"/>
      <c r="EW135" s="513"/>
      <c r="EX135" s="512"/>
      <c r="EY135" s="513"/>
      <c r="EZ135" s="510"/>
      <c r="FA135" s="510"/>
      <c r="FB135" s="516">
        <v>40000</v>
      </c>
      <c r="FC135" s="516">
        <f t="shared" si="69"/>
        <v>40000</v>
      </c>
      <c r="FD135" s="517">
        <v>43000</v>
      </c>
      <c r="FE135" s="517">
        <f t="shared" si="70"/>
        <v>43000</v>
      </c>
      <c r="FF135" s="500">
        <f t="shared" si="66"/>
        <v>41500</v>
      </c>
      <c r="FG135" s="500">
        <f t="shared" si="67"/>
        <v>41500</v>
      </c>
      <c r="FH135" s="501">
        <f t="shared" si="68"/>
        <v>2121.3203435596424</v>
      </c>
      <c r="FI135" s="476">
        <f t="shared" si="45"/>
        <v>5.1116152856858853E-2</v>
      </c>
      <c r="FJ135" s="502">
        <f t="shared" si="46"/>
        <v>41500</v>
      </c>
      <c r="FK135" s="469">
        <f t="shared" si="48"/>
        <v>41500</v>
      </c>
      <c r="FL135" s="467" t="s">
        <v>621</v>
      </c>
      <c r="FM135" s="470"/>
    </row>
    <row r="136" spans="1:170" ht="29" x14ac:dyDescent="0.35">
      <c r="A136" s="506">
        <v>132</v>
      </c>
      <c r="B136" s="520" t="s">
        <v>885</v>
      </c>
      <c r="C136" s="520" t="s">
        <v>886</v>
      </c>
      <c r="D136" s="521" t="s">
        <v>872</v>
      </c>
      <c r="E136" s="458">
        <v>1</v>
      </c>
      <c r="F136" s="497"/>
      <c r="G136" s="497"/>
      <c r="H136" s="497"/>
      <c r="I136" s="497"/>
      <c r="J136" s="497"/>
      <c r="K136" s="497"/>
      <c r="L136" s="498"/>
      <c r="M136" s="498"/>
      <c r="N136" s="498"/>
      <c r="O136" s="498"/>
      <c r="P136" s="498"/>
      <c r="Q136" s="498"/>
      <c r="R136" s="498"/>
      <c r="S136" s="498"/>
      <c r="T136" s="498"/>
      <c r="U136" s="498"/>
      <c r="V136" s="498"/>
      <c r="W136" s="464"/>
      <c r="X136" s="499"/>
      <c r="Y136" s="464"/>
      <c r="Z136" s="499"/>
      <c r="AA136" s="464"/>
      <c r="AB136" s="499"/>
      <c r="AC136" s="464"/>
      <c r="AD136" s="482"/>
      <c r="AE136" s="464"/>
      <c r="AF136" s="499"/>
      <c r="AG136" s="499"/>
      <c r="AH136" s="499"/>
      <c r="AI136" s="499"/>
      <c r="AJ136" s="499"/>
      <c r="AK136" s="499"/>
      <c r="AL136" s="499"/>
      <c r="AM136" s="499"/>
      <c r="AN136" s="499"/>
      <c r="AO136" s="499"/>
      <c r="AP136" s="499"/>
      <c r="AQ136" s="499"/>
      <c r="AR136" s="499"/>
      <c r="AS136" s="499"/>
      <c r="AT136" s="499"/>
      <c r="AU136" s="499"/>
      <c r="AV136" s="499"/>
      <c r="AW136" s="499"/>
      <c r="AX136" s="499"/>
      <c r="AY136" s="499"/>
      <c r="AZ136" s="499"/>
      <c r="BA136" s="499"/>
      <c r="BB136" s="499"/>
      <c r="BC136" s="499"/>
      <c r="BD136" s="499"/>
      <c r="BE136" s="499"/>
      <c r="BF136" s="499"/>
      <c r="BG136" s="499"/>
      <c r="BH136" s="499"/>
      <c r="BI136" s="499"/>
      <c r="BJ136" s="499"/>
      <c r="BK136" s="499"/>
      <c r="BL136" s="499"/>
      <c r="BM136" s="499"/>
      <c r="BN136" s="499"/>
      <c r="BO136" s="499"/>
      <c r="BP136" s="499"/>
      <c r="BQ136" s="499"/>
      <c r="BR136" s="499"/>
      <c r="BS136" s="499"/>
      <c r="BT136" s="499"/>
      <c r="BU136" s="499"/>
      <c r="BV136" s="499"/>
      <c r="BW136" s="499"/>
      <c r="BX136" s="499"/>
      <c r="BY136" s="499"/>
      <c r="BZ136" s="499"/>
      <c r="CA136" s="499"/>
      <c r="CB136" s="499"/>
      <c r="CC136" s="499"/>
      <c r="CD136" s="499"/>
      <c r="CE136" s="499"/>
      <c r="CF136" s="499"/>
      <c r="CG136" s="499"/>
      <c r="CH136" s="499"/>
      <c r="CI136" s="499"/>
      <c r="CJ136" s="499"/>
      <c r="CK136" s="499"/>
      <c r="CL136" s="499"/>
      <c r="CM136" s="499"/>
      <c r="CN136" s="499"/>
      <c r="CO136" s="499"/>
      <c r="CP136" s="499"/>
      <c r="CQ136" s="499"/>
      <c r="CR136" s="499"/>
      <c r="CS136" s="499"/>
      <c r="CT136" s="499"/>
      <c r="CU136" s="499"/>
      <c r="CV136" s="499"/>
      <c r="CW136" s="499"/>
      <c r="CX136" s="499"/>
      <c r="CY136" s="499"/>
      <c r="CZ136" s="499"/>
      <c r="DA136" s="499"/>
      <c r="DB136" s="499"/>
      <c r="DC136" s="499"/>
      <c r="DD136" s="499"/>
      <c r="DE136" s="499"/>
      <c r="DF136" s="499"/>
      <c r="DG136" s="499"/>
      <c r="DH136" s="499"/>
      <c r="DI136" s="499"/>
      <c r="DJ136" s="499"/>
      <c r="DK136" s="499"/>
      <c r="DL136" s="499"/>
      <c r="DM136" s="499"/>
      <c r="DN136" s="499"/>
      <c r="DO136" s="499"/>
      <c r="DP136" s="499"/>
      <c r="DQ136" s="499"/>
      <c r="DR136" s="499"/>
      <c r="DS136" s="499"/>
      <c r="DT136" s="499"/>
      <c r="DU136" s="499"/>
      <c r="DV136" s="499"/>
      <c r="DW136" s="499"/>
      <c r="DX136" s="499"/>
      <c r="DY136" s="499"/>
      <c r="DZ136" s="499"/>
      <c r="EA136" s="499"/>
      <c r="EB136" s="499"/>
      <c r="EC136" s="499"/>
      <c r="ED136" s="499"/>
      <c r="EE136" s="499"/>
      <c r="EF136" s="499"/>
      <c r="EG136" s="499"/>
      <c r="EH136" s="499"/>
      <c r="EI136" s="499"/>
      <c r="EJ136" s="499"/>
      <c r="EK136" s="499"/>
      <c r="EL136" s="499"/>
      <c r="EM136" s="499"/>
      <c r="EN136" s="499"/>
      <c r="EO136" s="499"/>
      <c r="EP136" s="499"/>
      <c r="EQ136" s="499"/>
      <c r="ER136" s="499"/>
      <c r="ES136" s="499"/>
      <c r="ET136" s="499"/>
      <c r="EU136" s="499"/>
      <c r="EV136" s="512"/>
      <c r="EW136" s="513"/>
      <c r="EX136" s="512"/>
      <c r="EY136" s="513"/>
      <c r="EZ136" s="510"/>
      <c r="FA136" s="510"/>
      <c r="FB136" s="516">
        <v>70000</v>
      </c>
      <c r="FC136" s="516">
        <f t="shared" si="69"/>
        <v>70000</v>
      </c>
      <c r="FD136" s="517">
        <v>89000</v>
      </c>
      <c r="FE136" s="517">
        <f t="shared" si="70"/>
        <v>89000</v>
      </c>
      <c r="FF136" s="500">
        <f t="shared" si="66"/>
        <v>79500</v>
      </c>
      <c r="FG136" s="500">
        <f t="shared" si="67"/>
        <v>79500</v>
      </c>
      <c r="FH136" s="501">
        <f t="shared" si="68"/>
        <v>13435.028842544403</v>
      </c>
      <c r="FI136" s="476">
        <f t="shared" si="45"/>
        <v>0.16899407349112458</v>
      </c>
      <c r="FJ136" s="502">
        <f t="shared" si="46"/>
        <v>79500</v>
      </c>
      <c r="FK136" s="469">
        <f t="shared" si="48"/>
        <v>79500</v>
      </c>
      <c r="FL136" s="467" t="s">
        <v>621</v>
      </c>
      <c r="FM136" s="470"/>
    </row>
    <row r="137" spans="1:170" ht="40.5" x14ac:dyDescent="0.35">
      <c r="A137" s="506">
        <v>133</v>
      </c>
      <c r="B137" s="514" t="s">
        <v>887</v>
      </c>
      <c r="C137" s="518" t="s">
        <v>888</v>
      </c>
      <c r="D137" s="515" t="s">
        <v>889</v>
      </c>
      <c r="E137" s="458">
        <v>1</v>
      </c>
      <c r="F137" s="497"/>
      <c r="G137" s="497"/>
      <c r="H137" s="497"/>
      <c r="I137" s="497"/>
      <c r="J137" s="497"/>
      <c r="K137" s="497"/>
      <c r="L137" s="498"/>
      <c r="M137" s="498"/>
      <c r="N137" s="498"/>
      <c r="O137" s="498"/>
      <c r="P137" s="498"/>
      <c r="Q137" s="498"/>
      <c r="R137" s="498"/>
      <c r="S137" s="498"/>
      <c r="T137" s="498"/>
      <c r="U137" s="498"/>
      <c r="V137" s="498"/>
      <c r="W137" s="464"/>
      <c r="X137" s="499"/>
      <c r="Y137" s="464"/>
      <c r="Z137" s="499"/>
      <c r="AA137" s="464"/>
      <c r="AB137" s="499"/>
      <c r="AC137" s="464"/>
      <c r="AD137" s="482"/>
      <c r="AE137" s="464"/>
      <c r="AF137" s="499"/>
      <c r="AG137" s="499"/>
      <c r="AH137" s="499"/>
      <c r="AI137" s="499"/>
      <c r="AJ137" s="499"/>
      <c r="AK137" s="499"/>
      <c r="AL137" s="499"/>
      <c r="AM137" s="499"/>
      <c r="AN137" s="499"/>
      <c r="AO137" s="499"/>
      <c r="AP137" s="499"/>
      <c r="AQ137" s="499"/>
      <c r="AR137" s="499"/>
      <c r="AS137" s="499"/>
      <c r="AT137" s="499"/>
      <c r="AU137" s="499"/>
      <c r="AV137" s="499"/>
      <c r="AW137" s="499"/>
      <c r="AX137" s="499"/>
      <c r="AY137" s="499"/>
      <c r="AZ137" s="499"/>
      <c r="BA137" s="499"/>
      <c r="BB137" s="499"/>
      <c r="BC137" s="499"/>
      <c r="BD137" s="499"/>
      <c r="BE137" s="499"/>
      <c r="BF137" s="499"/>
      <c r="BG137" s="499"/>
      <c r="BH137" s="499"/>
      <c r="BI137" s="499"/>
      <c r="BJ137" s="499"/>
      <c r="BK137" s="499"/>
      <c r="BL137" s="499"/>
      <c r="BM137" s="499"/>
      <c r="BN137" s="499"/>
      <c r="BO137" s="499"/>
      <c r="BP137" s="499"/>
      <c r="BQ137" s="499"/>
      <c r="BR137" s="499"/>
      <c r="BS137" s="499"/>
      <c r="BT137" s="499"/>
      <c r="BU137" s="499"/>
      <c r="BV137" s="499"/>
      <c r="BW137" s="499"/>
      <c r="BX137" s="499"/>
      <c r="BY137" s="499"/>
      <c r="BZ137" s="499"/>
      <c r="CA137" s="499"/>
      <c r="CB137" s="499"/>
      <c r="CC137" s="499"/>
      <c r="CD137" s="499"/>
      <c r="CE137" s="499"/>
      <c r="CF137" s="499"/>
      <c r="CG137" s="499"/>
      <c r="CH137" s="499"/>
      <c r="CI137" s="499"/>
      <c r="CJ137" s="499"/>
      <c r="CK137" s="499"/>
      <c r="CL137" s="499"/>
      <c r="CM137" s="499"/>
      <c r="CN137" s="499"/>
      <c r="CO137" s="499"/>
      <c r="CP137" s="499"/>
      <c r="CQ137" s="499"/>
      <c r="CR137" s="499"/>
      <c r="CS137" s="499"/>
      <c r="CT137" s="499"/>
      <c r="CU137" s="499"/>
      <c r="CV137" s="499"/>
      <c r="CW137" s="499"/>
      <c r="CX137" s="499"/>
      <c r="CY137" s="499"/>
      <c r="CZ137" s="499"/>
      <c r="DA137" s="499"/>
      <c r="DB137" s="499"/>
      <c r="DC137" s="499"/>
      <c r="DD137" s="499"/>
      <c r="DE137" s="499"/>
      <c r="DF137" s="499"/>
      <c r="DG137" s="499"/>
      <c r="DH137" s="499"/>
      <c r="DI137" s="499"/>
      <c r="DJ137" s="499"/>
      <c r="DK137" s="499"/>
      <c r="DL137" s="499"/>
      <c r="DM137" s="499"/>
      <c r="DN137" s="499"/>
      <c r="DO137" s="499"/>
      <c r="DP137" s="499"/>
      <c r="DQ137" s="499"/>
      <c r="DR137" s="499"/>
      <c r="DS137" s="499"/>
      <c r="DT137" s="499"/>
      <c r="DU137" s="499"/>
      <c r="DV137" s="499"/>
      <c r="DW137" s="499"/>
      <c r="DX137" s="499"/>
      <c r="DY137" s="499"/>
      <c r="DZ137" s="499"/>
      <c r="EA137" s="499"/>
      <c r="EB137" s="499"/>
      <c r="EC137" s="499"/>
      <c r="ED137" s="499"/>
      <c r="EE137" s="499"/>
      <c r="EF137" s="499"/>
      <c r="EG137" s="499"/>
      <c r="EH137" s="499"/>
      <c r="EI137" s="499"/>
      <c r="EJ137" s="499"/>
      <c r="EK137" s="499"/>
      <c r="EL137" s="499"/>
      <c r="EM137" s="499"/>
      <c r="EN137" s="499"/>
      <c r="EO137" s="499"/>
      <c r="EP137" s="499"/>
      <c r="EQ137" s="499"/>
      <c r="ER137" s="499"/>
      <c r="ES137" s="499"/>
      <c r="ET137" s="499"/>
      <c r="EU137" s="499"/>
      <c r="EV137" s="512"/>
      <c r="EW137" s="513"/>
      <c r="EX137" s="512"/>
      <c r="EY137" s="513"/>
      <c r="EZ137" s="510"/>
      <c r="FA137" s="510"/>
      <c r="FB137" s="516">
        <v>25000</v>
      </c>
      <c r="FC137" s="516">
        <f t="shared" si="69"/>
        <v>25000</v>
      </c>
      <c r="FD137" s="517">
        <v>28000</v>
      </c>
      <c r="FE137" s="517">
        <f t="shared" si="70"/>
        <v>28000</v>
      </c>
      <c r="FF137" s="500">
        <f t="shared" si="66"/>
        <v>26500</v>
      </c>
      <c r="FG137" s="500">
        <f t="shared" si="67"/>
        <v>26500</v>
      </c>
      <c r="FH137" s="501">
        <f t="shared" si="68"/>
        <v>2121.3203435596424</v>
      </c>
      <c r="FI137" s="476">
        <f t="shared" si="45"/>
        <v>8.0049824285269522E-2</v>
      </c>
      <c r="FJ137" s="502">
        <f t="shared" si="46"/>
        <v>26500</v>
      </c>
      <c r="FK137" s="469">
        <f t="shared" si="48"/>
        <v>26500</v>
      </c>
      <c r="FL137" s="467" t="s">
        <v>621</v>
      </c>
      <c r="FM137" s="470"/>
    </row>
    <row r="138" spans="1:170" ht="15" thickBot="1" x14ac:dyDescent="0.4">
      <c r="A138" s="790" t="s">
        <v>68</v>
      </c>
      <c r="B138" s="791"/>
      <c r="C138" s="791"/>
      <c r="D138" s="791"/>
      <c r="E138" s="791"/>
      <c r="F138" s="522"/>
      <c r="G138" s="522"/>
      <c r="H138" s="522"/>
      <c r="I138" s="522"/>
      <c r="J138" s="522"/>
      <c r="K138" s="522"/>
      <c r="L138" s="522"/>
      <c r="M138" s="522"/>
      <c r="N138" s="522"/>
      <c r="O138" s="522"/>
      <c r="P138" s="522"/>
      <c r="Q138" s="522"/>
      <c r="R138" s="522"/>
      <c r="S138" s="522"/>
      <c r="T138" s="522"/>
      <c r="U138" s="522"/>
      <c r="V138" s="522"/>
      <c r="W138" s="522"/>
      <c r="X138" s="522"/>
      <c r="Y138" s="523">
        <f t="shared" ref="Y138" si="71">+X138*E138</f>
        <v>0</v>
      </c>
      <c r="Z138" s="523"/>
      <c r="AA138" s="523"/>
      <c r="AB138" s="523"/>
      <c r="AC138" s="523"/>
      <c r="AD138" s="523"/>
      <c r="AE138" s="523"/>
      <c r="AF138" s="523"/>
      <c r="AG138" s="523"/>
      <c r="AH138" s="523"/>
      <c r="AI138" s="523"/>
      <c r="AJ138" s="523"/>
      <c r="AK138" s="523"/>
      <c r="AL138" s="523"/>
      <c r="AM138" s="523"/>
      <c r="AN138" s="523"/>
      <c r="AO138" s="523"/>
      <c r="AP138" s="523"/>
      <c r="AQ138" s="523"/>
      <c r="AR138" s="523"/>
      <c r="AS138" s="523"/>
      <c r="AT138" s="523"/>
      <c r="AU138" s="523"/>
      <c r="AV138" s="523"/>
      <c r="AW138" s="523"/>
      <c r="AX138" s="523"/>
      <c r="AY138" s="523"/>
      <c r="AZ138" s="523"/>
      <c r="BA138" s="523"/>
      <c r="BB138" s="523"/>
      <c r="BC138" s="523"/>
      <c r="BD138" s="523"/>
      <c r="BE138" s="523"/>
      <c r="BF138" s="523"/>
      <c r="BG138" s="523"/>
      <c r="BH138" s="523"/>
      <c r="BI138" s="523"/>
      <c r="BJ138" s="523"/>
      <c r="BK138" s="523"/>
      <c r="BL138" s="523"/>
      <c r="BM138" s="523"/>
      <c r="BN138" s="523"/>
      <c r="BO138" s="523"/>
      <c r="BP138" s="523"/>
      <c r="BQ138" s="523"/>
      <c r="BR138" s="523"/>
      <c r="BS138" s="523"/>
      <c r="BT138" s="523"/>
      <c r="BU138" s="523"/>
      <c r="BV138" s="523"/>
      <c r="BW138" s="523"/>
      <c r="BX138" s="523"/>
      <c r="BY138" s="523"/>
      <c r="BZ138" s="523"/>
      <c r="CA138" s="523"/>
      <c r="CB138" s="523"/>
      <c r="CC138" s="523"/>
      <c r="CD138" s="523"/>
      <c r="CE138" s="523"/>
      <c r="CF138" s="523"/>
      <c r="CG138" s="523"/>
      <c r="CH138" s="523"/>
      <c r="CI138" s="523"/>
      <c r="CJ138" s="523"/>
      <c r="CK138" s="523"/>
      <c r="CL138" s="523"/>
      <c r="CM138" s="523"/>
      <c r="CN138" s="523"/>
      <c r="CO138" s="523"/>
      <c r="CP138" s="523"/>
      <c r="CQ138" s="523"/>
      <c r="CR138" s="523"/>
      <c r="CS138" s="523"/>
      <c r="CT138" s="523"/>
      <c r="CU138" s="523"/>
      <c r="CV138" s="523"/>
      <c r="CW138" s="523"/>
      <c r="CX138" s="523"/>
      <c r="CY138" s="523"/>
      <c r="CZ138" s="523"/>
      <c r="DA138" s="523"/>
      <c r="DB138" s="523"/>
      <c r="DC138" s="523"/>
      <c r="DD138" s="523"/>
      <c r="DE138" s="523"/>
      <c r="DF138" s="523"/>
      <c r="DG138" s="523"/>
      <c r="DH138" s="523"/>
      <c r="DI138" s="523"/>
      <c r="DJ138" s="523"/>
      <c r="DK138" s="523"/>
      <c r="DL138" s="523"/>
      <c r="DM138" s="523"/>
      <c r="DN138" s="523"/>
      <c r="DO138" s="523"/>
      <c r="DP138" s="523"/>
      <c r="DQ138" s="523"/>
      <c r="DR138" s="523"/>
      <c r="DS138" s="523"/>
      <c r="DT138" s="523"/>
      <c r="DU138" s="523"/>
      <c r="DV138" s="523"/>
      <c r="DW138" s="523"/>
      <c r="DX138" s="523"/>
      <c r="DY138" s="523"/>
      <c r="DZ138" s="523"/>
      <c r="EA138" s="523"/>
      <c r="EB138" s="523"/>
      <c r="EC138" s="523"/>
      <c r="ED138" s="523"/>
      <c r="EE138" s="523"/>
      <c r="EF138" s="523"/>
      <c r="EG138" s="523"/>
      <c r="EH138" s="523"/>
      <c r="EI138" s="523"/>
      <c r="EJ138" s="523"/>
      <c r="EK138" s="523"/>
      <c r="EL138" s="523"/>
      <c r="EM138" s="523"/>
      <c r="EN138" s="523"/>
      <c r="EO138" s="523"/>
      <c r="EP138" s="523"/>
      <c r="EQ138" s="523"/>
      <c r="ER138" s="523"/>
      <c r="ES138" s="523"/>
      <c r="ET138" s="523"/>
      <c r="EU138" s="523"/>
      <c r="EV138" s="523"/>
      <c r="EW138" s="523"/>
      <c r="EX138" s="523"/>
      <c r="EY138" s="523"/>
      <c r="EZ138" s="523"/>
      <c r="FA138" s="523"/>
      <c r="FB138" s="523"/>
      <c r="FC138" s="523"/>
      <c r="FD138" s="523"/>
      <c r="FE138" s="523"/>
      <c r="FF138" s="524"/>
      <c r="FG138" s="524"/>
      <c r="FH138" s="524"/>
      <c r="FI138" s="524"/>
      <c r="FJ138" s="525">
        <f>+SUM(FJ5:FJ126)</f>
        <v>13423321</v>
      </c>
      <c r="FK138" s="525">
        <f>+SUM(FK5:FK126)</f>
        <v>13423321</v>
      </c>
      <c r="FL138" s="524"/>
      <c r="FN138" s="526"/>
    </row>
    <row r="140" spans="1:170" x14ac:dyDescent="0.35">
      <c r="A140" s="667" t="s">
        <v>890</v>
      </c>
      <c r="B140" s="667"/>
      <c r="C140" s="667"/>
      <c r="D140" s="667"/>
      <c r="E140" s="667"/>
      <c r="F140" s="667"/>
      <c r="G140" s="667"/>
      <c r="H140" s="667"/>
      <c r="I140" s="667"/>
      <c r="J140" s="667"/>
      <c r="K140" s="667"/>
      <c r="L140" s="667"/>
      <c r="M140" s="667"/>
      <c r="N140" s="667"/>
      <c r="O140" s="667"/>
      <c r="P140" s="667"/>
      <c r="Q140" s="667"/>
      <c r="R140" s="667"/>
      <c r="S140" s="667"/>
      <c r="T140" s="667"/>
      <c r="U140" s="667"/>
      <c r="V140" s="667"/>
      <c r="W140" s="667"/>
      <c r="X140" s="667"/>
      <c r="Y140" s="667"/>
      <c r="Z140" s="667"/>
      <c r="AA140" s="667"/>
      <c r="AB140" s="667"/>
      <c r="AC140" s="667"/>
      <c r="AD140" s="667"/>
      <c r="AE140" s="667"/>
      <c r="AF140" s="667"/>
      <c r="AG140" s="667"/>
      <c r="AH140" s="667"/>
      <c r="AI140" s="667"/>
      <c r="AJ140" s="667"/>
      <c r="AK140" s="667"/>
      <c r="AL140" s="667"/>
      <c r="AM140" s="667"/>
      <c r="AN140" s="667"/>
      <c r="AO140" s="667"/>
      <c r="AP140" s="667"/>
      <c r="AQ140" s="667"/>
      <c r="AR140" s="667"/>
      <c r="AS140" s="667"/>
      <c r="AT140" s="667"/>
      <c r="AU140" s="667"/>
      <c r="AV140" s="667"/>
      <c r="AW140" s="667"/>
      <c r="AX140" s="667"/>
    </row>
    <row r="141" spans="1:170" x14ac:dyDescent="0.35">
      <c r="A141" s="667"/>
      <c r="B141" s="667"/>
      <c r="C141" s="667"/>
      <c r="D141" s="667"/>
      <c r="E141" s="667"/>
      <c r="F141" s="667"/>
      <c r="G141" s="667"/>
      <c r="H141" s="667"/>
      <c r="I141" s="667"/>
      <c r="J141" s="667"/>
      <c r="K141" s="667"/>
      <c r="L141" s="667"/>
      <c r="M141" s="667"/>
      <c r="N141" s="667"/>
      <c r="O141" s="667"/>
      <c r="P141" s="667"/>
      <c r="Q141" s="667"/>
      <c r="R141" s="667"/>
      <c r="S141" s="667"/>
      <c r="T141" s="667"/>
      <c r="U141" s="667"/>
      <c r="V141" s="667"/>
      <c r="W141" s="667"/>
      <c r="X141" s="667"/>
      <c r="Y141" s="667"/>
      <c r="Z141" s="667"/>
      <c r="AA141" s="667"/>
      <c r="AB141" s="667"/>
      <c r="AC141" s="667"/>
      <c r="AD141" s="667"/>
      <c r="AE141" s="667"/>
      <c r="AF141" s="667"/>
      <c r="AG141" s="667"/>
      <c r="AH141" s="667"/>
      <c r="AI141" s="667"/>
      <c r="AJ141" s="667"/>
      <c r="AK141" s="667"/>
      <c r="AL141" s="667"/>
      <c r="AM141" s="667"/>
      <c r="AN141" s="667"/>
      <c r="AO141" s="667"/>
      <c r="AP141" s="667"/>
      <c r="AQ141" s="667"/>
      <c r="AR141" s="667"/>
      <c r="AS141" s="667"/>
      <c r="AT141" s="667"/>
      <c r="AU141" s="667"/>
      <c r="AV141" s="667"/>
      <c r="AW141" s="667"/>
      <c r="AX141" s="667"/>
      <c r="FK141" s="528"/>
    </row>
    <row r="142" spans="1:170" x14ac:dyDescent="0.35">
      <c r="A142" s="667"/>
      <c r="B142" s="667"/>
      <c r="C142" s="667"/>
      <c r="D142" s="667"/>
      <c r="E142" s="667"/>
      <c r="F142" s="667"/>
      <c r="G142" s="667"/>
      <c r="H142" s="667"/>
      <c r="I142" s="667"/>
      <c r="J142" s="667"/>
      <c r="K142" s="667"/>
      <c r="L142" s="667"/>
      <c r="M142" s="667"/>
      <c r="N142" s="667"/>
      <c r="O142" s="667"/>
      <c r="P142" s="667"/>
      <c r="Q142" s="667"/>
      <c r="R142" s="667"/>
      <c r="S142" s="667"/>
      <c r="T142" s="667"/>
      <c r="U142" s="667"/>
      <c r="V142" s="667"/>
      <c r="W142" s="667"/>
      <c r="X142" s="667"/>
      <c r="Y142" s="667"/>
      <c r="Z142" s="667"/>
      <c r="AA142" s="667"/>
      <c r="AB142" s="667"/>
      <c r="AC142" s="667"/>
      <c r="AD142" s="667"/>
      <c r="AE142" s="667"/>
      <c r="AF142" s="667"/>
      <c r="AG142" s="667"/>
      <c r="AH142" s="667"/>
      <c r="AI142" s="667"/>
      <c r="AJ142" s="667"/>
      <c r="AK142" s="667"/>
      <c r="AL142" s="667"/>
      <c r="AM142" s="667"/>
      <c r="AN142" s="667"/>
      <c r="AO142" s="667"/>
      <c r="AP142" s="667"/>
      <c r="AQ142" s="667"/>
      <c r="AR142" s="667"/>
      <c r="AS142" s="667"/>
      <c r="AT142" s="667"/>
      <c r="AU142" s="667"/>
      <c r="AV142" s="667"/>
      <c r="AW142" s="667"/>
      <c r="AX142" s="667"/>
      <c r="FL142" s="528"/>
    </row>
    <row r="143" spans="1:170" x14ac:dyDescent="0.35">
      <c r="A143" s="667"/>
      <c r="B143" s="667"/>
      <c r="C143" s="667"/>
      <c r="D143" s="667"/>
      <c r="E143" s="667"/>
      <c r="F143" s="667"/>
      <c r="G143" s="667"/>
      <c r="H143" s="667"/>
      <c r="I143" s="667"/>
      <c r="J143" s="667"/>
      <c r="K143" s="667"/>
      <c r="L143" s="667"/>
      <c r="M143" s="667"/>
      <c r="N143" s="667"/>
      <c r="O143" s="667"/>
      <c r="P143" s="667"/>
      <c r="Q143" s="667"/>
      <c r="R143" s="667"/>
      <c r="S143" s="667"/>
      <c r="T143" s="667"/>
      <c r="U143" s="667"/>
      <c r="V143" s="667"/>
      <c r="W143" s="667"/>
      <c r="X143" s="667"/>
      <c r="Y143" s="667"/>
      <c r="Z143" s="667"/>
      <c r="AA143" s="667"/>
      <c r="AB143" s="667"/>
      <c r="AC143" s="667"/>
      <c r="AD143" s="667"/>
      <c r="AE143" s="667"/>
      <c r="AF143" s="667"/>
      <c r="AG143" s="667"/>
      <c r="AH143" s="667"/>
      <c r="AI143" s="667"/>
      <c r="AJ143" s="667"/>
      <c r="AK143" s="667"/>
      <c r="AL143" s="667"/>
      <c r="AM143" s="667"/>
      <c r="AN143" s="667"/>
      <c r="AO143" s="667"/>
      <c r="AP143" s="667"/>
      <c r="AQ143" s="667"/>
      <c r="AR143" s="667"/>
      <c r="AS143" s="667"/>
      <c r="AT143" s="667"/>
      <c r="AU143" s="667"/>
      <c r="AV143" s="667"/>
      <c r="AW143" s="667"/>
      <c r="AX143" s="667"/>
    </row>
    <row r="144" spans="1:170" x14ac:dyDescent="0.35">
      <c r="A144" s="667"/>
      <c r="B144" s="667"/>
      <c r="C144" s="667"/>
      <c r="D144" s="667"/>
      <c r="E144" s="667"/>
      <c r="F144" s="667"/>
      <c r="G144" s="667"/>
      <c r="H144" s="667"/>
      <c r="I144" s="667"/>
      <c r="J144" s="667"/>
      <c r="K144" s="667"/>
      <c r="L144" s="667"/>
      <c r="M144" s="667"/>
      <c r="N144" s="667"/>
      <c r="O144" s="667"/>
      <c r="P144" s="667"/>
      <c r="Q144" s="667"/>
      <c r="R144" s="667"/>
      <c r="S144" s="667"/>
      <c r="T144" s="667"/>
      <c r="U144" s="667"/>
      <c r="V144" s="667"/>
      <c r="W144" s="667"/>
      <c r="X144" s="667"/>
      <c r="Y144" s="667"/>
      <c r="Z144" s="667"/>
      <c r="AA144" s="667"/>
      <c r="AB144" s="667"/>
      <c r="AC144" s="667"/>
      <c r="AD144" s="667"/>
      <c r="AE144" s="667"/>
      <c r="AF144" s="667"/>
      <c r="AG144" s="667"/>
      <c r="AH144" s="667"/>
      <c r="AI144" s="667"/>
      <c r="AJ144" s="667"/>
      <c r="AK144" s="667"/>
      <c r="AL144" s="667"/>
      <c r="AM144" s="667"/>
      <c r="AN144" s="667"/>
      <c r="AO144" s="667"/>
      <c r="AP144" s="667"/>
      <c r="AQ144" s="667"/>
      <c r="AR144" s="667"/>
      <c r="AS144" s="667"/>
      <c r="AT144" s="667"/>
      <c r="AU144" s="667"/>
      <c r="AV144" s="667"/>
      <c r="AW144" s="667"/>
      <c r="AX144" s="667"/>
    </row>
    <row r="145" spans="1:50" x14ac:dyDescent="0.35">
      <c r="A145" s="667"/>
      <c r="B145" s="667"/>
      <c r="C145" s="667"/>
      <c r="D145" s="667"/>
      <c r="E145" s="667"/>
      <c r="F145" s="667"/>
      <c r="G145" s="667"/>
      <c r="H145" s="667"/>
      <c r="I145" s="667"/>
      <c r="J145" s="667"/>
      <c r="K145" s="667"/>
      <c r="L145" s="667"/>
      <c r="M145" s="667"/>
      <c r="N145" s="667"/>
      <c r="O145" s="667"/>
      <c r="P145" s="667"/>
      <c r="Q145" s="667"/>
      <c r="R145" s="667"/>
      <c r="S145" s="667"/>
      <c r="T145" s="667"/>
      <c r="U145" s="667"/>
      <c r="V145" s="667"/>
      <c r="W145" s="667"/>
      <c r="X145" s="667"/>
      <c r="Y145" s="667"/>
      <c r="Z145" s="667"/>
      <c r="AA145" s="667"/>
      <c r="AB145" s="667"/>
      <c r="AC145" s="667"/>
      <c r="AD145" s="667"/>
      <c r="AE145" s="667"/>
      <c r="AF145" s="667"/>
      <c r="AG145" s="667"/>
      <c r="AH145" s="667"/>
      <c r="AI145" s="667"/>
      <c r="AJ145" s="667"/>
      <c r="AK145" s="667"/>
      <c r="AL145" s="667"/>
      <c r="AM145" s="667"/>
      <c r="AN145" s="667"/>
      <c r="AO145" s="667"/>
      <c r="AP145" s="667"/>
      <c r="AQ145" s="667"/>
      <c r="AR145" s="667"/>
      <c r="AS145" s="667"/>
      <c r="AT145" s="667"/>
      <c r="AU145" s="667"/>
      <c r="AV145" s="667"/>
      <c r="AW145" s="667"/>
      <c r="AX145" s="667"/>
    </row>
    <row r="146" spans="1:50" x14ac:dyDescent="0.35">
      <c r="A146" s="667"/>
      <c r="B146" s="667"/>
      <c r="C146" s="667"/>
      <c r="D146" s="667"/>
      <c r="E146" s="667"/>
      <c r="F146" s="667"/>
      <c r="G146" s="667"/>
      <c r="H146" s="667"/>
      <c r="I146" s="667"/>
      <c r="J146" s="667"/>
      <c r="K146" s="667"/>
      <c r="L146" s="667"/>
      <c r="M146" s="667"/>
      <c r="N146" s="667"/>
      <c r="O146" s="667"/>
      <c r="P146" s="667"/>
      <c r="Q146" s="667"/>
      <c r="R146" s="667"/>
      <c r="S146" s="667"/>
      <c r="T146" s="667"/>
      <c r="U146" s="667"/>
      <c r="V146" s="667"/>
      <c r="W146" s="667"/>
      <c r="X146" s="667"/>
      <c r="Y146" s="667"/>
      <c r="Z146" s="667"/>
      <c r="AA146" s="667"/>
      <c r="AB146" s="667"/>
      <c r="AC146" s="667"/>
      <c r="AD146" s="667"/>
      <c r="AE146" s="667"/>
      <c r="AF146" s="667"/>
      <c r="AG146" s="667"/>
      <c r="AH146" s="667"/>
      <c r="AI146" s="667"/>
      <c r="AJ146" s="667"/>
      <c r="AK146" s="667"/>
      <c r="AL146" s="667"/>
      <c r="AM146" s="667"/>
      <c r="AN146" s="667"/>
      <c r="AO146" s="667"/>
      <c r="AP146" s="667"/>
      <c r="AQ146" s="667"/>
      <c r="AR146" s="667"/>
      <c r="AS146" s="667"/>
      <c r="AT146" s="667"/>
      <c r="AU146" s="667"/>
      <c r="AV146" s="667"/>
      <c r="AW146" s="667"/>
      <c r="AX146" s="667"/>
    </row>
    <row r="147" spans="1:50" x14ac:dyDescent="0.35">
      <c r="A147" s="667"/>
      <c r="B147" s="667"/>
      <c r="C147" s="667"/>
      <c r="D147" s="667"/>
      <c r="E147" s="667"/>
      <c r="F147" s="667"/>
      <c r="G147" s="667"/>
      <c r="H147" s="667"/>
      <c r="I147" s="667"/>
      <c r="J147" s="667"/>
      <c r="K147" s="667"/>
      <c r="L147" s="667"/>
      <c r="M147" s="667"/>
      <c r="N147" s="667"/>
      <c r="O147" s="667"/>
      <c r="P147" s="667"/>
      <c r="Q147" s="667"/>
      <c r="R147" s="667"/>
      <c r="S147" s="667"/>
      <c r="T147" s="667"/>
      <c r="U147" s="667"/>
      <c r="V147" s="667"/>
      <c r="W147" s="667"/>
      <c r="X147" s="667"/>
      <c r="Y147" s="667"/>
      <c r="Z147" s="667"/>
      <c r="AA147" s="667"/>
      <c r="AB147" s="667"/>
      <c r="AC147" s="667"/>
      <c r="AD147" s="667"/>
      <c r="AE147" s="667"/>
      <c r="AF147" s="667"/>
      <c r="AG147" s="667"/>
      <c r="AH147" s="667"/>
      <c r="AI147" s="667"/>
      <c r="AJ147" s="667"/>
      <c r="AK147" s="667"/>
      <c r="AL147" s="667"/>
      <c r="AM147" s="667"/>
      <c r="AN147" s="667"/>
      <c r="AO147" s="667"/>
      <c r="AP147" s="667"/>
      <c r="AQ147" s="667"/>
      <c r="AR147" s="667"/>
      <c r="AS147" s="667"/>
      <c r="AT147" s="667"/>
      <c r="AU147" s="667"/>
      <c r="AV147" s="667"/>
      <c r="AW147" s="667"/>
      <c r="AX147" s="667"/>
    </row>
    <row r="148" spans="1:50" x14ac:dyDescent="0.35">
      <c r="A148" s="667"/>
      <c r="B148" s="667"/>
      <c r="C148" s="667"/>
      <c r="D148" s="667"/>
      <c r="E148" s="667"/>
      <c r="F148" s="667"/>
      <c r="G148" s="667"/>
      <c r="H148" s="667"/>
      <c r="I148" s="667"/>
      <c r="J148" s="667"/>
      <c r="K148" s="667"/>
      <c r="L148" s="667"/>
      <c r="M148" s="667"/>
      <c r="N148" s="667"/>
      <c r="O148" s="667"/>
      <c r="P148" s="667"/>
      <c r="Q148" s="667"/>
      <c r="R148" s="667"/>
      <c r="S148" s="667"/>
      <c r="T148" s="667"/>
      <c r="U148" s="667"/>
      <c r="V148" s="667"/>
      <c r="W148" s="667"/>
      <c r="X148" s="667"/>
      <c r="Y148" s="667"/>
      <c r="Z148" s="667"/>
      <c r="AA148" s="667"/>
      <c r="AB148" s="667"/>
      <c r="AC148" s="667"/>
      <c r="AD148" s="667"/>
      <c r="AE148" s="667"/>
      <c r="AF148" s="667"/>
      <c r="AG148" s="667"/>
      <c r="AH148" s="667"/>
      <c r="AI148" s="667"/>
      <c r="AJ148" s="667"/>
      <c r="AK148" s="667"/>
      <c r="AL148" s="667"/>
      <c r="AM148" s="667"/>
      <c r="AN148" s="667"/>
      <c r="AO148" s="667"/>
      <c r="AP148" s="667"/>
      <c r="AQ148" s="667"/>
      <c r="AR148" s="667"/>
      <c r="AS148" s="667"/>
      <c r="AT148" s="667"/>
      <c r="AU148" s="667"/>
      <c r="AV148" s="667"/>
      <c r="AW148" s="667"/>
      <c r="AX148" s="667"/>
    </row>
    <row r="149" spans="1:50" x14ac:dyDescent="0.35">
      <c r="A149" s="667"/>
      <c r="B149" s="667"/>
      <c r="C149" s="667"/>
      <c r="D149" s="667"/>
      <c r="E149" s="667"/>
      <c r="F149" s="667"/>
      <c r="G149" s="667"/>
      <c r="H149" s="667"/>
      <c r="I149" s="667"/>
      <c r="J149" s="667"/>
      <c r="K149" s="667"/>
      <c r="L149" s="667"/>
      <c r="M149" s="667"/>
      <c r="N149" s="667"/>
      <c r="O149" s="667"/>
      <c r="P149" s="667"/>
      <c r="Q149" s="667"/>
      <c r="R149" s="667"/>
      <c r="S149" s="667"/>
      <c r="T149" s="667"/>
      <c r="U149" s="667"/>
      <c r="V149" s="667"/>
      <c r="W149" s="667"/>
      <c r="X149" s="667"/>
      <c r="Y149" s="667"/>
      <c r="Z149" s="667"/>
      <c r="AA149" s="667"/>
      <c r="AB149" s="667"/>
      <c r="AC149" s="667"/>
      <c r="AD149" s="667"/>
      <c r="AE149" s="667"/>
      <c r="AF149" s="667"/>
      <c r="AG149" s="667"/>
      <c r="AH149" s="667"/>
      <c r="AI149" s="667"/>
      <c r="AJ149" s="667"/>
      <c r="AK149" s="667"/>
      <c r="AL149" s="667"/>
      <c r="AM149" s="667"/>
      <c r="AN149" s="667"/>
      <c r="AO149" s="667"/>
      <c r="AP149" s="667"/>
      <c r="AQ149" s="667"/>
      <c r="AR149" s="667"/>
      <c r="AS149" s="667"/>
      <c r="AT149" s="667"/>
      <c r="AU149" s="667"/>
      <c r="AV149" s="667"/>
      <c r="AW149" s="667"/>
      <c r="AX149" s="667"/>
    </row>
    <row r="150" spans="1:50" x14ac:dyDescent="0.35">
      <c r="A150" s="667"/>
      <c r="B150" s="667"/>
      <c r="C150" s="667"/>
      <c r="D150" s="667"/>
      <c r="E150" s="667"/>
      <c r="F150" s="667"/>
      <c r="G150" s="667"/>
      <c r="H150" s="667"/>
      <c r="I150" s="667"/>
      <c r="J150" s="667"/>
      <c r="K150" s="667"/>
      <c r="L150" s="667"/>
      <c r="M150" s="667"/>
      <c r="N150" s="667"/>
      <c r="O150" s="667"/>
      <c r="P150" s="667"/>
      <c r="Q150" s="667"/>
      <c r="R150" s="667"/>
      <c r="S150" s="667"/>
      <c r="T150" s="667"/>
      <c r="U150" s="667"/>
      <c r="V150" s="667"/>
      <c r="W150" s="667"/>
      <c r="X150" s="667"/>
      <c r="Y150" s="667"/>
      <c r="Z150" s="667"/>
      <c r="AA150" s="667"/>
      <c r="AB150" s="667"/>
      <c r="AC150" s="667"/>
      <c r="AD150" s="667"/>
      <c r="AE150" s="667"/>
      <c r="AF150" s="667"/>
      <c r="AG150" s="667"/>
      <c r="AH150" s="667"/>
      <c r="AI150" s="667"/>
      <c r="AJ150" s="667"/>
      <c r="AK150" s="667"/>
      <c r="AL150" s="667"/>
      <c r="AM150" s="667"/>
      <c r="AN150" s="667"/>
      <c r="AO150" s="667"/>
      <c r="AP150" s="667"/>
      <c r="AQ150" s="667"/>
      <c r="AR150" s="667"/>
      <c r="AS150" s="667"/>
      <c r="AT150" s="667"/>
      <c r="AU150" s="667"/>
      <c r="AV150" s="667"/>
      <c r="AW150" s="667"/>
      <c r="AX150" s="667"/>
    </row>
  </sheetData>
  <mergeCells count="83">
    <mergeCell ref="FJ2:FL3"/>
    <mergeCell ref="A138:E138"/>
    <mergeCell ref="A140:AX150"/>
    <mergeCell ref="EV2:EW3"/>
    <mergeCell ref="EX2:EY3"/>
    <mergeCell ref="EZ2:FA3"/>
    <mergeCell ref="FB2:FC3"/>
    <mergeCell ref="FD2:FE3"/>
    <mergeCell ref="FF2:FI3"/>
    <mergeCell ref="EJ2:EK3"/>
    <mergeCell ref="EL2:EM3"/>
    <mergeCell ref="EN2:EO3"/>
    <mergeCell ref="EP2:EQ3"/>
    <mergeCell ref="ER2:ES3"/>
    <mergeCell ref="ET2:EU3"/>
    <mergeCell ref="DX2:DY3"/>
    <mergeCell ref="DZ2:EA3"/>
    <mergeCell ref="EB2:EC3"/>
    <mergeCell ref="ED2:EE3"/>
    <mergeCell ref="EF2:EG3"/>
    <mergeCell ref="EH2:EI3"/>
    <mergeCell ref="DV2:DW3"/>
    <mergeCell ref="CZ2:DA3"/>
    <mergeCell ref="DB2:DC3"/>
    <mergeCell ref="DD2:DE3"/>
    <mergeCell ref="DF2:DG3"/>
    <mergeCell ref="DH2:DI3"/>
    <mergeCell ref="DJ2:DK3"/>
    <mergeCell ref="DL2:DM3"/>
    <mergeCell ref="DN2:DO3"/>
    <mergeCell ref="DP2:DQ3"/>
    <mergeCell ref="DR2:DS3"/>
    <mergeCell ref="DT2:DU3"/>
    <mergeCell ref="CX2:CY3"/>
    <mergeCell ref="CB2:CC3"/>
    <mergeCell ref="CD2:CE3"/>
    <mergeCell ref="CF2:CG3"/>
    <mergeCell ref="CH2:CI3"/>
    <mergeCell ref="CJ2:CK3"/>
    <mergeCell ref="CL2:CM3"/>
    <mergeCell ref="CN2:CO3"/>
    <mergeCell ref="CP2:CQ3"/>
    <mergeCell ref="CR2:CS3"/>
    <mergeCell ref="CT2:CU3"/>
    <mergeCell ref="CV2:CW3"/>
    <mergeCell ref="BZ2:CA3"/>
    <mergeCell ref="BD2:BE3"/>
    <mergeCell ref="BF2:BG3"/>
    <mergeCell ref="BH2:BI3"/>
    <mergeCell ref="BJ2:BK3"/>
    <mergeCell ref="BL2:BM3"/>
    <mergeCell ref="BN2:BO3"/>
    <mergeCell ref="BP2:BQ3"/>
    <mergeCell ref="BR2:BS3"/>
    <mergeCell ref="BT2:BU3"/>
    <mergeCell ref="BV2:BW3"/>
    <mergeCell ref="BX2:BY3"/>
    <mergeCell ref="BB2:BC3"/>
    <mergeCell ref="AF2:AG3"/>
    <mergeCell ref="AH2:AI3"/>
    <mergeCell ref="AJ2:AK3"/>
    <mergeCell ref="AL2:AM3"/>
    <mergeCell ref="AN2:AO3"/>
    <mergeCell ref="AP2:AQ3"/>
    <mergeCell ref="AR2:AS3"/>
    <mergeCell ref="AT2:AU3"/>
    <mergeCell ref="AV2:AW3"/>
    <mergeCell ref="AX2:AY3"/>
    <mergeCell ref="AZ2:BA3"/>
    <mergeCell ref="AD2:AE3"/>
    <mergeCell ref="A2:E3"/>
    <mergeCell ref="F2:G3"/>
    <mergeCell ref="H2:I3"/>
    <mergeCell ref="J2:K3"/>
    <mergeCell ref="L2:M3"/>
    <mergeCell ref="N2:O3"/>
    <mergeCell ref="P2:Q3"/>
    <mergeCell ref="R2:S3"/>
    <mergeCell ref="T2:U3"/>
    <mergeCell ref="V2:W3"/>
    <mergeCell ref="X2:Y3"/>
    <mergeCell ref="Z2:AA3"/>
    <mergeCell ref="AB2:AC3"/>
  </mergeCells>
  <conditionalFormatting sqref="B129:B130">
    <cfRule type="duplicateValues" dxfId="4" priority="3"/>
  </conditionalFormatting>
  <conditionalFormatting sqref="B132">
    <cfRule type="duplicateValues" dxfId="3" priority="2"/>
  </conditionalFormatting>
  <conditionalFormatting sqref="B133:B137">
    <cfRule type="duplicateValues" dxfId="2" priority="1"/>
  </conditionalFormatting>
  <conditionalFormatting sqref="FI5:FI137">
    <cfRule type="cellIs" dxfId="1" priority="4" operator="greaterThan">
      <formula>0.3</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241B78-3B9F-46A3-83B7-4847409672EB}">
  <dimension ref="A3:V828"/>
  <sheetViews>
    <sheetView zoomScale="63" workbookViewId="0">
      <selection sqref="A1:XFD1048576"/>
    </sheetView>
  </sheetViews>
  <sheetFormatPr baseColWidth="10" defaultColWidth="35.453125" defaultRowHeight="15.5" x14ac:dyDescent="0.35"/>
  <cols>
    <col min="1" max="1" width="8.453125" style="621" bestFit="1" customWidth="1"/>
    <col min="2" max="2" width="50.7265625" style="621" customWidth="1"/>
    <col min="3" max="3" width="46.7265625" style="643" customWidth="1"/>
    <col min="4" max="4" width="16.7265625" style="621" bestFit="1" customWidth="1"/>
    <col min="5" max="5" width="25.7265625" style="644" customWidth="1"/>
    <col min="6" max="6" width="22.453125" style="644" customWidth="1"/>
    <col min="7" max="7" width="29.54296875" style="644" bestFit="1" customWidth="1"/>
    <col min="8" max="8" width="22.7265625" style="644" customWidth="1"/>
    <col min="9" max="9" width="27.453125" style="644" bestFit="1" customWidth="1"/>
    <col min="10" max="10" width="29.54296875" style="644" bestFit="1" customWidth="1"/>
    <col min="11" max="11" width="24" style="644" customWidth="1"/>
    <col min="12" max="12" width="27.81640625" style="644" customWidth="1"/>
    <col min="13" max="13" width="34.453125" style="644" bestFit="1" customWidth="1"/>
    <col min="14" max="14" width="23.54296875" style="644" customWidth="1"/>
    <col min="15" max="15" width="25.7265625" style="644" customWidth="1"/>
    <col min="16" max="16" width="23.1796875" style="644" customWidth="1"/>
    <col min="17" max="17" width="18.453125" style="621" customWidth="1"/>
    <col min="18" max="18" width="24.453125" style="644" customWidth="1"/>
    <col min="19" max="19" width="69.453125" style="640" bestFit="1" customWidth="1"/>
    <col min="20" max="16384" width="35.453125" style="621"/>
  </cols>
  <sheetData>
    <row r="3" spans="1:19" ht="63.75" customHeight="1" x14ac:dyDescent="0.35">
      <c r="A3" s="808" t="s">
        <v>1178</v>
      </c>
      <c r="B3" s="808" t="s">
        <v>1179</v>
      </c>
      <c r="C3" s="809" t="s">
        <v>5</v>
      </c>
      <c r="D3" s="808" t="s">
        <v>6</v>
      </c>
      <c r="E3" s="593" t="s">
        <v>260</v>
      </c>
      <c r="F3" s="620" t="s">
        <v>261</v>
      </c>
      <c r="G3" s="593" t="s">
        <v>265</v>
      </c>
      <c r="H3" s="593" t="s">
        <v>263</v>
      </c>
      <c r="I3" s="620" t="s">
        <v>262</v>
      </c>
      <c r="J3" s="593" t="s">
        <v>1180</v>
      </c>
      <c r="K3" s="620" t="s">
        <v>1181</v>
      </c>
      <c r="L3" s="593" t="s">
        <v>264</v>
      </c>
      <c r="M3" s="620" t="s">
        <v>1182</v>
      </c>
      <c r="N3" s="810" t="s">
        <v>247</v>
      </c>
      <c r="O3" s="810"/>
      <c r="P3" s="810"/>
      <c r="Q3" s="810"/>
      <c r="R3" s="810"/>
      <c r="S3" s="810"/>
    </row>
    <row r="4" spans="1:19" ht="50.15" customHeight="1" x14ac:dyDescent="0.35">
      <c r="A4" s="808"/>
      <c r="B4" s="808"/>
      <c r="C4" s="809"/>
      <c r="D4" s="808"/>
      <c r="E4" s="622" t="s">
        <v>238</v>
      </c>
      <c r="F4" s="622" t="s">
        <v>238</v>
      </c>
      <c r="G4" s="622" t="s">
        <v>238</v>
      </c>
      <c r="H4" s="622" t="s">
        <v>238</v>
      </c>
      <c r="I4" s="622" t="s">
        <v>238</v>
      </c>
      <c r="J4" s="622" t="s">
        <v>238</v>
      </c>
      <c r="K4" s="622" t="s">
        <v>238</v>
      </c>
      <c r="L4" s="622" t="s">
        <v>238</v>
      </c>
      <c r="M4" s="622" t="s">
        <v>238</v>
      </c>
      <c r="N4" s="623" t="s">
        <v>248</v>
      </c>
      <c r="O4" s="623" t="s">
        <v>249</v>
      </c>
      <c r="P4" s="623" t="s">
        <v>250</v>
      </c>
      <c r="Q4" s="624" t="s">
        <v>251</v>
      </c>
      <c r="R4" s="625" t="s">
        <v>1183</v>
      </c>
      <c r="S4" s="626" t="s">
        <v>1184</v>
      </c>
    </row>
    <row r="5" spans="1:19" ht="124" x14ac:dyDescent="0.35">
      <c r="A5" s="627">
        <v>1</v>
      </c>
      <c r="B5" s="628" t="s">
        <v>1185</v>
      </c>
      <c r="C5" s="629" t="s">
        <v>1186</v>
      </c>
      <c r="D5" s="630" t="s">
        <v>19</v>
      </c>
      <c r="E5" s="631"/>
      <c r="F5" s="631"/>
      <c r="G5" s="632">
        <v>8000</v>
      </c>
      <c r="H5" s="632">
        <v>11000</v>
      </c>
      <c r="I5" s="632">
        <v>10000</v>
      </c>
      <c r="J5" s="633"/>
      <c r="K5" s="633"/>
      <c r="L5" s="632"/>
      <c r="M5" s="634"/>
      <c r="N5" s="635">
        <f>+MEDIAN(G5,H5,I5)</f>
        <v>10000</v>
      </c>
      <c r="O5" s="635">
        <f>+AVERAGE(G5,H5,I5)</f>
        <v>9666.6666666666661</v>
      </c>
      <c r="P5" s="635">
        <f>+STDEV(G5,H5,I5)</f>
        <v>1527.52523165195</v>
      </c>
      <c r="Q5" s="636">
        <f>P5/O5</f>
        <v>0.15801985155020173</v>
      </c>
      <c r="R5" s="633">
        <f>ROUNDUP(IF(Q5&lt;15%,O5,N5),0)</f>
        <v>10000</v>
      </c>
      <c r="S5" s="637" t="s">
        <v>929</v>
      </c>
    </row>
    <row r="6" spans="1:19" ht="31" x14ac:dyDescent="0.35">
      <c r="A6" s="627">
        <v>2</v>
      </c>
      <c r="B6" s="628" t="s">
        <v>1187</v>
      </c>
      <c r="C6" s="629" t="s">
        <v>37</v>
      </c>
      <c r="D6" s="630" t="s">
        <v>19</v>
      </c>
      <c r="E6" s="632"/>
      <c r="F6" s="632"/>
      <c r="G6" s="632"/>
      <c r="H6" s="632">
        <v>8000</v>
      </c>
      <c r="I6" s="632"/>
      <c r="J6" s="632"/>
      <c r="K6" s="632"/>
      <c r="L6" s="632">
        <v>7142.86</v>
      </c>
      <c r="M6" s="634"/>
      <c r="N6" s="635">
        <f>+MEDIAN(H6,L6)</f>
        <v>7571.43</v>
      </c>
      <c r="O6" s="635">
        <f>+AVERAGE(H6,L6)</f>
        <v>7571.43</v>
      </c>
      <c r="P6" s="635">
        <f>+STDEV(H6,L6)</f>
        <v>606.08950642623756</v>
      </c>
      <c r="Q6" s="636">
        <f t="shared" ref="Q6:Q69" si="0">P6/O6</f>
        <v>8.0049542348834699E-2</v>
      </c>
      <c r="R6" s="633">
        <f t="shared" ref="R6:R69" si="1">ROUNDUP(IF(Q6&lt;15%,O6,N6),0)</f>
        <v>7572</v>
      </c>
      <c r="S6" s="637" t="s">
        <v>932</v>
      </c>
    </row>
    <row r="7" spans="1:19" ht="31" x14ac:dyDescent="0.35">
      <c r="A7" s="627">
        <v>3</v>
      </c>
      <c r="B7" s="628" t="s">
        <v>1187</v>
      </c>
      <c r="C7" s="629" t="s">
        <v>38</v>
      </c>
      <c r="D7" s="630" t="s">
        <v>19</v>
      </c>
      <c r="E7" s="632"/>
      <c r="F7" s="632"/>
      <c r="G7" s="632">
        <v>4000</v>
      </c>
      <c r="H7" s="632">
        <v>4500</v>
      </c>
      <c r="I7" s="632"/>
      <c r="J7" s="632"/>
      <c r="K7" s="632"/>
      <c r="L7" s="632">
        <v>3781.51</v>
      </c>
      <c r="M7" s="634"/>
      <c r="N7" s="635">
        <f>+MEDIAN(G7,H7,L7)</f>
        <v>4000</v>
      </c>
      <c r="O7" s="635">
        <f>+AVERAGE(G7,H7,L7)</f>
        <v>4093.8366666666666</v>
      </c>
      <c r="P7" s="635">
        <f>+STDEV(G7,H7,L7)</f>
        <v>368.32181585311133</v>
      </c>
      <c r="Q7" s="636">
        <f t="shared" si="0"/>
        <v>8.9969836572158804E-2</v>
      </c>
      <c r="R7" s="633">
        <f t="shared" si="1"/>
        <v>4094</v>
      </c>
      <c r="S7" s="637" t="s">
        <v>932</v>
      </c>
    </row>
    <row r="8" spans="1:19" ht="31" x14ac:dyDescent="0.35">
      <c r="A8" s="627">
        <v>4</v>
      </c>
      <c r="B8" s="628" t="s">
        <v>1188</v>
      </c>
      <c r="C8" s="629" t="s">
        <v>1189</v>
      </c>
      <c r="D8" s="630" t="s">
        <v>19</v>
      </c>
      <c r="E8" s="632">
        <v>15500</v>
      </c>
      <c r="F8" s="632">
        <v>13490</v>
      </c>
      <c r="G8" s="632">
        <v>12000</v>
      </c>
      <c r="H8" s="632"/>
      <c r="I8" s="632"/>
      <c r="J8" s="632"/>
      <c r="K8" s="632"/>
      <c r="L8" s="632"/>
      <c r="M8" s="634"/>
      <c r="N8" s="635">
        <f>+MEDIAN(E8,F8,G8)</f>
        <v>13490</v>
      </c>
      <c r="O8" s="635">
        <f>+AVERAGE(E8,F8,G8)</f>
        <v>13663.333333333334</v>
      </c>
      <c r="P8" s="635">
        <f>+STDEV(E8,F8,G8)</f>
        <v>1756.426296015097</v>
      </c>
      <c r="Q8" s="636">
        <f>P8/O8</f>
        <v>0.12855035101354698</v>
      </c>
      <c r="R8" s="633">
        <f t="shared" si="1"/>
        <v>13664</v>
      </c>
      <c r="S8" s="637" t="s">
        <v>932</v>
      </c>
    </row>
    <row r="9" spans="1:19" x14ac:dyDescent="0.35">
      <c r="A9" s="627">
        <v>5</v>
      </c>
      <c r="B9" s="628" t="s">
        <v>1190</v>
      </c>
      <c r="C9" s="629" t="s">
        <v>33</v>
      </c>
      <c r="D9" s="630" t="s">
        <v>19</v>
      </c>
      <c r="E9" s="632">
        <v>354900</v>
      </c>
      <c r="F9" s="632">
        <v>301990</v>
      </c>
      <c r="G9" s="632"/>
      <c r="H9" s="632"/>
      <c r="I9" s="632">
        <v>265000</v>
      </c>
      <c r="J9" s="632"/>
      <c r="K9" s="632"/>
      <c r="L9" s="632"/>
      <c r="M9" s="634"/>
      <c r="N9" s="635">
        <f>+MEDIAN(E9,F9,I9)</f>
        <v>301990</v>
      </c>
      <c r="O9" s="635">
        <f>+AVERAGE(E9,F9,I9)</f>
        <v>307296.66666666669</v>
      </c>
      <c r="P9" s="635">
        <f>+STDEV(E9,F9,I9)</f>
        <v>45184.322871249751</v>
      </c>
      <c r="Q9" s="636">
        <f>P9/O9</f>
        <v>0.1470381158421821</v>
      </c>
      <c r="R9" s="633">
        <f t="shared" si="1"/>
        <v>307297</v>
      </c>
      <c r="S9" s="637" t="s">
        <v>932</v>
      </c>
    </row>
    <row r="10" spans="1:19" ht="31" x14ac:dyDescent="0.35">
      <c r="A10" s="627">
        <v>6</v>
      </c>
      <c r="B10" s="628" t="s">
        <v>1191</v>
      </c>
      <c r="C10" s="629" t="s">
        <v>1192</v>
      </c>
      <c r="D10" s="630" t="s">
        <v>19</v>
      </c>
      <c r="E10" s="632"/>
      <c r="F10" s="632">
        <v>9490</v>
      </c>
      <c r="G10" s="632"/>
      <c r="H10" s="632" t="s">
        <v>1193</v>
      </c>
      <c r="I10" s="632">
        <v>9000</v>
      </c>
      <c r="J10" s="638"/>
      <c r="K10" s="638"/>
      <c r="L10" s="632"/>
      <c r="M10" s="632">
        <v>9000</v>
      </c>
      <c r="N10" s="635">
        <f>+MEDIAN(F10,I10,M10)</f>
        <v>9000</v>
      </c>
      <c r="O10" s="635">
        <f>+AVERAGE(F10,I10,M10)</f>
        <v>9163.3333333333339</v>
      </c>
      <c r="P10" s="635">
        <f>+STDEV(F10,I10,M10)</f>
        <v>282.90163190291662</v>
      </c>
      <c r="Q10" s="636">
        <f t="shared" si="0"/>
        <v>3.0873222834076019E-2</v>
      </c>
      <c r="R10" s="633">
        <f t="shared" si="1"/>
        <v>9164</v>
      </c>
      <c r="S10" s="637" t="s">
        <v>932</v>
      </c>
    </row>
    <row r="11" spans="1:19" x14ac:dyDescent="0.35">
      <c r="A11" s="627">
        <v>7</v>
      </c>
      <c r="B11" s="628" t="s">
        <v>1194</v>
      </c>
      <c r="C11" s="629" t="s">
        <v>1195</v>
      </c>
      <c r="D11" s="630" t="s">
        <v>19</v>
      </c>
      <c r="E11" s="632">
        <v>16900</v>
      </c>
      <c r="F11" s="632">
        <v>17300</v>
      </c>
      <c r="G11" s="632">
        <v>10000</v>
      </c>
      <c r="H11" s="638"/>
      <c r="I11" s="632" t="s">
        <v>1193</v>
      </c>
      <c r="J11" s="632"/>
      <c r="K11" s="632"/>
      <c r="L11" s="632"/>
      <c r="M11" s="634"/>
      <c r="N11" s="635">
        <f>+MEDIAN(E11,F11,G11)</f>
        <v>16900</v>
      </c>
      <c r="O11" s="635">
        <f>+AVERAGE(E11,F11,G11)</f>
        <v>14733.333333333334</v>
      </c>
      <c r="P11" s="635">
        <f>+STDEV(E11,F11,G11)</f>
        <v>4104.0630274562445</v>
      </c>
      <c r="Q11" s="636">
        <f t="shared" si="0"/>
        <v>0.27855631408074055</v>
      </c>
      <c r="R11" s="633">
        <f t="shared" si="1"/>
        <v>16900</v>
      </c>
      <c r="S11" s="637" t="s">
        <v>929</v>
      </c>
    </row>
    <row r="12" spans="1:19" x14ac:dyDescent="0.35">
      <c r="A12" s="627">
        <v>8</v>
      </c>
      <c r="B12" s="628" t="s">
        <v>1196</v>
      </c>
      <c r="C12" s="629" t="s">
        <v>893</v>
      </c>
      <c r="D12" s="630" t="s">
        <v>19</v>
      </c>
      <c r="E12" s="632">
        <v>29900</v>
      </c>
      <c r="F12" s="632">
        <v>23990</v>
      </c>
      <c r="G12" s="632">
        <v>28000</v>
      </c>
      <c r="H12" s="632"/>
      <c r="I12" s="638"/>
      <c r="J12" s="638"/>
      <c r="K12" s="638"/>
      <c r="L12" s="632"/>
      <c r="M12" s="634"/>
      <c r="N12" s="635">
        <f>+MEDIAN(E12,F12,G12)</f>
        <v>28000</v>
      </c>
      <c r="O12" s="635">
        <f>+AVERAGE(E12,F12,G12)</f>
        <v>27296.666666666668</v>
      </c>
      <c r="P12" s="635">
        <f>+STDEV(E12,F12,G12)</f>
        <v>3017.123354013444</v>
      </c>
      <c r="Q12" s="636">
        <f t="shared" si="0"/>
        <v>0.11053083480327673</v>
      </c>
      <c r="R12" s="633">
        <f t="shared" si="1"/>
        <v>27297</v>
      </c>
      <c r="S12" s="637" t="s">
        <v>932</v>
      </c>
    </row>
    <row r="13" spans="1:19" x14ac:dyDescent="0.35">
      <c r="A13" s="627">
        <v>9</v>
      </c>
      <c r="B13" s="628" t="s">
        <v>1197</v>
      </c>
      <c r="C13" s="629" t="s">
        <v>894</v>
      </c>
      <c r="D13" s="630" t="s">
        <v>19</v>
      </c>
      <c r="E13" s="632">
        <v>72900</v>
      </c>
      <c r="F13" s="632">
        <v>52490</v>
      </c>
      <c r="G13" s="632"/>
      <c r="H13" s="632"/>
      <c r="I13" s="632"/>
      <c r="J13" s="632"/>
      <c r="K13" s="632">
        <v>58930</v>
      </c>
      <c r="L13" s="632"/>
      <c r="M13" s="634"/>
      <c r="N13" s="635">
        <f>+MEDIAN(E13,F13,K13)</f>
        <v>58930</v>
      </c>
      <c r="O13" s="635">
        <f>+AVERAGE(E13,F13,K13)</f>
        <v>61440</v>
      </c>
      <c r="P13" s="635">
        <f>+STDEV(E13,F13,K13)</f>
        <v>10433.939811978982</v>
      </c>
      <c r="Q13" s="636">
        <f>P13/O13</f>
        <v>0.16982323912726208</v>
      </c>
      <c r="R13" s="633">
        <f t="shared" si="1"/>
        <v>58930</v>
      </c>
      <c r="S13" s="637" t="s">
        <v>929</v>
      </c>
    </row>
    <row r="14" spans="1:19" x14ac:dyDescent="0.35">
      <c r="A14" s="627">
        <v>10</v>
      </c>
      <c r="B14" s="628" t="s">
        <v>1198</v>
      </c>
      <c r="C14" s="629" t="s">
        <v>1199</v>
      </c>
      <c r="D14" s="630" t="s">
        <v>19</v>
      </c>
      <c r="E14" s="632">
        <v>43900</v>
      </c>
      <c r="F14" s="632">
        <v>42990</v>
      </c>
      <c r="G14" s="632">
        <v>32000</v>
      </c>
      <c r="H14" s="632"/>
      <c r="I14" s="638"/>
      <c r="J14" s="638"/>
      <c r="K14" s="638"/>
      <c r="L14" s="632"/>
      <c r="M14" s="634"/>
      <c r="N14" s="635">
        <f>+MEDIAN(E14,F14,G14)</f>
        <v>42990</v>
      </c>
      <c r="O14" s="635">
        <f>+AVERAGE(E14,F14,G14)</f>
        <v>39630</v>
      </c>
      <c r="P14" s="635">
        <f>+STDEV(E14,F14,G14)</f>
        <v>6623.4205664445017</v>
      </c>
      <c r="Q14" s="636">
        <f t="shared" si="0"/>
        <v>0.16713148035439065</v>
      </c>
      <c r="R14" s="633">
        <f t="shared" si="1"/>
        <v>42990</v>
      </c>
      <c r="S14" s="637" t="s">
        <v>929</v>
      </c>
    </row>
    <row r="15" spans="1:19" ht="31" x14ac:dyDescent="0.35">
      <c r="A15" s="627">
        <v>11</v>
      </c>
      <c r="B15" s="628" t="s">
        <v>1200</v>
      </c>
      <c r="C15" s="629" t="s">
        <v>1201</v>
      </c>
      <c r="D15" s="630" t="s">
        <v>19</v>
      </c>
      <c r="E15" s="632">
        <v>84900</v>
      </c>
      <c r="F15" s="632">
        <v>65990</v>
      </c>
      <c r="G15" s="632">
        <v>74000</v>
      </c>
      <c r="H15" s="632"/>
      <c r="I15" s="638"/>
      <c r="J15" s="638"/>
      <c r="K15" s="638"/>
      <c r="L15" s="632"/>
      <c r="M15" s="634"/>
      <c r="N15" s="635">
        <f>+MEDIAN(E15,F15,G15)</f>
        <v>74000</v>
      </c>
      <c r="O15" s="635">
        <f>+AVERAGE(E15,F15,G15)</f>
        <v>74963.333333333328</v>
      </c>
      <c r="P15" s="635">
        <f>+STDEV(E15,F15,G15)</f>
        <v>9491.7350012172701</v>
      </c>
      <c r="Q15" s="636">
        <f t="shared" si="0"/>
        <v>0.12661836899662862</v>
      </c>
      <c r="R15" s="633">
        <f t="shared" si="1"/>
        <v>74964</v>
      </c>
      <c r="S15" s="637" t="s">
        <v>932</v>
      </c>
    </row>
    <row r="16" spans="1:19" ht="31" x14ac:dyDescent="0.35">
      <c r="A16" s="627">
        <v>12</v>
      </c>
      <c r="B16" s="628" t="s">
        <v>1202</v>
      </c>
      <c r="C16" s="629" t="s">
        <v>1203</v>
      </c>
      <c r="D16" s="630" t="s">
        <v>19</v>
      </c>
      <c r="E16" s="632">
        <v>278900</v>
      </c>
      <c r="F16" s="632"/>
      <c r="G16" s="632">
        <v>180000</v>
      </c>
      <c r="H16" s="632" t="s">
        <v>1193</v>
      </c>
      <c r="I16" s="638"/>
      <c r="J16" s="638"/>
      <c r="K16" s="638"/>
      <c r="L16" s="632"/>
      <c r="M16" s="634"/>
      <c r="N16" s="635">
        <f>+MEDIAN(E16,G16)</f>
        <v>229450</v>
      </c>
      <c r="O16" s="635">
        <f>+AVERAGE(E16,G16)</f>
        <v>229450</v>
      </c>
      <c r="P16" s="635">
        <f>+STDEV(E16,G16)</f>
        <v>69932.86065934955</v>
      </c>
      <c r="Q16" s="636">
        <f t="shared" si="0"/>
        <v>0.30478474900566377</v>
      </c>
      <c r="R16" s="633">
        <f t="shared" si="1"/>
        <v>229450</v>
      </c>
      <c r="S16" s="637" t="s">
        <v>929</v>
      </c>
    </row>
    <row r="17" spans="1:19" x14ac:dyDescent="0.35">
      <c r="A17" s="627">
        <v>13</v>
      </c>
      <c r="B17" s="628" t="s">
        <v>1204</v>
      </c>
      <c r="C17" s="629" t="s">
        <v>1205</v>
      </c>
      <c r="D17" s="630" t="s">
        <v>19</v>
      </c>
      <c r="E17" s="632">
        <v>77900</v>
      </c>
      <c r="F17" s="632"/>
      <c r="G17" s="632"/>
      <c r="H17" s="632"/>
      <c r="I17" s="638"/>
      <c r="J17" s="638"/>
      <c r="K17" s="638">
        <v>59900</v>
      </c>
      <c r="L17" s="632"/>
      <c r="M17" s="634"/>
      <c r="N17" s="635">
        <f>+MEDIAN(E17,K17)</f>
        <v>68900</v>
      </c>
      <c r="O17" s="635">
        <f>+AVERAGE(E17,K17)</f>
        <v>68900</v>
      </c>
      <c r="P17" s="635">
        <f>+STDEV(E17,K17)</f>
        <v>12727.922061357855</v>
      </c>
      <c r="Q17" s="636">
        <f t="shared" si="0"/>
        <v>0.18473036373523738</v>
      </c>
      <c r="R17" s="633">
        <f t="shared" si="1"/>
        <v>68900</v>
      </c>
      <c r="S17" s="637" t="s">
        <v>929</v>
      </c>
    </row>
    <row r="18" spans="1:19" x14ac:dyDescent="0.35">
      <c r="A18" s="627">
        <v>14</v>
      </c>
      <c r="B18" s="628" t="s">
        <v>1206</v>
      </c>
      <c r="C18" s="629" t="s">
        <v>1207</v>
      </c>
      <c r="D18" s="630" t="s">
        <v>19</v>
      </c>
      <c r="E18" s="632">
        <v>178400</v>
      </c>
      <c r="F18" s="632"/>
      <c r="G18" s="639"/>
      <c r="H18" s="632"/>
      <c r="I18" s="632">
        <v>160000</v>
      </c>
      <c r="J18" s="638"/>
      <c r="K18" s="638">
        <v>165000</v>
      </c>
      <c r="L18" s="632"/>
      <c r="M18" s="634"/>
      <c r="N18" s="635">
        <f>+MEDIAN(E18,I18,K18)</f>
        <v>165000</v>
      </c>
      <c r="O18" s="635">
        <f>+AVERAGE(E18,I18,K18)</f>
        <v>167800</v>
      </c>
      <c r="P18" s="635">
        <f>+STDEV(E18,I18,K18)</f>
        <v>9514.1999138130377</v>
      </c>
      <c r="Q18" s="636">
        <f t="shared" si="0"/>
        <v>5.6699641917836933E-2</v>
      </c>
      <c r="R18" s="633">
        <f t="shared" si="1"/>
        <v>167800</v>
      </c>
      <c r="S18" s="637" t="s">
        <v>932</v>
      </c>
    </row>
    <row r="19" spans="1:19" ht="31" x14ac:dyDescent="0.35">
      <c r="A19" s="627">
        <v>15</v>
      </c>
      <c r="B19" s="628" t="s">
        <v>1208</v>
      </c>
      <c r="C19" s="629" t="s">
        <v>1209</v>
      </c>
      <c r="D19" s="630" t="s">
        <v>19</v>
      </c>
      <c r="E19" s="632">
        <v>1520000</v>
      </c>
      <c r="F19" s="632"/>
      <c r="G19" s="632">
        <v>1260000</v>
      </c>
      <c r="H19" s="632" t="s">
        <v>1193</v>
      </c>
      <c r="I19" s="632">
        <v>1230000</v>
      </c>
      <c r="J19" s="638"/>
      <c r="K19" s="638"/>
      <c r="L19" s="632"/>
      <c r="M19" s="634"/>
      <c r="N19" s="635">
        <f>+MEDIAN(E19,G19,I19)</f>
        <v>1260000</v>
      </c>
      <c r="O19" s="635">
        <f>+AVERAGE(E19,G19,I19)</f>
        <v>1336666.6666666667</v>
      </c>
      <c r="P19" s="635">
        <f>+STDEV(E19,G19,I19)</f>
        <v>159478.31618540914</v>
      </c>
      <c r="Q19" s="636">
        <f t="shared" si="0"/>
        <v>0.11931046098659037</v>
      </c>
      <c r="R19" s="633">
        <f t="shared" si="1"/>
        <v>1336667</v>
      </c>
      <c r="S19" s="637" t="s">
        <v>932</v>
      </c>
    </row>
    <row r="20" spans="1:19" ht="46.5" x14ac:dyDescent="0.35">
      <c r="A20" s="627">
        <v>16</v>
      </c>
      <c r="B20" s="628" t="s">
        <v>1210</v>
      </c>
      <c r="C20" s="629" t="s">
        <v>1211</v>
      </c>
      <c r="D20" s="630" t="s">
        <v>19</v>
      </c>
      <c r="E20" s="632">
        <v>115900</v>
      </c>
      <c r="F20" s="632"/>
      <c r="G20" s="632"/>
      <c r="H20" s="632"/>
      <c r="I20" s="632"/>
      <c r="J20" s="632"/>
      <c r="K20" s="632">
        <v>111261</v>
      </c>
      <c r="L20" s="632"/>
      <c r="M20" s="634"/>
      <c r="N20" s="635">
        <f>+MEDIAN(E20,K20)</f>
        <v>113580.5</v>
      </c>
      <c r="O20" s="635">
        <f>+AVERAGE(E20,K20)</f>
        <v>113580.5</v>
      </c>
      <c r="P20" s="635">
        <f>+STDEV(E20,K20)</f>
        <v>3280.268357924394</v>
      </c>
      <c r="Q20" s="636">
        <f t="shared" si="0"/>
        <v>2.8880559232653438E-2</v>
      </c>
      <c r="R20" s="633">
        <f t="shared" si="1"/>
        <v>113581</v>
      </c>
      <c r="S20" s="637" t="s">
        <v>932</v>
      </c>
    </row>
    <row r="21" spans="1:19" ht="31" x14ac:dyDescent="0.35">
      <c r="A21" s="627">
        <v>17</v>
      </c>
      <c r="B21" s="628" t="s">
        <v>1212</v>
      </c>
      <c r="C21" s="629" t="s">
        <v>1213</v>
      </c>
      <c r="D21" s="630" t="s">
        <v>19</v>
      </c>
      <c r="E21" s="632">
        <v>85900</v>
      </c>
      <c r="F21" s="632"/>
      <c r="G21" s="632"/>
      <c r="H21" s="632"/>
      <c r="I21" s="632"/>
      <c r="J21" s="632"/>
      <c r="K21" s="632">
        <v>75000</v>
      </c>
      <c r="L21" s="632"/>
      <c r="M21" s="634"/>
      <c r="N21" s="635">
        <f>+MEDIAN(E21,K21)</f>
        <v>80450</v>
      </c>
      <c r="O21" s="635">
        <f>+AVERAGE(E21,K21)</f>
        <v>80450</v>
      </c>
      <c r="P21" s="635">
        <f>+STDEV(E21,K21)</f>
        <v>7707.463914933368</v>
      </c>
      <c r="Q21" s="636">
        <f t="shared" si="0"/>
        <v>9.5804399191216513E-2</v>
      </c>
      <c r="R21" s="633">
        <f t="shared" si="1"/>
        <v>80450</v>
      </c>
      <c r="S21" s="637" t="s">
        <v>932</v>
      </c>
    </row>
    <row r="22" spans="1:19" ht="93" x14ac:dyDescent="0.35">
      <c r="A22" s="627">
        <v>18</v>
      </c>
      <c r="B22" s="628" t="s">
        <v>1214</v>
      </c>
      <c r="C22" s="629" t="s">
        <v>1215</v>
      </c>
      <c r="D22" s="630" t="s">
        <v>19</v>
      </c>
      <c r="E22" s="632">
        <v>64900</v>
      </c>
      <c r="F22" s="632">
        <v>55990</v>
      </c>
      <c r="G22" s="638"/>
      <c r="H22" s="632"/>
      <c r="I22" s="632"/>
      <c r="J22" s="632"/>
      <c r="K22" s="632"/>
      <c r="L22" s="632"/>
      <c r="M22" s="634"/>
      <c r="N22" s="635">
        <f>+MEDIAN(E22,F22)</f>
        <v>60445</v>
      </c>
      <c r="O22" s="635">
        <f>+AVERAGE(E22,F22)</f>
        <v>60445</v>
      </c>
      <c r="P22" s="635">
        <f>+STDEV(E22,F22)</f>
        <v>6300.3214203721382</v>
      </c>
      <c r="Q22" s="636">
        <f t="shared" si="0"/>
        <v>0.10423230077545104</v>
      </c>
      <c r="R22" s="633">
        <f t="shared" si="1"/>
        <v>60445</v>
      </c>
      <c r="S22" s="637" t="s">
        <v>932</v>
      </c>
    </row>
    <row r="23" spans="1:19" ht="31" x14ac:dyDescent="0.35">
      <c r="A23" s="627">
        <v>19</v>
      </c>
      <c r="B23" s="628" t="s">
        <v>1216</v>
      </c>
      <c r="C23" s="629" t="s">
        <v>1217</v>
      </c>
      <c r="D23" s="630" t="s">
        <v>19</v>
      </c>
      <c r="E23" s="632">
        <v>174900</v>
      </c>
      <c r="F23" s="632"/>
      <c r="G23" s="638"/>
      <c r="H23" s="632"/>
      <c r="I23" s="632">
        <v>140000</v>
      </c>
      <c r="J23" s="638"/>
      <c r="K23" s="638"/>
      <c r="L23" s="632"/>
      <c r="M23" s="634"/>
      <c r="N23" s="635">
        <f>+MEDIAN(E23,I23)</f>
        <v>157450</v>
      </c>
      <c r="O23" s="635">
        <f>+AVERAGE(E23,I23)</f>
        <v>157450</v>
      </c>
      <c r="P23" s="635">
        <f>+STDEV(E23,I23)</f>
        <v>24678.02666341051</v>
      </c>
      <c r="Q23" s="636">
        <f t="shared" si="0"/>
        <v>0.15673564092353451</v>
      </c>
      <c r="R23" s="633">
        <f t="shared" si="1"/>
        <v>157450</v>
      </c>
      <c r="S23" s="637" t="s">
        <v>929</v>
      </c>
    </row>
    <row r="24" spans="1:19" ht="46.5" x14ac:dyDescent="0.35">
      <c r="A24" s="627">
        <v>20</v>
      </c>
      <c r="B24" s="628" t="s">
        <v>1218</v>
      </c>
      <c r="C24" s="629" t="s">
        <v>1219</v>
      </c>
      <c r="D24" s="630" t="s">
        <v>19</v>
      </c>
      <c r="E24" s="632">
        <v>1631900</v>
      </c>
      <c r="F24" s="632">
        <v>1631900</v>
      </c>
      <c r="G24" s="639"/>
      <c r="H24" s="632"/>
      <c r="I24" s="632"/>
      <c r="J24" s="632">
        <v>1550000</v>
      </c>
      <c r="K24" s="632"/>
      <c r="L24" s="632"/>
      <c r="M24" s="634"/>
      <c r="N24" s="635">
        <f>+MEDIAN(E24,F24,J24)</f>
        <v>1631900</v>
      </c>
      <c r="O24" s="635">
        <f>+AVERAGE(E24,F24,J24)</f>
        <v>1604600</v>
      </c>
      <c r="P24" s="635">
        <f>+STDEV(E24,F24,J24)</f>
        <v>47284.987046630347</v>
      </c>
      <c r="Q24" s="636">
        <f t="shared" si="0"/>
        <v>2.9468395267749189E-2</v>
      </c>
      <c r="R24" s="633">
        <f>ROUNDUP(IF(Q24&lt;15%,O24,N24),0)</f>
        <v>1604600</v>
      </c>
      <c r="S24" s="637" t="s">
        <v>932</v>
      </c>
    </row>
    <row r="25" spans="1:19" x14ac:dyDescent="0.35">
      <c r="A25" s="627">
        <v>21</v>
      </c>
      <c r="B25" s="628" t="s">
        <v>1220</v>
      </c>
      <c r="C25" s="629" t="s">
        <v>1221</v>
      </c>
      <c r="D25" s="630" t="s">
        <v>19</v>
      </c>
      <c r="E25" s="632">
        <v>117900</v>
      </c>
      <c r="F25" s="632">
        <v>94490</v>
      </c>
      <c r="G25" s="639"/>
      <c r="H25" s="632"/>
      <c r="I25" s="632"/>
      <c r="J25" s="632">
        <v>110350</v>
      </c>
      <c r="K25" s="632"/>
      <c r="L25" s="632"/>
      <c r="M25" s="634"/>
      <c r="N25" s="635">
        <f>+MEDIAN(E25,F25,J25)</f>
        <v>110350</v>
      </c>
      <c r="O25" s="635">
        <f>+AVERAGE(E25,F25,J25)</f>
        <v>107580</v>
      </c>
      <c r="P25" s="635">
        <f>+STDEV(E25,F25,J25)</f>
        <v>11948.29276507736</v>
      </c>
      <c r="Q25" s="636">
        <f t="shared" si="0"/>
        <v>0.11106425697227515</v>
      </c>
      <c r="R25" s="633">
        <f t="shared" si="1"/>
        <v>107580</v>
      </c>
      <c r="S25" s="637" t="s">
        <v>932</v>
      </c>
    </row>
    <row r="26" spans="1:19" x14ac:dyDescent="0.35">
      <c r="A26" s="627">
        <v>22</v>
      </c>
      <c r="B26" s="628" t="s">
        <v>1222</v>
      </c>
      <c r="C26" s="629" t="s">
        <v>1223</v>
      </c>
      <c r="D26" s="630" t="s">
        <v>19</v>
      </c>
      <c r="E26" s="632">
        <v>70900</v>
      </c>
      <c r="F26" s="632">
        <v>59990</v>
      </c>
      <c r="G26" s="638"/>
      <c r="H26" s="632"/>
      <c r="I26" s="632"/>
      <c r="J26" s="632"/>
      <c r="K26" s="632"/>
      <c r="L26" s="632"/>
      <c r="M26" s="634"/>
      <c r="N26" s="635">
        <f>+MEDIAN(E26,F26)</f>
        <v>65445</v>
      </c>
      <c r="O26" s="635">
        <f>+AVERAGE(E26,F26)</f>
        <v>65445</v>
      </c>
      <c r="P26" s="635">
        <f>+STDEV(E26,F26)</f>
        <v>7714.5349827452337</v>
      </c>
      <c r="Q26" s="636">
        <f t="shared" si="0"/>
        <v>0.11787814168760384</v>
      </c>
      <c r="R26" s="633">
        <f t="shared" si="1"/>
        <v>65445</v>
      </c>
      <c r="S26" s="637" t="s">
        <v>932</v>
      </c>
    </row>
    <row r="27" spans="1:19" x14ac:dyDescent="0.35">
      <c r="A27" s="627">
        <v>23</v>
      </c>
      <c r="B27" s="628" t="s">
        <v>1224</v>
      </c>
      <c r="C27" s="629" t="s">
        <v>1225</v>
      </c>
      <c r="D27" s="630" t="s">
        <v>19</v>
      </c>
      <c r="E27" s="632">
        <v>12900</v>
      </c>
      <c r="F27" s="632">
        <v>12490</v>
      </c>
      <c r="G27" s="638"/>
      <c r="H27" s="632">
        <v>10000</v>
      </c>
      <c r="I27" s="632" t="s">
        <v>1193</v>
      </c>
      <c r="J27" s="632"/>
      <c r="K27" s="632"/>
      <c r="L27" s="632"/>
      <c r="M27" s="634"/>
      <c r="N27" s="635">
        <f>+MEDIAN(E27,F27,H27)</f>
        <v>12490</v>
      </c>
      <c r="O27" s="635">
        <f>+AVERAGE(E27,F27,H27)</f>
        <v>11796.666666666666</v>
      </c>
      <c r="P27" s="635">
        <f>+STDEV(E27,F27,H27)</f>
        <v>1569.4054075774504</v>
      </c>
      <c r="Q27" s="636">
        <f t="shared" si="0"/>
        <v>0.1330380396364044</v>
      </c>
      <c r="R27" s="633">
        <f t="shared" si="1"/>
        <v>11797</v>
      </c>
      <c r="S27" s="637" t="s">
        <v>932</v>
      </c>
    </row>
    <row r="28" spans="1:19" ht="108.5" x14ac:dyDescent="0.35">
      <c r="A28" s="627">
        <v>24</v>
      </c>
      <c r="B28" s="628" t="s">
        <v>1226</v>
      </c>
      <c r="C28" s="629" t="s">
        <v>1227</v>
      </c>
      <c r="D28" s="630" t="s">
        <v>19</v>
      </c>
      <c r="E28" s="632"/>
      <c r="F28" s="632">
        <v>230994</v>
      </c>
      <c r="G28" s="632"/>
      <c r="H28" s="632" t="s">
        <v>1193</v>
      </c>
      <c r="I28" s="632"/>
      <c r="J28" s="632">
        <v>239820</v>
      </c>
      <c r="K28" s="632"/>
      <c r="L28" s="632"/>
      <c r="M28" s="634"/>
      <c r="N28" s="635">
        <f>+MEDIAN(F28,J28)</f>
        <v>235407</v>
      </c>
      <c r="O28" s="635">
        <f>+AVERAGE(F28,J28)</f>
        <v>235407</v>
      </c>
      <c r="P28" s="635">
        <f>+STDEV(F28,J28)</f>
        <v>6240.9244507524681</v>
      </c>
      <c r="Q28" s="636">
        <f t="shared" si="0"/>
        <v>2.6511210162622471E-2</v>
      </c>
      <c r="R28" s="633">
        <f t="shared" si="1"/>
        <v>235407</v>
      </c>
      <c r="S28" s="637" t="s">
        <v>932</v>
      </c>
    </row>
    <row r="29" spans="1:19" x14ac:dyDescent="0.35">
      <c r="A29" s="627">
        <v>25</v>
      </c>
      <c r="B29" s="628" t="s">
        <v>1228</v>
      </c>
      <c r="C29" s="629" t="s">
        <v>1229</v>
      </c>
      <c r="D29" s="630" t="s">
        <v>19</v>
      </c>
      <c r="E29" s="632">
        <v>79900</v>
      </c>
      <c r="F29" s="632">
        <v>79900</v>
      </c>
      <c r="G29" s="639"/>
      <c r="H29" s="632"/>
      <c r="I29" s="632"/>
      <c r="J29" s="632">
        <v>73300</v>
      </c>
      <c r="K29" s="632"/>
      <c r="L29" s="632"/>
      <c r="M29" s="634"/>
      <c r="N29" s="635">
        <f>+MEDIAN(E29,F29,J29)</f>
        <v>79900</v>
      </c>
      <c r="O29" s="635">
        <f>+AVERAGE(E29,F29,J29)</f>
        <v>77700</v>
      </c>
      <c r="P29" s="635">
        <f>+STDEV(E29,F29,J29)</f>
        <v>3810.51177665153</v>
      </c>
      <c r="Q29" s="636">
        <f t="shared" si="0"/>
        <v>4.9041335606840798E-2</v>
      </c>
      <c r="R29" s="633">
        <f t="shared" si="1"/>
        <v>77700</v>
      </c>
      <c r="S29" s="637" t="s">
        <v>932</v>
      </c>
    </row>
    <row r="30" spans="1:19" x14ac:dyDescent="0.35">
      <c r="A30" s="627">
        <v>26</v>
      </c>
      <c r="B30" s="628" t="s">
        <v>1230</v>
      </c>
      <c r="C30" s="629" t="s">
        <v>1231</v>
      </c>
      <c r="D30" s="630" t="s">
        <v>19</v>
      </c>
      <c r="E30" s="632">
        <v>589900</v>
      </c>
      <c r="F30" s="632"/>
      <c r="G30" s="639"/>
      <c r="H30" s="632"/>
      <c r="I30" s="632"/>
      <c r="J30" s="632">
        <v>525250</v>
      </c>
      <c r="K30" s="632"/>
      <c r="L30" s="632"/>
      <c r="M30" s="634"/>
      <c r="N30" s="635">
        <f>+MEDIAN(E30,J30)</f>
        <v>557575</v>
      </c>
      <c r="O30" s="635">
        <f>+AVERAGE(E30,J30)</f>
        <v>557575</v>
      </c>
      <c r="P30" s="635">
        <f>+STDEV(E30,J30)</f>
        <v>45714.4534037103</v>
      </c>
      <c r="Q30" s="636">
        <f t="shared" si="0"/>
        <v>8.1987989783814372E-2</v>
      </c>
      <c r="R30" s="633">
        <f t="shared" si="1"/>
        <v>557575</v>
      </c>
      <c r="S30" s="637" t="s">
        <v>932</v>
      </c>
    </row>
    <row r="31" spans="1:19" x14ac:dyDescent="0.35">
      <c r="A31" s="627">
        <v>27</v>
      </c>
      <c r="B31" s="628" t="s">
        <v>1232</v>
      </c>
      <c r="C31" s="629" t="s">
        <v>1233</v>
      </c>
      <c r="D31" s="630" t="s">
        <v>19</v>
      </c>
      <c r="E31" s="632">
        <v>28900</v>
      </c>
      <c r="F31" s="632"/>
      <c r="G31" s="639"/>
      <c r="H31" s="632"/>
      <c r="I31" s="632"/>
      <c r="J31" s="632">
        <v>26760</v>
      </c>
      <c r="K31" s="632"/>
      <c r="L31" s="632"/>
      <c r="M31" s="634"/>
      <c r="N31" s="635">
        <f>+MEDIAN(E31,J31)</f>
        <v>27830</v>
      </c>
      <c r="O31" s="635">
        <f>+AVERAGE(E31,J31)</f>
        <v>27830</v>
      </c>
      <c r="P31" s="635">
        <f>+STDEV(E31,J31)</f>
        <v>1513.2085117392116</v>
      </c>
      <c r="Q31" s="636">
        <f t="shared" si="0"/>
        <v>5.4373284647474367E-2</v>
      </c>
      <c r="R31" s="633">
        <f t="shared" si="1"/>
        <v>27830</v>
      </c>
      <c r="S31" s="637" t="s">
        <v>932</v>
      </c>
    </row>
    <row r="32" spans="1:19" ht="31" x14ac:dyDescent="0.35">
      <c r="A32" s="627">
        <v>28</v>
      </c>
      <c r="B32" s="628" t="s">
        <v>1234</v>
      </c>
      <c r="C32" s="629" t="s">
        <v>1235</v>
      </c>
      <c r="D32" s="630" t="s">
        <v>19</v>
      </c>
      <c r="E32" s="632">
        <v>29900</v>
      </c>
      <c r="F32" s="632"/>
      <c r="G32" s="639"/>
      <c r="H32" s="632"/>
      <c r="I32" s="632"/>
      <c r="J32" s="632">
        <v>25370</v>
      </c>
      <c r="K32" s="632"/>
      <c r="L32" s="632"/>
      <c r="M32" s="634"/>
      <c r="N32" s="635">
        <f>+MEDIAN(E32,J32)</f>
        <v>27635</v>
      </c>
      <c r="O32" s="635">
        <f>+AVERAGE(E32,J32)</f>
        <v>27635</v>
      </c>
      <c r="P32" s="635">
        <f>+STDEV(E32,J32)</f>
        <v>3203.1937187750605</v>
      </c>
      <c r="Q32" s="636">
        <f t="shared" si="0"/>
        <v>0.11591075515741127</v>
      </c>
      <c r="R32" s="633">
        <f t="shared" si="1"/>
        <v>27635</v>
      </c>
      <c r="S32" s="637" t="s">
        <v>932</v>
      </c>
    </row>
    <row r="33" spans="1:19" ht="108.5" x14ac:dyDescent="0.35">
      <c r="A33" s="627">
        <v>29</v>
      </c>
      <c r="B33" s="628" t="s">
        <v>1236</v>
      </c>
      <c r="C33" s="629" t="s">
        <v>1237</v>
      </c>
      <c r="D33" s="630" t="s">
        <v>19</v>
      </c>
      <c r="E33" s="632">
        <v>348900</v>
      </c>
      <c r="F33" s="632"/>
      <c r="G33" s="639"/>
      <c r="H33" s="632"/>
      <c r="I33" s="632"/>
      <c r="J33" s="632">
        <v>330130</v>
      </c>
      <c r="K33" s="632"/>
      <c r="L33" s="632"/>
      <c r="M33" s="634"/>
      <c r="N33" s="635">
        <f>+MEDIAN(E33,J33)</f>
        <v>339515</v>
      </c>
      <c r="O33" s="635">
        <f>+AVERAGE(E33,J33)</f>
        <v>339515</v>
      </c>
      <c r="P33" s="635">
        <f>+STDEV(E33,J33)</f>
        <v>13272.394282871497</v>
      </c>
      <c r="Q33" s="636">
        <f t="shared" si="0"/>
        <v>3.9092217671889307E-2</v>
      </c>
      <c r="R33" s="633">
        <f t="shared" si="1"/>
        <v>339515</v>
      </c>
      <c r="S33" s="637" t="s">
        <v>932</v>
      </c>
    </row>
    <row r="34" spans="1:19" s="640" customFormat="1" x14ac:dyDescent="0.35">
      <c r="A34" s="627">
        <v>30</v>
      </c>
      <c r="B34" s="628" t="s">
        <v>1238</v>
      </c>
      <c r="C34" s="629" t="s">
        <v>1239</v>
      </c>
      <c r="D34" s="630" t="s">
        <v>19</v>
      </c>
      <c r="E34" s="632">
        <v>29900</v>
      </c>
      <c r="F34" s="632"/>
      <c r="G34" s="639"/>
      <c r="H34" s="632"/>
      <c r="I34" s="632"/>
      <c r="J34" s="632"/>
      <c r="K34" s="632">
        <v>26639</v>
      </c>
      <c r="L34" s="632"/>
      <c r="M34" s="634"/>
      <c r="N34" s="635">
        <f>+MEDIAN(E34,K34)</f>
        <v>28269.5</v>
      </c>
      <c r="O34" s="635">
        <f>+AVERAGE(E34,K34)</f>
        <v>28269.5</v>
      </c>
      <c r="P34" s="635">
        <f>+STDEV(E34,K34)</f>
        <v>2305.8752134493316</v>
      </c>
      <c r="Q34" s="636">
        <f t="shared" si="0"/>
        <v>8.1567598063260111E-2</v>
      </c>
      <c r="R34" s="633">
        <f t="shared" si="1"/>
        <v>28270</v>
      </c>
      <c r="S34" s="637" t="s">
        <v>932</v>
      </c>
    </row>
    <row r="35" spans="1:19" s="640" customFormat="1" ht="31" x14ac:dyDescent="0.35">
      <c r="A35" s="627">
        <v>31</v>
      </c>
      <c r="B35" s="628" t="s">
        <v>1240</v>
      </c>
      <c r="C35" s="629" t="s">
        <v>1241</v>
      </c>
      <c r="D35" s="630" t="s">
        <v>19</v>
      </c>
      <c r="E35" s="632">
        <v>285000</v>
      </c>
      <c r="F35" s="632"/>
      <c r="G35" s="638"/>
      <c r="H35" s="632"/>
      <c r="I35" s="632">
        <v>273000</v>
      </c>
      <c r="J35" s="638"/>
      <c r="K35" s="638"/>
      <c r="L35" s="632"/>
      <c r="M35" s="634"/>
      <c r="N35" s="635">
        <f>+MEDIAN(E35,I35)</f>
        <v>279000</v>
      </c>
      <c r="O35" s="635">
        <f>+AVERAGE(E35,I35)</f>
        <v>279000</v>
      </c>
      <c r="P35" s="635">
        <f>+STDEV(E35,I35)</f>
        <v>8485.2813742385697</v>
      </c>
      <c r="Q35" s="636">
        <f t="shared" si="0"/>
        <v>3.0413194889743977E-2</v>
      </c>
      <c r="R35" s="633">
        <f t="shared" si="1"/>
        <v>279000</v>
      </c>
      <c r="S35" s="637" t="s">
        <v>932</v>
      </c>
    </row>
    <row r="36" spans="1:19" s="640" customFormat="1" x14ac:dyDescent="0.35">
      <c r="A36" s="627">
        <v>32</v>
      </c>
      <c r="B36" s="628" t="s">
        <v>1242</v>
      </c>
      <c r="C36" s="629" t="s">
        <v>1243</v>
      </c>
      <c r="D36" s="630" t="s">
        <v>19</v>
      </c>
      <c r="E36" s="632">
        <v>22900</v>
      </c>
      <c r="F36" s="632"/>
      <c r="G36" s="639"/>
      <c r="H36" s="632">
        <v>15000</v>
      </c>
      <c r="I36" s="632"/>
      <c r="J36" s="632"/>
      <c r="K36" s="632"/>
      <c r="L36" s="632"/>
      <c r="M36" s="634"/>
      <c r="N36" s="635">
        <f>+MEDIAN(E36,H36)</f>
        <v>18950</v>
      </c>
      <c r="O36" s="635">
        <f>+AVERAGE(E36,H36)</f>
        <v>18950</v>
      </c>
      <c r="P36" s="635">
        <f>+STDEV(E36,H36)</f>
        <v>5586.1435713737255</v>
      </c>
      <c r="Q36" s="636">
        <f t="shared" si="0"/>
        <v>0.29478330191945779</v>
      </c>
      <c r="R36" s="633">
        <f t="shared" si="1"/>
        <v>18950</v>
      </c>
      <c r="S36" s="637" t="s">
        <v>929</v>
      </c>
    </row>
    <row r="37" spans="1:19" s="640" customFormat="1" x14ac:dyDescent="0.35">
      <c r="A37" s="627">
        <v>33</v>
      </c>
      <c r="B37" s="628" t="s">
        <v>1187</v>
      </c>
      <c r="C37" s="629" t="s">
        <v>1244</v>
      </c>
      <c r="D37" s="630" t="s">
        <v>19</v>
      </c>
      <c r="E37" s="632"/>
      <c r="F37" s="632"/>
      <c r="G37" s="632">
        <v>4500</v>
      </c>
      <c r="H37" s="632">
        <v>5000</v>
      </c>
      <c r="I37" s="632" t="s">
        <v>1193</v>
      </c>
      <c r="J37" s="632"/>
      <c r="K37" s="632"/>
      <c r="L37" s="632">
        <v>4621.8500000000004</v>
      </c>
      <c r="M37" s="634"/>
      <c r="N37" s="635">
        <f>+MEDIAN(G37,H37,L37)</f>
        <v>4621.8500000000004</v>
      </c>
      <c r="O37" s="635">
        <f>+AVERAGE(G37,H37,L37)</f>
        <v>4707.2833333333338</v>
      </c>
      <c r="P37" s="635">
        <f>+STDEV(G37,H37,L37)</f>
        <v>260.7185088046748</v>
      </c>
      <c r="Q37" s="636">
        <f t="shared" si="0"/>
        <v>5.5386194189431574E-2</v>
      </c>
      <c r="R37" s="633">
        <f t="shared" si="1"/>
        <v>4708</v>
      </c>
      <c r="S37" s="637" t="s">
        <v>932</v>
      </c>
    </row>
    <row r="38" spans="1:19" s="640" customFormat="1" x14ac:dyDescent="0.35">
      <c r="A38" s="627">
        <v>34</v>
      </c>
      <c r="B38" s="628" t="s">
        <v>1187</v>
      </c>
      <c r="C38" s="629" t="s">
        <v>1245</v>
      </c>
      <c r="D38" s="630" t="s">
        <v>19</v>
      </c>
      <c r="E38" s="632"/>
      <c r="F38" s="632"/>
      <c r="G38" s="632"/>
      <c r="H38" s="632">
        <v>8000</v>
      </c>
      <c r="I38" s="632">
        <v>7500</v>
      </c>
      <c r="J38" s="632"/>
      <c r="K38" s="632"/>
      <c r="L38" s="632"/>
      <c r="M38" s="634"/>
      <c r="N38" s="635">
        <f>+MEDIAN(H38,I38)</f>
        <v>7750</v>
      </c>
      <c r="O38" s="635">
        <f>+AVERAGE(H38,I38)</f>
        <v>7750</v>
      </c>
      <c r="P38" s="635">
        <f>+STDEV(H38,I38)</f>
        <v>353.55339059327378</v>
      </c>
      <c r="Q38" s="636">
        <f t="shared" si="0"/>
        <v>4.5619792334615973E-2</v>
      </c>
      <c r="R38" s="633">
        <f t="shared" si="1"/>
        <v>7750</v>
      </c>
      <c r="S38" s="637" t="s">
        <v>932</v>
      </c>
    </row>
    <row r="39" spans="1:19" s="640" customFormat="1" x14ac:dyDescent="0.35">
      <c r="A39" s="627">
        <v>35</v>
      </c>
      <c r="B39" s="628" t="s">
        <v>1187</v>
      </c>
      <c r="C39" s="629" t="s">
        <v>1246</v>
      </c>
      <c r="D39" s="630" t="s">
        <v>19</v>
      </c>
      <c r="E39" s="632">
        <v>15900</v>
      </c>
      <c r="F39" s="632">
        <v>14490</v>
      </c>
      <c r="G39" s="632"/>
      <c r="H39" s="632"/>
      <c r="I39" s="632"/>
      <c r="J39" s="632"/>
      <c r="K39" s="632"/>
      <c r="L39" s="632"/>
      <c r="M39" s="634"/>
      <c r="N39" s="635">
        <f t="shared" ref="N39:N46" si="2">+MEDIAN(E39,F39)</f>
        <v>15195</v>
      </c>
      <c r="O39" s="635">
        <f t="shared" ref="O39:O64" si="3">+AVERAGE(E39,F39)</f>
        <v>15195</v>
      </c>
      <c r="P39" s="635">
        <f t="shared" ref="P39:P64" si="4">+STDEV(E39,F39)</f>
        <v>997.02056147303199</v>
      </c>
      <c r="Q39" s="636">
        <f t="shared" si="0"/>
        <v>6.5615041887004413E-2</v>
      </c>
      <c r="R39" s="633">
        <f t="shared" si="1"/>
        <v>15195</v>
      </c>
      <c r="S39" s="637" t="s">
        <v>932</v>
      </c>
    </row>
    <row r="40" spans="1:19" s="640" customFormat="1" ht="31" x14ac:dyDescent="0.35">
      <c r="A40" s="627">
        <v>36</v>
      </c>
      <c r="B40" s="628" t="s">
        <v>1247</v>
      </c>
      <c r="C40" s="629" t="s">
        <v>1248</v>
      </c>
      <c r="D40" s="630" t="s">
        <v>19</v>
      </c>
      <c r="E40" s="632">
        <v>32500</v>
      </c>
      <c r="F40" s="632">
        <v>31700</v>
      </c>
      <c r="G40" s="638"/>
      <c r="H40" s="632"/>
      <c r="I40" s="632"/>
      <c r="J40" s="632"/>
      <c r="K40" s="632"/>
      <c r="L40" s="632"/>
      <c r="M40" s="634"/>
      <c r="N40" s="635">
        <f t="shared" si="2"/>
        <v>32100</v>
      </c>
      <c r="O40" s="635">
        <f t="shared" si="3"/>
        <v>32100</v>
      </c>
      <c r="P40" s="635">
        <f t="shared" si="4"/>
        <v>565.68542494923804</v>
      </c>
      <c r="Q40" s="636">
        <f t="shared" si="0"/>
        <v>1.7622598908075951E-2</v>
      </c>
      <c r="R40" s="633">
        <f t="shared" si="1"/>
        <v>32100</v>
      </c>
      <c r="S40" s="637" t="s">
        <v>932</v>
      </c>
    </row>
    <row r="41" spans="1:19" s="640" customFormat="1" ht="31" x14ac:dyDescent="0.35">
      <c r="A41" s="627">
        <v>37</v>
      </c>
      <c r="B41" s="628" t="s">
        <v>1249</v>
      </c>
      <c r="C41" s="629" t="s">
        <v>1250</v>
      </c>
      <c r="D41" s="630" t="s">
        <v>19</v>
      </c>
      <c r="E41" s="632">
        <v>9900</v>
      </c>
      <c r="F41" s="632">
        <v>8600</v>
      </c>
      <c r="G41" s="641"/>
      <c r="H41" s="632"/>
      <c r="I41" s="632"/>
      <c r="J41" s="632"/>
      <c r="K41" s="632"/>
      <c r="L41" s="632"/>
      <c r="M41" s="632"/>
      <c r="N41" s="635">
        <f t="shared" si="2"/>
        <v>9250</v>
      </c>
      <c r="O41" s="635">
        <f t="shared" si="3"/>
        <v>9250</v>
      </c>
      <c r="P41" s="635">
        <f t="shared" si="4"/>
        <v>919.23881554251182</v>
      </c>
      <c r="Q41" s="636">
        <f t="shared" si="0"/>
        <v>9.9377169247839112E-2</v>
      </c>
      <c r="R41" s="633">
        <f t="shared" si="1"/>
        <v>9250</v>
      </c>
      <c r="S41" s="637" t="s">
        <v>932</v>
      </c>
    </row>
    <row r="42" spans="1:19" s="640" customFormat="1" ht="31" x14ac:dyDescent="0.35">
      <c r="A42" s="627">
        <v>38</v>
      </c>
      <c r="B42" s="628" t="s">
        <v>1249</v>
      </c>
      <c r="C42" s="629" t="s">
        <v>1251</v>
      </c>
      <c r="D42" s="630" t="s">
        <v>19</v>
      </c>
      <c r="E42" s="632">
        <v>18900</v>
      </c>
      <c r="F42" s="632">
        <v>13900</v>
      </c>
      <c r="G42" s="641"/>
      <c r="H42" s="632"/>
      <c r="I42" s="632"/>
      <c r="J42" s="632"/>
      <c r="K42" s="632"/>
      <c r="L42" s="632"/>
      <c r="M42" s="634"/>
      <c r="N42" s="635">
        <f t="shared" si="2"/>
        <v>16400</v>
      </c>
      <c r="O42" s="635">
        <f t="shared" si="3"/>
        <v>16400</v>
      </c>
      <c r="P42" s="635">
        <f t="shared" si="4"/>
        <v>3535.5339059327375</v>
      </c>
      <c r="Q42" s="636">
        <f t="shared" si="0"/>
        <v>0.21558133572760596</v>
      </c>
      <c r="R42" s="633">
        <f t="shared" si="1"/>
        <v>16400</v>
      </c>
      <c r="S42" s="637" t="s">
        <v>929</v>
      </c>
    </row>
    <row r="43" spans="1:19" s="640" customFormat="1" x14ac:dyDescent="0.35">
      <c r="A43" s="627">
        <v>39</v>
      </c>
      <c r="B43" s="628" t="s">
        <v>1252</v>
      </c>
      <c r="C43" s="629" t="s">
        <v>1253</v>
      </c>
      <c r="D43" s="630" t="s">
        <v>19</v>
      </c>
      <c r="E43" s="632">
        <v>10900</v>
      </c>
      <c r="F43" s="632">
        <v>10490</v>
      </c>
      <c r="G43" s="632"/>
      <c r="H43" s="632"/>
      <c r="I43" s="632"/>
      <c r="J43" s="632"/>
      <c r="K43" s="632"/>
      <c r="L43" s="632"/>
      <c r="M43" s="634"/>
      <c r="N43" s="635">
        <f t="shared" si="2"/>
        <v>10695</v>
      </c>
      <c r="O43" s="635">
        <f t="shared" si="3"/>
        <v>10695</v>
      </c>
      <c r="P43" s="635">
        <f t="shared" si="4"/>
        <v>289.9137802864845</v>
      </c>
      <c r="Q43" s="636">
        <f t="shared" si="0"/>
        <v>2.7107412836510938E-2</v>
      </c>
      <c r="R43" s="633">
        <f t="shared" si="1"/>
        <v>10695</v>
      </c>
      <c r="S43" s="637" t="s">
        <v>932</v>
      </c>
    </row>
    <row r="44" spans="1:19" s="640" customFormat="1" ht="31" x14ac:dyDescent="0.35">
      <c r="A44" s="627">
        <v>40</v>
      </c>
      <c r="B44" s="628" t="s">
        <v>1252</v>
      </c>
      <c r="C44" s="629" t="s">
        <v>1254</v>
      </c>
      <c r="D44" s="630" t="s">
        <v>19</v>
      </c>
      <c r="E44" s="632">
        <v>12900</v>
      </c>
      <c r="F44" s="632">
        <v>9990</v>
      </c>
      <c r="G44" s="632"/>
      <c r="H44" s="632"/>
      <c r="I44" s="632"/>
      <c r="J44" s="632"/>
      <c r="K44" s="632"/>
      <c r="L44" s="632"/>
      <c r="M44" s="634"/>
      <c r="N44" s="635">
        <f t="shared" si="2"/>
        <v>11445</v>
      </c>
      <c r="O44" s="635">
        <f t="shared" si="3"/>
        <v>11445</v>
      </c>
      <c r="P44" s="635">
        <f t="shared" si="4"/>
        <v>2057.6807332528533</v>
      </c>
      <c r="Q44" s="636">
        <f t="shared" si="0"/>
        <v>0.17978861802121915</v>
      </c>
      <c r="R44" s="633">
        <f t="shared" si="1"/>
        <v>11445</v>
      </c>
      <c r="S44" s="637" t="s">
        <v>929</v>
      </c>
    </row>
    <row r="45" spans="1:19" s="640" customFormat="1" x14ac:dyDescent="0.35">
      <c r="A45" s="627">
        <v>41</v>
      </c>
      <c r="B45" s="628" t="s">
        <v>1255</v>
      </c>
      <c r="C45" s="629" t="s">
        <v>1256</v>
      </c>
      <c r="D45" s="630" t="s">
        <v>19</v>
      </c>
      <c r="E45" s="632">
        <v>7900</v>
      </c>
      <c r="F45" s="632">
        <v>9990</v>
      </c>
      <c r="G45" s="632"/>
      <c r="H45" s="632"/>
      <c r="I45" s="632"/>
      <c r="J45" s="632"/>
      <c r="K45" s="632"/>
      <c r="L45" s="632"/>
      <c r="M45" s="634"/>
      <c r="N45" s="635">
        <f t="shared" si="2"/>
        <v>8945</v>
      </c>
      <c r="O45" s="635">
        <f t="shared" si="3"/>
        <v>8945</v>
      </c>
      <c r="P45" s="635">
        <f t="shared" si="4"/>
        <v>1477.8531726798844</v>
      </c>
      <c r="Q45" s="636">
        <f t="shared" si="0"/>
        <v>0.16521555871211677</v>
      </c>
      <c r="R45" s="633">
        <f t="shared" si="1"/>
        <v>8945</v>
      </c>
      <c r="S45" s="637" t="s">
        <v>929</v>
      </c>
    </row>
    <row r="46" spans="1:19" s="640" customFormat="1" x14ac:dyDescent="0.35">
      <c r="A46" s="627">
        <v>42</v>
      </c>
      <c r="B46" s="628" t="s">
        <v>1255</v>
      </c>
      <c r="C46" s="629" t="s">
        <v>1257</v>
      </c>
      <c r="D46" s="630" t="s">
        <v>19</v>
      </c>
      <c r="E46" s="632">
        <v>9900</v>
      </c>
      <c r="F46" s="632">
        <v>11990</v>
      </c>
      <c r="G46" s="632"/>
      <c r="H46" s="632"/>
      <c r="I46" s="632"/>
      <c r="J46" s="632"/>
      <c r="K46" s="632"/>
      <c r="L46" s="632"/>
      <c r="M46" s="634"/>
      <c r="N46" s="635">
        <f t="shared" si="2"/>
        <v>10945</v>
      </c>
      <c r="O46" s="635">
        <f t="shared" si="3"/>
        <v>10945</v>
      </c>
      <c r="P46" s="635">
        <f t="shared" si="4"/>
        <v>1477.8531726798844</v>
      </c>
      <c r="Q46" s="636">
        <f t="shared" si="0"/>
        <v>0.13502541550295882</v>
      </c>
      <c r="R46" s="633">
        <f t="shared" si="1"/>
        <v>10945</v>
      </c>
      <c r="S46" s="637" t="s">
        <v>932</v>
      </c>
    </row>
    <row r="47" spans="1:19" s="640" customFormat="1" ht="31" x14ac:dyDescent="0.35">
      <c r="A47" s="627">
        <v>43</v>
      </c>
      <c r="B47" s="628" t="s">
        <v>1258</v>
      </c>
      <c r="C47" s="629" t="s">
        <v>1259</v>
      </c>
      <c r="D47" s="630" t="s">
        <v>19</v>
      </c>
      <c r="E47" s="632"/>
      <c r="F47" s="632">
        <v>9490</v>
      </c>
      <c r="G47" s="632"/>
      <c r="H47" s="632" t="s">
        <v>1193</v>
      </c>
      <c r="I47" s="632">
        <v>8000</v>
      </c>
      <c r="J47" s="632"/>
      <c r="K47" s="632"/>
      <c r="L47" s="632"/>
      <c r="M47" s="634"/>
      <c r="N47" s="635">
        <f>+MEDIAN(F47,I47)</f>
        <v>8745</v>
      </c>
      <c r="O47" s="635">
        <f>+AVERAGE(F47,I47)</f>
        <v>8745</v>
      </c>
      <c r="P47" s="635">
        <f>+STDEV(F47,I47)</f>
        <v>1053.5891039679559</v>
      </c>
      <c r="Q47" s="636">
        <f t="shared" si="0"/>
        <v>0.1204790284697491</v>
      </c>
      <c r="R47" s="633">
        <f t="shared" si="1"/>
        <v>8745</v>
      </c>
      <c r="S47" s="637" t="s">
        <v>932</v>
      </c>
    </row>
    <row r="48" spans="1:19" s="640" customFormat="1" ht="31" x14ac:dyDescent="0.35">
      <c r="A48" s="627">
        <v>44</v>
      </c>
      <c r="B48" s="628" t="s">
        <v>1260</v>
      </c>
      <c r="C48" s="629" t="s">
        <v>1261</v>
      </c>
      <c r="D48" s="630" t="s">
        <v>19</v>
      </c>
      <c r="E48" s="632">
        <v>59900</v>
      </c>
      <c r="F48" s="632"/>
      <c r="G48" s="641"/>
      <c r="H48" s="632"/>
      <c r="I48" s="632"/>
      <c r="J48" s="632"/>
      <c r="K48" s="632">
        <v>62521</v>
      </c>
      <c r="L48" s="632"/>
      <c r="M48" s="634"/>
      <c r="N48" s="635">
        <f>+MEDIAN(E48,K48)</f>
        <v>61210.5</v>
      </c>
      <c r="O48" s="635">
        <f>+AVERAGE(E48,K48)</f>
        <v>61210.5</v>
      </c>
      <c r="P48" s="635">
        <f>+STDEV(E48,K48)</f>
        <v>1853.3268734899411</v>
      </c>
      <c r="Q48" s="636">
        <f t="shared" si="0"/>
        <v>3.0277924105993923E-2</v>
      </c>
      <c r="R48" s="633">
        <f t="shared" si="1"/>
        <v>61211</v>
      </c>
      <c r="S48" s="637" t="s">
        <v>932</v>
      </c>
    </row>
    <row r="49" spans="1:22" s="640" customFormat="1" x14ac:dyDescent="0.35">
      <c r="A49" s="627">
        <v>45</v>
      </c>
      <c r="B49" s="628" t="s">
        <v>1262</v>
      </c>
      <c r="C49" s="629" t="s">
        <v>1263</v>
      </c>
      <c r="D49" s="630" t="s">
        <v>19</v>
      </c>
      <c r="E49" s="632"/>
      <c r="F49" s="632">
        <v>34990</v>
      </c>
      <c r="G49" s="632"/>
      <c r="H49" s="632" t="s">
        <v>1193</v>
      </c>
      <c r="I49" s="632"/>
      <c r="J49" s="632"/>
      <c r="K49" s="632">
        <v>32900</v>
      </c>
      <c r="L49" s="632"/>
      <c r="M49" s="634"/>
      <c r="N49" s="635">
        <f>+MEDIAN(F49,K49)</f>
        <v>33945</v>
      </c>
      <c r="O49" s="635">
        <f>+AVERAGE(F49,K49)</f>
        <v>33945</v>
      </c>
      <c r="P49" s="635">
        <f>+STDEV(F49,K49)</f>
        <v>1477.8531726798844</v>
      </c>
      <c r="Q49" s="636">
        <f t="shared" si="0"/>
        <v>4.3536696794222549E-2</v>
      </c>
      <c r="R49" s="633">
        <f t="shared" si="1"/>
        <v>33945</v>
      </c>
      <c r="S49" s="637" t="s">
        <v>932</v>
      </c>
    </row>
    <row r="50" spans="1:22" ht="31" x14ac:dyDescent="0.35">
      <c r="A50" s="627">
        <v>46</v>
      </c>
      <c r="B50" s="628" t="s">
        <v>1264</v>
      </c>
      <c r="C50" s="629" t="s">
        <v>1265</v>
      </c>
      <c r="D50" s="630" t="s">
        <v>19</v>
      </c>
      <c r="E50" s="632">
        <v>5100</v>
      </c>
      <c r="F50" s="632"/>
      <c r="G50" s="632"/>
      <c r="H50" s="632"/>
      <c r="I50" s="632">
        <v>4500</v>
      </c>
      <c r="J50" s="632"/>
      <c r="K50" s="632"/>
      <c r="L50" s="632"/>
      <c r="M50" s="634"/>
      <c r="N50" s="635">
        <f>+MEDIAN(E50,I50)</f>
        <v>4800</v>
      </c>
      <c r="O50" s="635">
        <f>+AVERAGE(E50,I50)</f>
        <v>4800</v>
      </c>
      <c r="P50" s="635">
        <f>+STDEV(E50,I50)</f>
        <v>424.26406871192853</v>
      </c>
      <c r="Q50" s="636">
        <f t="shared" si="0"/>
        <v>8.8388347648318447E-2</v>
      </c>
      <c r="R50" s="633">
        <f t="shared" si="1"/>
        <v>4800</v>
      </c>
      <c r="S50" s="637" t="s">
        <v>932</v>
      </c>
    </row>
    <row r="51" spans="1:22" ht="31" x14ac:dyDescent="0.35">
      <c r="A51" s="627">
        <v>47</v>
      </c>
      <c r="B51" s="628" t="s">
        <v>1188</v>
      </c>
      <c r="C51" s="629" t="s">
        <v>36</v>
      </c>
      <c r="D51" s="630" t="s">
        <v>19</v>
      </c>
      <c r="E51" s="632">
        <v>7900</v>
      </c>
      <c r="F51" s="632">
        <v>8490</v>
      </c>
      <c r="G51" s="632"/>
      <c r="H51" s="632"/>
      <c r="I51" s="632"/>
      <c r="J51" s="632"/>
      <c r="K51" s="632"/>
      <c r="L51" s="632"/>
      <c r="M51" s="634"/>
      <c r="N51" s="635">
        <f>+MEDIAN(E51,F51)</f>
        <v>8195</v>
      </c>
      <c r="O51" s="635">
        <f t="shared" si="3"/>
        <v>8195</v>
      </c>
      <c r="P51" s="635">
        <f t="shared" si="4"/>
        <v>417.19300090006305</v>
      </c>
      <c r="Q51" s="636">
        <f t="shared" si="0"/>
        <v>5.0908236839543999E-2</v>
      </c>
      <c r="R51" s="633">
        <f t="shared" si="1"/>
        <v>8195</v>
      </c>
      <c r="S51" s="637" t="s">
        <v>932</v>
      </c>
    </row>
    <row r="52" spans="1:22" ht="31" x14ac:dyDescent="0.35">
      <c r="A52" s="627">
        <v>48</v>
      </c>
      <c r="B52" s="628" t="s">
        <v>1266</v>
      </c>
      <c r="C52" s="629" t="s">
        <v>1267</v>
      </c>
      <c r="D52" s="630" t="s">
        <v>19</v>
      </c>
      <c r="E52" s="632">
        <v>76900</v>
      </c>
      <c r="F52" s="632">
        <v>63990</v>
      </c>
      <c r="G52" s="632"/>
      <c r="H52" s="632"/>
      <c r="I52" s="632"/>
      <c r="J52" s="632"/>
      <c r="K52" s="632">
        <v>77311</v>
      </c>
      <c r="L52" s="632"/>
      <c r="M52" s="634"/>
      <c r="N52" s="635">
        <f>+MEDIAN(E52,F52,K52)</f>
        <v>76900</v>
      </c>
      <c r="O52" s="635">
        <f>+AVERAGE(E52,F52,K52)</f>
        <v>72733.666666666672</v>
      </c>
      <c r="P52" s="635">
        <f>+STDEV(E52,F52,K52)</f>
        <v>7575.0254345007543</v>
      </c>
      <c r="Q52" s="636">
        <f t="shared" si="0"/>
        <v>0.10414744342831729</v>
      </c>
      <c r="R52" s="633">
        <f t="shared" si="1"/>
        <v>72734</v>
      </c>
      <c r="S52" s="637" t="s">
        <v>932</v>
      </c>
    </row>
    <row r="53" spans="1:22" x14ac:dyDescent="0.35">
      <c r="A53" s="627">
        <v>49</v>
      </c>
      <c r="B53" s="628" t="s">
        <v>1268</v>
      </c>
      <c r="C53" s="629" t="s">
        <v>1269</v>
      </c>
      <c r="D53" s="630" t="s">
        <v>19</v>
      </c>
      <c r="E53" s="632">
        <v>443900</v>
      </c>
      <c r="F53" s="632">
        <v>329990</v>
      </c>
      <c r="G53" s="632"/>
      <c r="H53" s="632"/>
      <c r="I53" s="632"/>
      <c r="J53" s="632"/>
      <c r="K53" s="632"/>
      <c r="L53" s="632"/>
      <c r="M53" s="634"/>
      <c r="N53" s="635">
        <f>+MEDIAN(E53,F53)</f>
        <v>386945</v>
      </c>
      <c r="O53" s="635">
        <f t="shared" si="3"/>
        <v>386945</v>
      </c>
      <c r="P53" s="635">
        <f t="shared" si="4"/>
        <v>80546.533444959627</v>
      </c>
      <c r="Q53" s="636">
        <f t="shared" si="0"/>
        <v>0.20816016086255057</v>
      </c>
      <c r="R53" s="633">
        <f t="shared" si="1"/>
        <v>386945</v>
      </c>
      <c r="S53" s="637" t="s">
        <v>929</v>
      </c>
    </row>
    <row r="54" spans="1:22" x14ac:dyDescent="0.35">
      <c r="A54" s="627">
        <v>50</v>
      </c>
      <c r="B54" s="628" t="s">
        <v>1270</v>
      </c>
      <c r="C54" s="629" t="s">
        <v>1271</v>
      </c>
      <c r="D54" s="630" t="s">
        <v>19</v>
      </c>
      <c r="E54" s="632">
        <v>99900</v>
      </c>
      <c r="F54" s="632"/>
      <c r="G54" s="632"/>
      <c r="H54" s="632"/>
      <c r="I54" s="632"/>
      <c r="J54" s="632"/>
      <c r="K54" s="632">
        <v>100000</v>
      </c>
      <c r="L54" s="632"/>
      <c r="M54" s="634"/>
      <c r="N54" s="635">
        <f>+MEDIAN(E54,K54)</f>
        <v>99950</v>
      </c>
      <c r="O54" s="635">
        <f>+AVERAGE(E54,K54)</f>
        <v>99950</v>
      </c>
      <c r="P54" s="635">
        <f>+STDEV(E54,K54)</f>
        <v>70.710678118654755</v>
      </c>
      <c r="Q54" s="636">
        <f t="shared" si="0"/>
        <v>7.0746051144226867E-4</v>
      </c>
      <c r="R54" s="633">
        <f t="shared" si="1"/>
        <v>99950</v>
      </c>
      <c r="S54" s="637" t="s">
        <v>932</v>
      </c>
    </row>
    <row r="55" spans="1:22" ht="31" x14ac:dyDescent="0.35">
      <c r="A55" s="627">
        <v>51</v>
      </c>
      <c r="B55" s="628" t="s">
        <v>1272</v>
      </c>
      <c r="C55" s="629" t="s">
        <v>1273</v>
      </c>
      <c r="D55" s="630" t="s">
        <v>19</v>
      </c>
      <c r="E55" s="632">
        <v>87800</v>
      </c>
      <c r="F55" s="632"/>
      <c r="G55" s="641"/>
      <c r="H55" s="632"/>
      <c r="I55" s="632">
        <v>71000</v>
      </c>
      <c r="J55" s="632"/>
      <c r="K55" s="632"/>
      <c r="L55" s="632"/>
      <c r="M55" s="634"/>
      <c r="N55" s="635">
        <f>+MEDIAN(E55,I55)</f>
        <v>79400</v>
      </c>
      <c r="O55" s="635">
        <f>+AVERAGE(E55,I55)</f>
        <v>79400</v>
      </c>
      <c r="P55" s="635">
        <f>+STDEV(E55,I55)</f>
        <v>11879.393923933998</v>
      </c>
      <c r="Q55" s="636">
        <f t="shared" si="0"/>
        <v>0.14961453304702768</v>
      </c>
      <c r="R55" s="633">
        <f t="shared" si="1"/>
        <v>79400</v>
      </c>
      <c r="S55" s="637" t="s">
        <v>932</v>
      </c>
    </row>
    <row r="56" spans="1:22" x14ac:dyDescent="0.35">
      <c r="A56" s="627">
        <v>52</v>
      </c>
      <c r="B56" s="628" t="s">
        <v>1274</v>
      </c>
      <c r="C56" s="629" t="s">
        <v>1275</v>
      </c>
      <c r="D56" s="630" t="s">
        <v>19</v>
      </c>
      <c r="E56" s="632"/>
      <c r="F56" s="632"/>
      <c r="G56" s="632"/>
      <c r="H56" s="632">
        <v>18000</v>
      </c>
      <c r="I56" s="632">
        <v>25000</v>
      </c>
      <c r="J56" s="632"/>
      <c r="K56" s="632"/>
      <c r="L56" s="632"/>
      <c r="M56" s="634"/>
      <c r="N56" s="635">
        <f>+MEDIAN(H56,I56)</f>
        <v>21500</v>
      </c>
      <c r="O56" s="635">
        <f>+AVERAGE(H56,I56)</f>
        <v>21500</v>
      </c>
      <c r="P56" s="635">
        <f>+STDEV(H56,I56)</f>
        <v>4949.7474683058326</v>
      </c>
      <c r="Q56" s="636">
        <f t="shared" si="0"/>
        <v>0.23022081247934106</v>
      </c>
      <c r="R56" s="633">
        <f t="shared" si="1"/>
        <v>21500</v>
      </c>
      <c r="S56" s="637" t="s">
        <v>929</v>
      </c>
    </row>
    <row r="57" spans="1:22" ht="31" x14ac:dyDescent="0.35">
      <c r="A57" s="627">
        <v>53</v>
      </c>
      <c r="B57" s="628" t="s">
        <v>1276</v>
      </c>
      <c r="C57" s="629" t="s">
        <v>1277</v>
      </c>
      <c r="D57" s="630" t="s">
        <v>19</v>
      </c>
      <c r="E57" s="632">
        <v>5100</v>
      </c>
      <c r="F57" s="632"/>
      <c r="G57" s="632"/>
      <c r="H57" s="632"/>
      <c r="I57" s="632"/>
      <c r="J57" s="632"/>
      <c r="K57" s="632"/>
      <c r="L57" s="632">
        <v>4201.68</v>
      </c>
      <c r="M57" s="634"/>
      <c r="N57" s="635">
        <f>+MEDIAN(E57,L57)</f>
        <v>4650.84</v>
      </c>
      <c r="O57" s="635">
        <f>+AVERAGE(E57,L57)</f>
        <v>4650.84</v>
      </c>
      <c r="P57" s="635">
        <f>+STDEV(E57,L57)</f>
        <v>635.20816367549912</v>
      </c>
      <c r="Q57" s="636">
        <f t="shared" si="0"/>
        <v>0.13657923378905726</v>
      </c>
      <c r="R57" s="633">
        <f t="shared" si="1"/>
        <v>4651</v>
      </c>
      <c r="S57" s="637" t="s">
        <v>932</v>
      </c>
    </row>
    <row r="58" spans="1:22" x14ac:dyDescent="0.35">
      <c r="A58" s="627">
        <v>54</v>
      </c>
      <c r="B58" s="628" t="s">
        <v>1278</v>
      </c>
      <c r="C58" s="629" t="s">
        <v>1279</v>
      </c>
      <c r="D58" s="630" t="s">
        <v>19</v>
      </c>
      <c r="E58" s="632">
        <v>15400</v>
      </c>
      <c r="F58" s="632">
        <v>16090</v>
      </c>
      <c r="G58" s="632"/>
      <c r="H58" s="632"/>
      <c r="I58" s="632"/>
      <c r="J58" s="632"/>
      <c r="K58" s="632">
        <v>15800</v>
      </c>
      <c r="L58" s="632"/>
      <c r="M58" s="634"/>
      <c r="N58" s="635">
        <f>+MEDIAN(E58,F58,K58)</f>
        <v>15800</v>
      </c>
      <c r="O58" s="635">
        <f>+AVERAGE(E58,F58,K58)</f>
        <v>15763.333333333334</v>
      </c>
      <c r="P58" s="635">
        <f>+STDEV(E58,F58,K58)</f>
        <v>346.4582706955245</v>
      </c>
      <c r="Q58" s="636">
        <f t="shared" si="0"/>
        <v>2.1978744176074719E-2</v>
      </c>
      <c r="R58" s="633">
        <f t="shared" si="1"/>
        <v>15764</v>
      </c>
      <c r="S58" s="637" t="s">
        <v>932</v>
      </c>
    </row>
    <row r="59" spans="1:22" ht="31" x14ac:dyDescent="0.35">
      <c r="A59" s="627">
        <v>55</v>
      </c>
      <c r="B59" s="628" t="s">
        <v>1280</v>
      </c>
      <c r="C59" s="629" t="s">
        <v>1281</v>
      </c>
      <c r="D59" s="630" t="s">
        <v>1282</v>
      </c>
      <c r="E59" s="632">
        <v>112900</v>
      </c>
      <c r="F59" s="632"/>
      <c r="G59" s="632"/>
      <c r="H59" s="632"/>
      <c r="I59" s="632">
        <v>85000</v>
      </c>
      <c r="J59" s="632"/>
      <c r="K59" s="632"/>
      <c r="L59" s="632"/>
      <c r="M59" s="634"/>
      <c r="N59" s="635">
        <f>+MEDIAN(E59,I59)</f>
        <v>98950</v>
      </c>
      <c r="O59" s="635">
        <f>+AVERAGE(E59,I59)</f>
        <v>98950</v>
      </c>
      <c r="P59" s="635">
        <f>+STDEV(E59,I59)</f>
        <v>19728.279195104675</v>
      </c>
      <c r="Q59" s="636">
        <f t="shared" si="0"/>
        <v>0.19937624249726807</v>
      </c>
      <c r="R59" s="633">
        <f t="shared" si="1"/>
        <v>98950</v>
      </c>
      <c r="S59" s="637" t="s">
        <v>929</v>
      </c>
    </row>
    <row r="60" spans="1:22" x14ac:dyDescent="0.35">
      <c r="A60" s="627">
        <v>56</v>
      </c>
      <c r="B60" s="628" t="s">
        <v>1283</v>
      </c>
      <c r="C60" s="629" t="s">
        <v>1284</v>
      </c>
      <c r="D60" s="630" t="s">
        <v>19</v>
      </c>
      <c r="E60" s="632">
        <v>214900</v>
      </c>
      <c r="F60" s="632"/>
      <c r="G60" s="641"/>
      <c r="H60" s="632">
        <v>195000</v>
      </c>
      <c r="I60" s="632">
        <v>185000</v>
      </c>
      <c r="J60" s="632"/>
      <c r="K60" s="632"/>
      <c r="L60" s="632"/>
      <c r="M60" s="634"/>
      <c r="N60" s="635">
        <f>+MEDIAN(E60,H60,I60)</f>
        <v>195000</v>
      </c>
      <c r="O60" s="635">
        <f>+AVERAGE(E60,H60,I60)</f>
        <v>198300</v>
      </c>
      <c r="P60" s="635">
        <f>+STDEV(E60,H60,I60)</f>
        <v>15220.709576100584</v>
      </c>
      <c r="Q60" s="636">
        <f t="shared" si="0"/>
        <v>7.675597365658389E-2</v>
      </c>
      <c r="R60" s="633">
        <f t="shared" si="1"/>
        <v>198300</v>
      </c>
      <c r="S60" s="637" t="s">
        <v>932</v>
      </c>
    </row>
    <row r="61" spans="1:22" x14ac:dyDescent="0.35">
      <c r="A61" s="627">
        <v>57</v>
      </c>
      <c r="B61" s="628" t="s">
        <v>1285</v>
      </c>
      <c r="C61" s="629" t="s">
        <v>1286</v>
      </c>
      <c r="D61" s="630" t="s">
        <v>19</v>
      </c>
      <c r="E61" s="632">
        <v>9400</v>
      </c>
      <c r="F61" s="632">
        <v>10990</v>
      </c>
      <c r="G61" s="632"/>
      <c r="H61" s="632"/>
      <c r="I61" s="632"/>
      <c r="J61" s="632"/>
      <c r="K61" s="632"/>
      <c r="L61" s="632"/>
      <c r="M61" s="634"/>
      <c r="N61" s="635">
        <f>+MEDIAN(E61,F61)</f>
        <v>10195</v>
      </c>
      <c r="O61" s="635">
        <f t="shared" si="3"/>
        <v>10195</v>
      </c>
      <c r="P61" s="635">
        <f t="shared" si="4"/>
        <v>1124.2997820866105</v>
      </c>
      <c r="Q61" s="636">
        <f t="shared" si="0"/>
        <v>0.1102795274238951</v>
      </c>
      <c r="R61" s="633">
        <f t="shared" si="1"/>
        <v>10195</v>
      </c>
      <c r="S61" s="637" t="s">
        <v>932</v>
      </c>
    </row>
    <row r="62" spans="1:22" ht="46.5" x14ac:dyDescent="0.35">
      <c r="A62" s="627">
        <v>58</v>
      </c>
      <c r="B62" s="628" t="s">
        <v>1188</v>
      </c>
      <c r="C62" s="629" t="s">
        <v>1287</v>
      </c>
      <c r="D62" s="630" t="s">
        <v>19</v>
      </c>
      <c r="E62" s="632">
        <v>11900</v>
      </c>
      <c r="F62" s="632">
        <v>13490</v>
      </c>
      <c r="G62" s="632">
        <v>12000</v>
      </c>
      <c r="H62" s="632" t="s">
        <v>1193</v>
      </c>
      <c r="I62" s="632"/>
      <c r="J62" s="632"/>
      <c r="K62" s="632"/>
      <c r="L62" s="632"/>
      <c r="M62" s="634"/>
      <c r="N62" s="635">
        <f>+MEDIAN(E62,F62,G62)</f>
        <v>12000</v>
      </c>
      <c r="O62" s="635">
        <f>+AVERAGE(E62,F62,G62)</f>
        <v>12463.333333333334</v>
      </c>
      <c r="P62" s="635">
        <f>+STDEV(E62,F62,G62)</f>
        <v>890.52419020110472</v>
      </c>
      <c r="Q62" s="636">
        <f t="shared" si="0"/>
        <v>7.1451526360077941E-2</v>
      </c>
      <c r="R62" s="633">
        <f t="shared" si="1"/>
        <v>12464</v>
      </c>
      <c r="S62" s="637" t="s">
        <v>932</v>
      </c>
      <c r="V62" s="621">
        <f>25300000/10</f>
        <v>2530000</v>
      </c>
    </row>
    <row r="63" spans="1:22" x14ac:dyDescent="0.35">
      <c r="A63" s="627">
        <v>59</v>
      </c>
      <c r="B63" s="628" t="s">
        <v>1288</v>
      </c>
      <c r="C63" s="629" t="s">
        <v>1289</v>
      </c>
      <c r="D63" s="630" t="s">
        <v>19</v>
      </c>
      <c r="E63" s="632"/>
      <c r="F63" s="632">
        <v>1960</v>
      </c>
      <c r="G63" s="632"/>
      <c r="H63" s="632" t="s">
        <v>1193</v>
      </c>
      <c r="I63" s="632">
        <v>2000</v>
      </c>
      <c r="J63" s="632"/>
      <c r="K63" s="632"/>
      <c r="L63" s="632"/>
      <c r="M63" s="634"/>
      <c r="N63" s="635">
        <f>+MEDIAN(F63,I63)</f>
        <v>1980</v>
      </c>
      <c r="O63" s="635">
        <f>+AVERAGE(F63,I63)</f>
        <v>1980</v>
      </c>
      <c r="P63" s="635">
        <f>+STDEV(F63,I63)</f>
        <v>28.284271247461902</v>
      </c>
      <c r="Q63" s="636">
        <f t="shared" si="0"/>
        <v>1.4284985478516112E-2</v>
      </c>
      <c r="R63" s="633">
        <f t="shared" si="1"/>
        <v>1980</v>
      </c>
      <c r="S63" s="637" t="s">
        <v>932</v>
      </c>
    </row>
    <row r="64" spans="1:22" ht="31" x14ac:dyDescent="0.35">
      <c r="A64" s="627">
        <v>60</v>
      </c>
      <c r="B64" s="628" t="s">
        <v>1188</v>
      </c>
      <c r="C64" s="629" t="s">
        <v>35</v>
      </c>
      <c r="D64" s="630" t="s">
        <v>19</v>
      </c>
      <c r="E64" s="632">
        <v>16100</v>
      </c>
      <c r="F64" s="632">
        <v>10990</v>
      </c>
      <c r="G64" s="632"/>
      <c r="H64" s="632"/>
      <c r="I64" s="632"/>
      <c r="J64" s="632"/>
      <c r="K64" s="632"/>
      <c r="L64" s="632"/>
      <c r="M64" s="634"/>
      <c r="N64" s="635">
        <f>+MEDIAN(E64,F64)</f>
        <v>13545</v>
      </c>
      <c r="O64" s="635">
        <f t="shared" si="3"/>
        <v>13545</v>
      </c>
      <c r="P64" s="635">
        <f t="shared" si="4"/>
        <v>3613.3156518632577</v>
      </c>
      <c r="Q64" s="636">
        <f t="shared" si="0"/>
        <v>0.26676379858717297</v>
      </c>
      <c r="R64" s="633">
        <f t="shared" si="1"/>
        <v>13545</v>
      </c>
      <c r="S64" s="637" t="s">
        <v>929</v>
      </c>
    </row>
    <row r="65" spans="1:19" x14ac:dyDescent="0.35">
      <c r="A65" s="627">
        <v>61</v>
      </c>
      <c r="B65" s="628" t="s">
        <v>1290</v>
      </c>
      <c r="C65" s="629" t="s">
        <v>1291</v>
      </c>
      <c r="D65" s="630" t="s">
        <v>19</v>
      </c>
      <c r="E65" s="632">
        <v>24900</v>
      </c>
      <c r="F65" s="632">
        <v>20990</v>
      </c>
      <c r="G65" s="641"/>
      <c r="H65" s="632"/>
      <c r="I65" s="632"/>
      <c r="J65" s="632"/>
      <c r="K65" s="632">
        <v>22000</v>
      </c>
      <c r="L65" s="632"/>
      <c r="M65" s="632">
        <v>22500</v>
      </c>
      <c r="N65" s="635">
        <f>+MEDIAN(E65,F65,K65,M65)</f>
        <v>22250</v>
      </c>
      <c r="O65" s="635">
        <f>+AVERAGE(E65,F65,K65,M65)</f>
        <v>22597.5</v>
      </c>
      <c r="P65" s="635">
        <f>+STDEV(E65,F65,K65,M65)</f>
        <v>1658.5209274129363</v>
      </c>
      <c r="Q65" s="636">
        <f t="shared" si="0"/>
        <v>7.3394000549305727E-2</v>
      </c>
      <c r="R65" s="633">
        <f t="shared" si="1"/>
        <v>22598</v>
      </c>
      <c r="S65" s="637" t="s">
        <v>932</v>
      </c>
    </row>
    <row r="66" spans="1:19" s="640" customFormat="1" x14ac:dyDescent="0.35">
      <c r="A66" s="627">
        <v>62</v>
      </c>
      <c r="B66" s="628" t="s">
        <v>1212</v>
      </c>
      <c r="C66" s="629" t="s">
        <v>1292</v>
      </c>
      <c r="D66" s="630" t="s">
        <v>19</v>
      </c>
      <c r="E66" s="632">
        <v>83900</v>
      </c>
      <c r="F66" s="632"/>
      <c r="G66" s="632">
        <v>65000</v>
      </c>
      <c r="H66" s="632" t="s">
        <v>1193</v>
      </c>
      <c r="I66" s="632">
        <v>70000</v>
      </c>
      <c r="J66" s="632"/>
      <c r="K66" s="632"/>
      <c r="L66" s="632"/>
      <c r="M66" s="634"/>
      <c r="N66" s="635">
        <f>+MEDIAN(E66,G66,I66)</f>
        <v>70000</v>
      </c>
      <c r="O66" s="635">
        <f>+AVERAGE(E66,G66,I66)</f>
        <v>72966.666666666672</v>
      </c>
      <c r="P66" s="635">
        <f>+STDEV(E66,G66,I66)</f>
        <v>9793.0247285163641</v>
      </c>
      <c r="Q66" s="636">
        <f t="shared" si="0"/>
        <v>0.13421230783713609</v>
      </c>
      <c r="R66" s="633">
        <f t="shared" si="1"/>
        <v>72967</v>
      </c>
      <c r="S66" s="637" t="s">
        <v>932</v>
      </c>
    </row>
    <row r="67" spans="1:19" s="640" customFormat="1" x14ac:dyDescent="0.35">
      <c r="A67" s="627">
        <v>63</v>
      </c>
      <c r="B67" s="628" t="s">
        <v>1293</v>
      </c>
      <c r="C67" s="629" t="s">
        <v>1294</v>
      </c>
      <c r="D67" s="630" t="s">
        <v>19</v>
      </c>
      <c r="E67" s="632">
        <v>11500</v>
      </c>
      <c r="F67" s="632">
        <v>10990</v>
      </c>
      <c r="G67" s="632"/>
      <c r="H67" s="632"/>
      <c r="I67" s="632"/>
      <c r="J67" s="632"/>
      <c r="K67" s="632"/>
      <c r="L67" s="632"/>
      <c r="M67" s="634"/>
      <c r="N67" s="635">
        <f t="shared" ref="N67:N75" si="5">+MEDIAN(E67,F67)</f>
        <v>11245</v>
      </c>
      <c r="O67" s="635">
        <f t="shared" ref="O67:O87" si="6">+AVERAGE(E67,F67)</f>
        <v>11245</v>
      </c>
      <c r="P67" s="635">
        <f t="shared" ref="P67:P87" si="7">+STDEV(E67,F67)</f>
        <v>360.62445840513925</v>
      </c>
      <c r="Q67" s="636">
        <f t="shared" si="0"/>
        <v>3.2069760640741594E-2</v>
      </c>
      <c r="R67" s="633">
        <f t="shared" si="1"/>
        <v>11245</v>
      </c>
      <c r="S67" s="637" t="s">
        <v>932</v>
      </c>
    </row>
    <row r="68" spans="1:19" s="640" customFormat="1" x14ac:dyDescent="0.35">
      <c r="A68" s="627">
        <v>64</v>
      </c>
      <c r="B68" s="628" t="s">
        <v>1295</v>
      </c>
      <c r="C68" s="629" t="s">
        <v>1296</v>
      </c>
      <c r="D68" s="630" t="s">
        <v>19</v>
      </c>
      <c r="E68" s="632">
        <v>2900</v>
      </c>
      <c r="F68" s="632">
        <v>2900</v>
      </c>
      <c r="G68" s="632"/>
      <c r="H68" s="632"/>
      <c r="I68" s="632"/>
      <c r="J68" s="632"/>
      <c r="K68" s="632"/>
      <c r="L68" s="632"/>
      <c r="M68" s="634"/>
      <c r="N68" s="635">
        <f t="shared" si="5"/>
        <v>2900</v>
      </c>
      <c r="O68" s="635">
        <f t="shared" si="6"/>
        <v>2900</v>
      </c>
      <c r="P68" s="635">
        <f t="shared" si="7"/>
        <v>0</v>
      </c>
      <c r="Q68" s="636">
        <f t="shared" si="0"/>
        <v>0</v>
      </c>
      <c r="R68" s="633">
        <f t="shared" si="1"/>
        <v>2900</v>
      </c>
      <c r="S68" s="637" t="s">
        <v>932</v>
      </c>
    </row>
    <row r="69" spans="1:19" s="640" customFormat="1" ht="31" x14ac:dyDescent="0.35">
      <c r="A69" s="627">
        <v>65</v>
      </c>
      <c r="B69" s="628" t="s">
        <v>1297</v>
      </c>
      <c r="C69" s="629" t="s">
        <v>1298</v>
      </c>
      <c r="D69" s="630" t="s">
        <v>19</v>
      </c>
      <c r="E69" s="632">
        <v>19900</v>
      </c>
      <c r="F69" s="632">
        <v>13990</v>
      </c>
      <c r="G69" s="641"/>
      <c r="H69" s="632"/>
      <c r="I69" s="632"/>
      <c r="J69" s="632"/>
      <c r="K69" s="632"/>
      <c r="L69" s="632"/>
      <c r="M69" s="634"/>
      <c r="N69" s="635">
        <f t="shared" si="5"/>
        <v>16945</v>
      </c>
      <c r="O69" s="635">
        <f t="shared" si="6"/>
        <v>16945</v>
      </c>
      <c r="P69" s="635">
        <f t="shared" si="7"/>
        <v>4179.0010768124957</v>
      </c>
      <c r="Q69" s="636">
        <f t="shared" si="0"/>
        <v>0.24662148579595725</v>
      </c>
      <c r="R69" s="633">
        <f t="shared" si="1"/>
        <v>16945</v>
      </c>
      <c r="S69" s="637" t="s">
        <v>929</v>
      </c>
    </row>
    <row r="70" spans="1:19" s="640" customFormat="1" x14ac:dyDescent="0.35">
      <c r="A70" s="627">
        <v>66</v>
      </c>
      <c r="B70" s="628" t="s">
        <v>1299</v>
      </c>
      <c r="C70" s="629" t="s">
        <v>1300</v>
      </c>
      <c r="D70" s="630" t="s">
        <v>19</v>
      </c>
      <c r="E70" s="632">
        <v>32200</v>
      </c>
      <c r="F70" s="632">
        <v>32990</v>
      </c>
      <c r="G70" s="632"/>
      <c r="H70" s="632"/>
      <c r="I70" s="632"/>
      <c r="J70" s="632"/>
      <c r="K70" s="632"/>
      <c r="L70" s="632"/>
      <c r="M70" s="634"/>
      <c r="N70" s="635">
        <f t="shared" si="5"/>
        <v>32595</v>
      </c>
      <c r="O70" s="635">
        <f t="shared" si="6"/>
        <v>32595</v>
      </c>
      <c r="P70" s="635">
        <f t="shared" si="7"/>
        <v>558.61435713737251</v>
      </c>
      <c r="Q70" s="636">
        <f t="shared" ref="Q70:Q87" si="8">P70/O70</f>
        <v>1.713803826161597E-2</v>
      </c>
      <c r="R70" s="633">
        <f t="shared" ref="R70:R87" si="9">ROUNDUP(IF(Q70&lt;15%,O70,N70),0)</f>
        <v>32595</v>
      </c>
      <c r="S70" s="637" t="s">
        <v>932</v>
      </c>
    </row>
    <row r="71" spans="1:19" s="640" customFormat="1" x14ac:dyDescent="0.35">
      <c r="A71" s="627">
        <v>67</v>
      </c>
      <c r="B71" s="628" t="s">
        <v>1301</v>
      </c>
      <c r="C71" s="629" t="s">
        <v>1302</v>
      </c>
      <c r="D71" s="630" t="s">
        <v>19</v>
      </c>
      <c r="E71" s="632">
        <v>15900</v>
      </c>
      <c r="F71" s="632">
        <v>10990</v>
      </c>
      <c r="G71" s="632"/>
      <c r="H71" s="632"/>
      <c r="I71" s="632"/>
      <c r="J71" s="632"/>
      <c r="K71" s="632"/>
      <c r="L71" s="632"/>
      <c r="M71" s="634"/>
      <c r="N71" s="635">
        <f t="shared" si="5"/>
        <v>13445</v>
      </c>
      <c r="O71" s="635">
        <f t="shared" si="6"/>
        <v>13445</v>
      </c>
      <c r="P71" s="635">
        <f t="shared" si="7"/>
        <v>3471.8942956259484</v>
      </c>
      <c r="Q71" s="636">
        <f t="shared" si="8"/>
        <v>0.25822940093908131</v>
      </c>
      <c r="R71" s="633">
        <f t="shared" si="9"/>
        <v>13445</v>
      </c>
      <c r="S71" s="637" t="s">
        <v>929</v>
      </c>
    </row>
    <row r="72" spans="1:19" s="640" customFormat="1" x14ac:dyDescent="0.35">
      <c r="A72" s="627">
        <v>68</v>
      </c>
      <c r="B72" s="628" t="s">
        <v>1303</v>
      </c>
      <c r="C72" s="629" t="s">
        <v>1304</v>
      </c>
      <c r="D72" s="630" t="s">
        <v>19</v>
      </c>
      <c r="E72" s="632">
        <v>79900</v>
      </c>
      <c r="F72" s="632">
        <v>79900</v>
      </c>
      <c r="G72" s="632"/>
      <c r="H72" s="632"/>
      <c r="I72" s="632"/>
      <c r="J72" s="632"/>
      <c r="K72" s="632"/>
      <c r="L72" s="632"/>
      <c r="M72" s="634"/>
      <c r="N72" s="635">
        <f t="shared" si="5"/>
        <v>79900</v>
      </c>
      <c r="O72" s="635">
        <f t="shared" si="6"/>
        <v>79900</v>
      </c>
      <c r="P72" s="635">
        <f t="shared" si="7"/>
        <v>0</v>
      </c>
      <c r="Q72" s="636">
        <f t="shared" si="8"/>
        <v>0</v>
      </c>
      <c r="R72" s="633">
        <f t="shared" si="9"/>
        <v>79900</v>
      </c>
      <c r="S72" s="637" t="s">
        <v>932</v>
      </c>
    </row>
    <row r="73" spans="1:19" s="640" customFormat="1" ht="31" x14ac:dyDescent="0.35">
      <c r="A73" s="627">
        <v>69</v>
      </c>
      <c r="B73" s="628" t="s">
        <v>1305</v>
      </c>
      <c r="C73" s="629" t="s">
        <v>1306</v>
      </c>
      <c r="D73" s="630" t="s">
        <v>19</v>
      </c>
      <c r="E73" s="632">
        <v>382900</v>
      </c>
      <c r="F73" s="632">
        <v>319990</v>
      </c>
      <c r="G73" s="641"/>
      <c r="H73" s="632"/>
      <c r="I73" s="632"/>
      <c r="J73" s="632"/>
      <c r="K73" s="632"/>
      <c r="L73" s="632"/>
      <c r="M73" s="634"/>
      <c r="N73" s="635">
        <f t="shared" si="5"/>
        <v>351445</v>
      </c>
      <c r="O73" s="635">
        <f t="shared" si="6"/>
        <v>351445</v>
      </c>
      <c r="P73" s="635">
        <f t="shared" si="7"/>
        <v>44484.087604445704</v>
      </c>
      <c r="Q73" s="636">
        <f t="shared" si="8"/>
        <v>0.12657481997025338</v>
      </c>
      <c r="R73" s="633">
        <f t="shared" si="9"/>
        <v>351445</v>
      </c>
      <c r="S73" s="637" t="s">
        <v>932</v>
      </c>
    </row>
    <row r="74" spans="1:19" s="640" customFormat="1" x14ac:dyDescent="0.35">
      <c r="A74" s="627">
        <v>70</v>
      </c>
      <c r="B74" s="628" t="s">
        <v>1307</v>
      </c>
      <c r="C74" s="629" t="s">
        <v>1308</v>
      </c>
      <c r="D74" s="630" t="s">
        <v>19</v>
      </c>
      <c r="E74" s="632">
        <v>29900</v>
      </c>
      <c r="F74" s="632">
        <v>20990</v>
      </c>
      <c r="G74" s="641"/>
      <c r="H74" s="632"/>
      <c r="I74" s="632"/>
      <c r="J74" s="632"/>
      <c r="K74" s="632"/>
      <c r="L74" s="632"/>
      <c r="M74" s="634"/>
      <c r="N74" s="635">
        <f t="shared" si="5"/>
        <v>25445</v>
      </c>
      <c r="O74" s="635">
        <f>+AVERAGE(E74,F74)</f>
        <v>25445</v>
      </c>
      <c r="P74" s="635">
        <f t="shared" si="7"/>
        <v>6300.3214203721382</v>
      </c>
      <c r="Q74" s="636">
        <f t="shared" si="8"/>
        <v>0.2476054792836368</v>
      </c>
      <c r="R74" s="633">
        <f t="shared" si="9"/>
        <v>25445</v>
      </c>
      <c r="S74" s="637" t="s">
        <v>929</v>
      </c>
    </row>
    <row r="75" spans="1:19" s="640" customFormat="1" x14ac:dyDescent="0.35">
      <c r="A75" s="627">
        <v>71</v>
      </c>
      <c r="B75" s="628" t="s">
        <v>1309</v>
      </c>
      <c r="C75" s="629" t="s">
        <v>1310</v>
      </c>
      <c r="D75" s="630" t="s">
        <v>19</v>
      </c>
      <c r="E75" s="632">
        <v>17900</v>
      </c>
      <c r="F75" s="632">
        <v>18490</v>
      </c>
      <c r="G75" s="632"/>
      <c r="H75" s="632"/>
      <c r="I75" s="632"/>
      <c r="J75" s="632"/>
      <c r="K75" s="632"/>
      <c r="L75" s="632"/>
      <c r="M75" s="634"/>
      <c r="N75" s="635">
        <f t="shared" si="5"/>
        <v>18195</v>
      </c>
      <c r="O75" s="635">
        <f t="shared" si="6"/>
        <v>18195</v>
      </c>
      <c r="P75" s="635">
        <f t="shared" si="7"/>
        <v>417.19300090006305</v>
      </c>
      <c r="Q75" s="636">
        <f t="shared" si="8"/>
        <v>2.292899153064375E-2</v>
      </c>
      <c r="R75" s="633">
        <f t="shared" si="9"/>
        <v>18195</v>
      </c>
      <c r="S75" s="637" t="s">
        <v>932</v>
      </c>
    </row>
    <row r="76" spans="1:19" s="640" customFormat="1" x14ac:dyDescent="0.35">
      <c r="A76" s="627">
        <v>72</v>
      </c>
      <c r="B76" s="628" t="s">
        <v>1255</v>
      </c>
      <c r="C76" s="629" t="s">
        <v>1311</v>
      </c>
      <c r="D76" s="630" t="s">
        <v>19</v>
      </c>
      <c r="E76" s="632">
        <v>17900</v>
      </c>
      <c r="F76" s="641"/>
      <c r="G76" s="632"/>
      <c r="H76" s="632">
        <v>15000</v>
      </c>
      <c r="I76" s="632">
        <v>15000</v>
      </c>
      <c r="J76" s="632"/>
      <c r="K76" s="632"/>
      <c r="L76" s="632"/>
      <c r="M76" s="634"/>
      <c r="N76" s="635">
        <f>+MEDIAN(E76,H76,I76)</f>
        <v>15000</v>
      </c>
      <c r="O76" s="635">
        <f>+AVERAGE(E76,H76,I76)</f>
        <v>15966.666666666666</v>
      </c>
      <c r="P76" s="635">
        <f>+STDEV(E76,H76,I76)</f>
        <v>1674.3157806499148</v>
      </c>
      <c r="Q76" s="636">
        <f t="shared" si="8"/>
        <v>0.10486320129331408</v>
      </c>
      <c r="R76" s="633">
        <f t="shared" si="9"/>
        <v>15967</v>
      </c>
      <c r="S76" s="637" t="s">
        <v>932</v>
      </c>
    </row>
    <row r="77" spans="1:19" s="640" customFormat="1" x14ac:dyDescent="0.35">
      <c r="A77" s="627">
        <v>73</v>
      </c>
      <c r="B77" s="628" t="s">
        <v>1312</v>
      </c>
      <c r="C77" s="629" t="s">
        <v>1313</v>
      </c>
      <c r="D77" s="630" t="s">
        <v>19</v>
      </c>
      <c r="E77" s="632"/>
      <c r="F77" s="632">
        <v>128900</v>
      </c>
      <c r="G77" s="632"/>
      <c r="H77" s="632" t="s">
        <v>1193</v>
      </c>
      <c r="I77" s="632">
        <v>170000</v>
      </c>
      <c r="J77" s="632"/>
      <c r="K77" s="632"/>
      <c r="L77" s="632"/>
      <c r="M77" s="634"/>
      <c r="N77" s="635">
        <f>+MEDIAN(F77,I77)</f>
        <v>149450</v>
      </c>
      <c r="O77" s="635">
        <f>+AVERAGE(F77,I77)</f>
        <v>149450</v>
      </c>
      <c r="P77" s="635">
        <f>+STDEV(F77,I77)</f>
        <v>29062.088706767103</v>
      </c>
      <c r="Q77" s="636">
        <f t="shared" si="8"/>
        <v>0.19446027906836469</v>
      </c>
      <c r="R77" s="633">
        <f t="shared" si="9"/>
        <v>149450</v>
      </c>
      <c r="S77" s="637" t="s">
        <v>929</v>
      </c>
    </row>
    <row r="78" spans="1:19" s="640" customFormat="1" ht="31" x14ac:dyDescent="0.35">
      <c r="A78" s="627">
        <v>74</v>
      </c>
      <c r="B78" s="628" t="s">
        <v>1314</v>
      </c>
      <c r="C78" s="629" t="s">
        <v>1315</v>
      </c>
      <c r="D78" s="630" t="s">
        <v>19</v>
      </c>
      <c r="E78" s="632">
        <v>12900</v>
      </c>
      <c r="F78" s="632">
        <v>10490</v>
      </c>
      <c r="G78" s="632"/>
      <c r="H78" s="632"/>
      <c r="I78" s="632">
        <v>10000</v>
      </c>
      <c r="J78" s="632"/>
      <c r="K78" s="632"/>
      <c r="L78" s="632"/>
      <c r="M78" s="634"/>
      <c r="N78" s="635">
        <f>+MEDIAN(E78,F78,I78)</f>
        <v>10490</v>
      </c>
      <c r="O78" s="635">
        <f>+AVERAGE(E78,F78,I78)</f>
        <v>11130</v>
      </c>
      <c r="P78" s="635">
        <f>+STDEV(E78,F78,I78)</f>
        <v>1552.3208431249</v>
      </c>
      <c r="Q78" s="636">
        <f t="shared" si="8"/>
        <v>0.13947177386566936</v>
      </c>
      <c r="R78" s="633">
        <f>ROUNDUP(IF(Q78&lt;15%,O78,N78),0)</f>
        <v>11130</v>
      </c>
      <c r="S78" s="637" t="s">
        <v>932</v>
      </c>
    </row>
    <row r="79" spans="1:19" s="640" customFormat="1" ht="31" x14ac:dyDescent="0.35">
      <c r="A79" s="627">
        <v>75</v>
      </c>
      <c r="B79" s="628" t="s">
        <v>1196</v>
      </c>
      <c r="C79" s="629" t="s">
        <v>1316</v>
      </c>
      <c r="D79" s="630" t="s">
        <v>19</v>
      </c>
      <c r="E79" s="632">
        <v>31900</v>
      </c>
      <c r="F79" s="632">
        <v>29990</v>
      </c>
      <c r="G79" s="632"/>
      <c r="H79" s="632"/>
      <c r="I79" s="632"/>
      <c r="J79" s="632"/>
      <c r="K79" s="632"/>
      <c r="L79" s="632"/>
      <c r="M79" s="634"/>
      <c r="N79" s="635">
        <f>+MEDIAN(E79,F79)</f>
        <v>30945</v>
      </c>
      <c r="O79" s="635">
        <f t="shared" si="6"/>
        <v>30945</v>
      </c>
      <c r="P79" s="635">
        <f t="shared" si="7"/>
        <v>1350.5739520663058</v>
      </c>
      <c r="Q79" s="636">
        <f t="shared" si="8"/>
        <v>4.3644335177453732E-2</v>
      </c>
      <c r="R79" s="633">
        <f t="shared" si="9"/>
        <v>30945</v>
      </c>
      <c r="S79" s="637" t="s">
        <v>932</v>
      </c>
    </row>
    <row r="80" spans="1:19" s="640" customFormat="1" x14ac:dyDescent="0.35">
      <c r="A80" s="627">
        <v>76</v>
      </c>
      <c r="B80" s="628" t="s">
        <v>1202</v>
      </c>
      <c r="C80" s="629" t="s">
        <v>1317</v>
      </c>
      <c r="D80" s="630" t="s">
        <v>19</v>
      </c>
      <c r="E80" s="632">
        <v>77900</v>
      </c>
      <c r="F80" s="632">
        <v>83990</v>
      </c>
      <c r="G80" s="632"/>
      <c r="H80" s="632"/>
      <c r="I80" s="632"/>
      <c r="J80" s="632"/>
      <c r="K80" s="632"/>
      <c r="L80" s="632"/>
      <c r="M80" s="634"/>
      <c r="N80" s="635">
        <f>+MEDIAN(E80,F80)</f>
        <v>80945</v>
      </c>
      <c r="O80" s="635">
        <f t="shared" si="6"/>
        <v>80945</v>
      </c>
      <c r="P80" s="635">
        <f t="shared" si="7"/>
        <v>4306.2802974260749</v>
      </c>
      <c r="Q80" s="636">
        <f t="shared" si="8"/>
        <v>5.3200077798827287E-2</v>
      </c>
      <c r="R80" s="633">
        <f t="shared" si="9"/>
        <v>80945</v>
      </c>
      <c r="S80" s="637" t="s">
        <v>932</v>
      </c>
    </row>
    <row r="81" spans="1:19" s="640" customFormat="1" x14ac:dyDescent="0.35">
      <c r="A81" s="627">
        <v>77</v>
      </c>
      <c r="B81" s="628" t="s">
        <v>1262</v>
      </c>
      <c r="C81" s="629" t="s">
        <v>1318</v>
      </c>
      <c r="D81" s="630" t="s">
        <v>19</v>
      </c>
      <c r="E81" s="632">
        <v>38900</v>
      </c>
      <c r="F81" s="632">
        <v>35490</v>
      </c>
      <c r="G81" s="632"/>
      <c r="H81" s="632"/>
      <c r="I81" s="632"/>
      <c r="J81" s="632"/>
      <c r="K81" s="632"/>
      <c r="L81" s="632"/>
      <c r="M81" s="634"/>
      <c r="N81" s="635">
        <f>+MEDIAN(E81,F81)</f>
        <v>37195</v>
      </c>
      <c r="O81" s="635">
        <f t="shared" si="6"/>
        <v>37195</v>
      </c>
      <c r="P81" s="635">
        <f t="shared" si="7"/>
        <v>2411.2341238461272</v>
      </c>
      <c r="Q81" s="636">
        <f t="shared" si="8"/>
        <v>6.482683489302668E-2</v>
      </c>
      <c r="R81" s="633">
        <f t="shared" si="9"/>
        <v>37195</v>
      </c>
      <c r="S81" s="637" t="s">
        <v>932</v>
      </c>
    </row>
    <row r="82" spans="1:19" s="640" customFormat="1" x14ac:dyDescent="0.35">
      <c r="A82" s="627">
        <v>78</v>
      </c>
      <c r="B82" s="628" t="s">
        <v>1319</v>
      </c>
      <c r="C82" s="629" t="s">
        <v>1320</v>
      </c>
      <c r="D82" s="630" t="s">
        <v>19</v>
      </c>
      <c r="E82" s="632">
        <v>58900</v>
      </c>
      <c r="F82" s="632">
        <v>75990</v>
      </c>
      <c r="G82" s="632"/>
      <c r="H82" s="632"/>
      <c r="I82" s="642"/>
      <c r="J82" s="632"/>
      <c r="K82" s="632">
        <v>77311</v>
      </c>
      <c r="L82" s="632"/>
      <c r="M82" s="634"/>
      <c r="N82" s="635">
        <f>+MEDIAN(E82,F82,K82)</f>
        <v>75990</v>
      </c>
      <c r="O82" s="635">
        <f>+AVERAGE(E82,F82,K82)</f>
        <v>70733.666666666672</v>
      </c>
      <c r="P82" s="635">
        <f>+STDEV(E82,F82,K82)</f>
        <v>10269.518505428237</v>
      </c>
      <c r="Q82" s="636">
        <f t="shared" si="8"/>
        <v>0.14518572257569337</v>
      </c>
      <c r="R82" s="633">
        <f t="shared" si="9"/>
        <v>70734</v>
      </c>
      <c r="S82" s="637" t="s">
        <v>932</v>
      </c>
    </row>
    <row r="83" spans="1:19" s="640" customFormat="1" x14ac:dyDescent="0.35">
      <c r="A83" s="627">
        <v>79</v>
      </c>
      <c r="B83" s="628" t="s">
        <v>1321</v>
      </c>
      <c r="C83" s="629" t="s">
        <v>1322</v>
      </c>
      <c r="D83" s="630" t="s">
        <v>19</v>
      </c>
      <c r="E83" s="632">
        <v>79900</v>
      </c>
      <c r="F83" s="632">
        <v>73990</v>
      </c>
      <c r="G83" s="641"/>
      <c r="H83" s="632"/>
      <c r="I83" s="632"/>
      <c r="J83" s="632"/>
      <c r="K83" s="632"/>
      <c r="L83" s="632"/>
      <c r="M83" s="634"/>
      <c r="N83" s="635">
        <f>+MEDIAN(E83,F83)</f>
        <v>76945</v>
      </c>
      <c r="O83" s="635">
        <f t="shared" si="6"/>
        <v>76945</v>
      </c>
      <c r="P83" s="635">
        <f t="shared" si="7"/>
        <v>4179.0010768124957</v>
      </c>
      <c r="Q83" s="636">
        <f t="shared" si="8"/>
        <v>5.4311535211027301E-2</v>
      </c>
      <c r="R83" s="633">
        <f t="shared" si="9"/>
        <v>76945</v>
      </c>
      <c r="S83" s="637" t="s">
        <v>932</v>
      </c>
    </row>
    <row r="84" spans="1:19" s="640" customFormat="1" x14ac:dyDescent="0.35">
      <c r="A84" s="627">
        <v>80</v>
      </c>
      <c r="B84" s="628" t="s">
        <v>1323</v>
      </c>
      <c r="C84" s="629" t="s">
        <v>1324</v>
      </c>
      <c r="D84" s="630" t="s">
        <v>19</v>
      </c>
      <c r="E84" s="632">
        <v>19900</v>
      </c>
      <c r="F84" s="632">
        <v>16990</v>
      </c>
      <c r="G84" s="632"/>
      <c r="H84" s="632"/>
      <c r="I84" s="642">
        <v>14000</v>
      </c>
      <c r="J84" s="632"/>
      <c r="K84" s="632"/>
      <c r="L84" s="632"/>
      <c r="M84" s="634"/>
      <c r="N84" s="635">
        <f>+MEDIAN(E84,F84,I84)</f>
        <v>16990</v>
      </c>
      <c r="O84" s="635">
        <f>+AVERAGE(E84,F84,I84)</f>
        <v>16963.333333333332</v>
      </c>
      <c r="P84" s="635">
        <f>+STDEV(E84,F84,I84)</f>
        <v>2950.0903940952917</v>
      </c>
      <c r="Q84" s="636">
        <f t="shared" si="8"/>
        <v>0.17390982869494745</v>
      </c>
      <c r="R84" s="633">
        <f t="shared" si="9"/>
        <v>16990</v>
      </c>
      <c r="S84" s="637" t="s">
        <v>929</v>
      </c>
    </row>
    <row r="85" spans="1:19" s="640" customFormat="1" x14ac:dyDescent="0.35">
      <c r="A85" s="627">
        <v>81</v>
      </c>
      <c r="B85" s="628" t="s">
        <v>1325</v>
      </c>
      <c r="C85" s="629" t="s">
        <v>1326</v>
      </c>
      <c r="D85" s="630" t="s">
        <v>19</v>
      </c>
      <c r="E85" s="632">
        <v>19900</v>
      </c>
      <c r="F85" s="632">
        <v>21990</v>
      </c>
      <c r="G85" s="632"/>
      <c r="H85" s="632"/>
      <c r="I85" s="632"/>
      <c r="J85" s="632"/>
      <c r="K85" s="632"/>
      <c r="L85" s="632"/>
      <c r="M85" s="634"/>
      <c r="N85" s="635">
        <f>+MEDIAN(E85,F85)</f>
        <v>20945</v>
      </c>
      <c r="O85" s="635">
        <f t="shared" si="6"/>
        <v>20945</v>
      </c>
      <c r="P85" s="635">
        <f t="shared" si="7"/>
        <v>1477.8531726798844</v>
      </c>
      <c r="Q85" s="636">
        <f t="shared" si="8"/>
        <v>7.055875734924251E-2</v>
      </c>
      <c r="R85" s="633">
        <f t="shared" si="9"/>
        <v>20945</v>
      </c>
      <c r="S85" s="637" t="s">
        <v>932</v>
      </c>
    </row>
    <row r="86" spans="1:19" s="640" customFormat="1" x14ac:dyDescent="0.35">
      <c r="A86" s="627">
        <v>82</v>
      </c>
      <c r="B86" s="628" t="s">
        <v>1327</v>
      </c>
      <c r="C86" s="629" t="s">
        <v>1328</v>
      </c>
      <c r="D86" s="630" t="s">
        <v>273</v>
      </c>
      <c r="E86" s="632">
        <v>8900</v>
      </c>
      <c r="F86" s="632">
        <v>8390</v>
      </c>
      <c r="G86" s="632"/>
      <c r="H86" s="632"/>
      <c r="I86" s="632"/>
      <c r="J86" s="632"/>
      <c r="K86" s="632"/>
      <c r="L86" s="632"/>
      <c r="M86" s="634"/>
      <c r="N86" s="635">
        <f>+MEDIAN(E86,F86)</f>
        <v>8645</v>
      </c>
      <c r="O86" s="635">
        <f t="shared" si="6"/>
        <v>8645</v>
      </c>
      <c r="P86" s="635">
        <f t="shared" si="7"/>
        <v>360.62445840513925</v>
      </c>
      <c r="Q86" s="636">
        <f t="shared" si="8"/>
        <v>4.1714801434949593E-2</v>
      </c>
      <c r="R86" s="633">
        <f t="shared" si="9"/>
        <v>8645</v>
      </c>
      <c r="S86" s="637" t="s">
        <v>932</v>
      </c>
    </row>
    <row r="87" spans="1:19" s="640" customFormat="1" x14ac:dyDescent="0.35">
      <c r="A87" s="627">
        <v>83</v>
      </c>
      <c r="B87" s="628" t="s">
        <v>1329</v>
      </c>
      <c r="C87" s="629" t="s">
        <v>1330</v>
      </c>
      <c r="D87" s="630" t="s">
        <v>67</v>
      </c>
      <c r="E87" s="632">
        <v>19900</v>
      </c>
      <c r="F87" s="632">
        <v>15900</v>
      </c>
      <c r="G87" s="641"/>
      <c r="H87" s="632"/>
      <c r="I87" s="632"/>
      <c r="J87" s="632"/>
      <c r="K87" s="632"/>
      <c r="L87" s="632"/>
      <c r="M87" s="634"/>
      <c r="N87" s="635">
        <f>+MEDIAN(E87,F87)</f>
        <v>17900</v>
      </c>
      <c r="O87" s="635">
        <f t="shared" si="6"/>
        <v>17900</v>
      </c>
      <c r="P87" s="635">
        <f t="shared" si="7"/>
        <v>2828.4271247461902</v>
      </c>
      <c r="Q87" s="636">
        <f t="shared" si="8"/>
        <v>0.15801268853330672</v>
      </c>
      <c r="R87" s="633">
        <f t="shared" si="9"/>
        <v>17900</v>
      </c>
      <c r="S87" s="637" t="s">
        <v>929</v>
      </c>
    </row>
    <row r="88" spans="1:19" s="640" customFormat="1" x14ac:dyDescent="0.35">
      <c r="B88" s="621"/>
      <c r="C88" s="643"/>
      <c r="D88" s="621"/>
      <c r="E88" s="644"/>
      <c r="F88" s="644"/>
      <c r="G88" s="644"/>
      <c r="H88" s="644"/>
      <c r="I88" s="644"/>
      <c r="J88" s="645"/>
      <c r="K88" s="645"/>
      <c r="L88" s="645"/>
      <c r="M88" s="645"/>
      <c r="N88" s="644"/>
      <c r="O88" s="644"/>
      <c r="P88" s="644"/>
      <c r="Q88" s="621"/>
      <c r="R88" s="644"/>
    </row>
    <row r="89" spans="1:19" s="640" customFormat="1" x14ac:dyDescent="0.35">
      <c r="B89" s="621"/>
      <c r="C89" s="643"/>
      <c r="D89" s="621"/>
      <c r="E89" s="644"/>
      <c r="F89" s="644"/>
      <c r="G89" s="644"/>
      <c r="H89" s="644"/>
      <c r="I89" s="644"/>
      <c r="J89" s="645"/>
      <c r="K89" s="645"/>
      <c r="L89" s="645"/>
      <c r="M89" s="645"/>
      <c r="N89" s="644"/>
      <c r="O89" s="644"/>
      <c r="P89" s="644"/>
      <c r="Q89" s="621"/>
      <c r="R89" s="644"/>
    </row>
    <row r="90" spans="1:19" s="640" customFormat="1" x14ac:dyDescent="0.35">
      <c r="B90" s="621"/>
      <c r="C90" s="643"/>
      <c r="D90" s="621"/>
      <c r="E90" s="644"/>
      <c r="F90" s="644"/>
      <c r="G90" s="644"/>
      <c r="H90" s="644"/>
      <c r="I90" s="644"/>
      <c r="J90" s="645"/>
      <c r="K90" s="645"/>
      <c r="L90" s="645"/>
      <c r="M90" s="645"/>
      <c r="N90" s="644"/>
      <c r="O90" s="644"/>
      <c r="P90" s="644"/>
      <c r="Q90" s="621"/>
      <c r="R90" s="644"/>
    </row>
    <row r="91" spans="1:19" s="646" customFormat="1" x14ac:dyDescent="0.35">
      <c r="C91" s="643"/>
      <c r="D91" s="621"/>
      <c r="E91" s="644"/>
      <c r="F91" s="644"/>
      <c r="G91" s="644"/>
      <c r="H91" s="644"/>
      <c r="I91" s="644"/>
      <c r="J91" s="645"/>
      <c r="K91" s="645"/>
      <c r="L91" s="645"/>
      <c r="M91" s="645"/>
      <c r="N91" s="644"/>
      <c r="O91" s="644"/>
      <c r="P91" s="644"/>
      <c r="Q91" s="621"/>
      <c r="R91" s="644"/>
      <c r="S91" s="640"/>
    </row>
    <row r="92" spans="1:19" s="646" customFormat="1" x14ac:dyDescent="0.35">
      <c r="C92" s="643"/>
      <c r="D92" s="621"/>
      <c r="E92" s="644"/>
      <c r="F92" s="644"/>
      <c r="G92" s="644"/>
      <c r="H92" s="644"/>
      <c r="I92" s="644"/>
      <c r="J92" s="645"/>
      <c r="K92" s="645"/>
      <c r="L92" s="645"/>
      <c r="M92" s="645"/>
      <c r="N92" s="644"/>
      <c r="O92" s="644"/>
      <c r="P92" s="644"/>
      <c r="Q92" s="621"/>
      <c r="R92" s="644"/>
      <c r="S92" s="640"/>
    </row>
    <row r="93" spans="1:19" s="646" customFormat="1" x14ac:dyDescent="0.35">
      <c r="C93" s="643"/>
      <c r="D93" s="621"/>
      <c r="E93" s="644"/>
      <c r="F93" s="644"/>
      <c r="G93" s="644"/>
      <c r="H93" s="644"/>
      <c r="I93" s="644"/>
      <c r="J93" s="645"/>
      <c r="K93" s="645"/>
      <c r="L93" s="645"/>
      <c r="M93" s="645"/>
      <c r="N93" s="644"/>
      <c r="O93" s="644"/>
      <c r="P93" s="644"/>
      <c r="Q93" s="621"/>
      <c r="R93" s="644"/>
      <c r="S93" s="640"/>
    </row>
    <row r="94" spans="1:19" s="646" customFormat="1" x14ac:dyDescent="0.35">
      <c r="C94" s="643"/>
      <c r="D94" s="621"/>
      <c r="E94" s="644"/>
      <c r="F94" s="644"/>
      <c r="G94" s="644"/>
      <c r="H94" s="644"/>
      <c r="I94" s="644"/>
      <c r="J94" s="645"/>
      <c r="K94" s="645"/>
      <c r="L94" s="645"/>
      <c r="M94" s="645"/>
      <c r="N94" s="644"/>
      <c r="O94" s="644"/>
      <c r="P94" s="644"/>
      <c r="Q94" s="621"/>
      <c r="R94" s="644"/>
      <c r="S94" s="640"/>
    </row>
    <row r="95" spans="1:19" s="646" customFormat="1" x14ac:dyDescent="0.35">
      <c r="C95" s="643"/>
      <c r="D95" s="621"/>
      <c r="E95" s="644"/>
      <c r="F95" s="644"/>
      <c r="G95" s="644"/>
      <c r="H95" s="644"/>
      <c r="I95" s="644"/>
      <c r="J95" s="645"/>
      <c r="K95" s="645"/>
      <c r="L95" s="645"/>
      <c r="M95" s="645"/>
      <c r="N95" s="644"/>
      <c r="O95" s="644"/>
      <c r="P95" s="644"/>
      <c r="Q95" s="621"/>
      <c r="R95" s="644"/>
      <c r="S95" s="640"/>
    </row>
    <row r="96" spans="1:19" s="646" customFormat="1" x14ac:dyDescent="0.35">
      <c r="C96" s="643"/>
      <c r="D96" s="621"/>
      <c r="E96" s="644"/>
      <c r="F96" s="644"/>
      <c r="G96" s="644"/>
      <c r="H96" s="644"/>
      <c r="I96" s="644"/>
      <c r="J96" s="645"/>
      <c r="K96" s="645"/>
      <c r="L96" s="645"/>
      <c r="M96" s="645"/>
      <c r="N96" s="644"/>
      <c r="O96" s="644"/>
      <c r="P96" s="644"/>
      <c r="Q96" s="621"/>
      <c r="R96" s="644"/>
      <c r="S96" s="640"/>
    </row>
    <row r="97" spans="3:19" s="646" customFormat="1" x14ac:dyDescent="0.35">
      <c r="C97" s="643"/>
      <c r="D97" s="621"/>
      <c r="E97" s="644"/>
      <c r="F97" s="644"/>
      <c r="G97" s="644"/>
      <c r="H97" s="644"/>
      <c r="I97" s="644"/>
      <c r="J97" s="645"/>
      <c r="K97" s="645"/>
      <c r="L97" s="645"/>
      <c r="M97" s="645"/>
      <c r="N97" s="644"/>
      <c r="O97" s="644"/>
      <c r="P97" s="644"/>
      <c r="Q97" s="621"/>
      <c r="R97" s="644"/>
      <c r="S97" s="640"/>
    </row>
    <row r="98" spans="3:19" s="646" customFormat="1" x14ac:dyDescent="0.35">
      <c r="C98" s="643"/>
      <c r="D98" s="621"/>
      <c r="E98" s="644"/>
      <c r="F98" s="644"/>
      <c r="G98" s="644"/>
      <c r="H98" s="644"/>
      <c r="I98" s="644"/>
      <c r="J98" s="645"/>
      <c r="K98" s="645"/>
      <c r="L98" s="645"/>
      <c r="M98" s="645"/>
      <c r="N98" s="644"/>
      <c r="O98" s="644"/>
      <c r="P98" s="644"/>
      <c r="Q98" s="621"/>
      <c r="R98" s="644"/>
      <c r="S98" s="640"/>
    </row>
    <row r="99" spans="3:19" s="646" customFormat="1" x14ac:dyDescent="0.35">
      <c r="C99" s="643"/>
      <c r="D99" s="621"/>
      <c r="E99" s="644"/>
      <c r="F99" s="644"/>
      <c r="G99" s="644"/>
      <c r="H99" s="644"/>
      <c r="I99" s="644"/>
      <c r="J99" s="645"/>
      <c r="K99" s="645"/>
      <c r="L99" s="645"/>
      <c r="M99" s="645"/>
      <c r="N99" s="644"/>
      <c r="O99" s="644"/>
      <c r="P99" s="644"/>
      <c r="Q99" s="621"/>
      <c r="R99" s="644"/>
      <c r="S99" s="640"/>
    </row>
    <row r="100" spans="3:19" s="646" customFormat="1" x14ac:dyDescent="0.35">
      <c r="C100" s="643"/>
      <c r="D100" s="621"/>
      <c r="E100" s="644"/>
      <c r="F100" s="644"/>
      <c r="G100" s="644"/>
      <c r="H100" s="644"/>
      <c r="I100" s="644"/>
      <c r="J100" s="645"/>
      <c r="K100" s="645"/>
      <c r="L100" s="645"/>
      <c r="M100" s="645"/>
      <c r="N100" s="644"/>
      <c r="O100" s="644"/>
      <c r="P100" s="644"/>
      <c r="Q100" s="621"/>
      <c r="R100" s="644"/>
      <c r="S100" s="640"/>
    </row>
    <row r="101" spans="3:19" s="646" customFormat="1" x14ac:dyDescent="0.35">
      <c r="C101" s="643"/>
      <c r="D101" s="621"/>
      <c r="E101" s="644"/>
      <c r="F101" s="644"/>
      <c r="G101" s="644"/>
      <c r="H101" s="644"/>
      <c r="I101" s="644"/>
      <c r="J101" s="645"/>
      <c r="K101" s="645"/>
      <c r="L101" s="645"/>
      <c r="M101" s="645"/>
      <c r="N101" s="644"/>
      <c r="O101" s="644"/>
      <c r="P101" s="644"/>
      <c r="Q101" s="621"/>
      <c r="R101" s="644"/>
      <c r="S101" s="640"/>
    </row>
    <row r="102" spans="3:19" s="646" customFormat="1" x14ac:dyDescent="0.35">
      <c r="C102" s="643"/>
      <c r="D102" s="621"/>
      <c r="E102" s="644"/>
      <c r="F102" s="644"/>
      <c r="G102" s="644"/>
      <c r="H102" s="644"/>
      <c r="I102" s="644"/>
      <c r="J102" s="645"/>
      <c r="K102" s="645"/>
      <c r="L102" s="645"/>
      <c r="M102" s="645"/>
      <c r="N102" s="644"/>
      <c r="O102" s="644"/>
      <c r="P102" s="644"/>
      <c r="Q102" s="621"/>
      <c r="R102" s="644"/>
      <c r="S102" s="640"/>
    </row>
    <row r="103" spans="3:19" s="646" customFormat="1" x14ac:dyDescent="0.35">
      <c r="C103" s="643"/>
      <c r="D103" s="621"/>
      <c r="E103" s="644"/>
      <c r="F103" s="644"/>
      <c r="G103" s="644"/>
      <c r="H103" s="644"/>
      <c r="I103" s="644"/>
      <c r="J103" s="645"/>
      <c r="K103" s="645"/>
      <c r="L103" s="645"/>
      <c r="M103" s="645"/>
      <c r="N103" s="644"/>
      <c r="O103" s="644"/>
      <c r="P103" s="644"/>
      <c r="Q103" s="621"/>
      <c r="R103" s="644"/>
      <c r="S103" s="640"/>
    </row>
    <row r="104" spans="3:19" s="646" customFormat="1" x14ac:dyDescent="0.35">
      <c r="C104" s="643"/>
      <c r="D104" s="621"/>
      <c r="E104" s="644"/>
      <c r="F104" s="644"/>
      <c r="G104" s="644"/>
      <c r="H104" s="644"/>
      <c r="I104" s="644"/>
      <c r="J104" s="645"/>
      <c r="K104" s="645"/>
      <c r="L104" s="645"/>
      <c r="M104" s="645"/>
      <c r="N104" s="644"/>
      <c r="O104" s="644"/>
      <c r="P104" s="644"/>
      <c r="Q104" s="621"/>
      <c r="R104" s="644"/>
      <c r="S104" s="640"/>
    </row>
    <row r="105" spans="3:19" s="646" customFormat="1" x14ac:dyDescent="0.35">
      <c r="C105" s="643"/>
      <c r="D105" s="621"/>
      <c r="E105" s="644"/>
      <c r="F105" s="644"/>
      <c r="G105" s="644"/>
      <c r="H105" s="644"/>
      <c r="I105" s="644"/>
      <c r="J105" s="645"/>
      <c r="K105" s="645"/>
      <c r="L105" s="645"/>
      <c r="M105" s="645"/>
      <c r="N105" s="644"/>
      <c r="O105" s="644"/>
      <c r="P105" s="644"/>
      <c r="Q105" s="621"/>
      <c r="R105" s="644"/>
      <c r="S105" s="640"/>
    </row>
    <row r="106" spans="3:19" s="646" customFormat="1" x14ac:dyDescent="0.35">
      <c r="C106" s="643"/>
      <c r="D106" s="621"/>
      <c r="E106" s="644"/>
      <c r="F106" s="644"/>
      <c r="G106" s="644"/>
      <c r="H106" s="644"/>
      <c r="I106" s="644"/>
      <c r="J106" s="645"/>
      <c r="K106" s="645"/>
      <c r="L106" s="645"/>
      <c r="M106" s="645"/>
      <c r="N106" s="644"/>
      <c r="O106" s="644"/>
      <c r="P106" s="644"/>
      <c r="Q106" s="621"/>
      <c r="R106" s="644"/>
      <c r="S106" s="640"/>
    </row>
    <row r="107" spans="3:19" s="646" customFormat="1" x14ac:dyDescent="0.35">
      <c r="C107" s="643"/>
      <c r="D107" s="621"/>
      <c r="E107" s="644"/>
      <c r="F107" s="644"/>
      <c r="G107" s="644"/>
      <c r="H107" s="644"/>
      <c r="I107" s="644"/>
      <c r="J107" s="645"/>
      <c r="K107" s="645"/>
      <c r="L107" s="645"/>
      <c r="M107" s="645"/>
      <c r="N107" s="644"/>
      <c r="O107" s="644"/>
      <c r="P107" s="644"/>
      <c r="Q107" s="621"/>
      <c r="R107" s="644"/>
      <c r="S107" s="640"/>
    </row>
    <row r="108" spans="3:19" s="646" customFormat="1" x14ac:dyDescent="0.35">
      <c r="C108" s="643"/>
      <c r="D108" s="621"/>
      <c r="E108" s="644"/>
      <c r="F108" s="644"/>
      <c r="G108" s="644"/>
      <c r="H108" s="644"/>
      <c r="I108" s="644"/>
      <c r="J108" s="645"/>
      <c r="K108" s="645"/>
      <c r="L108" s="645"/>
      <c r="M108" s="645"/>
      <c r="N108" s="644"/>
      <c r="O108" s="644"/>
      <c r="P108" s="644"/>
      <c r="Q108" s="621"/>
      <c r="R108" s="644"/>
      <c r="S108" s="640"/>
    </row>
    <row r="109" spans="3:19" s="646" customFormat="1" x14ac:dyDescent="0.35">
      <c r="C109" s="643"/>
      <c r="D109" s="621"/>
      <c r="E109" s="644"/>
      <c r="F109" s="644"/>
      <c r="G109" s="644"/>
      <c r="H109" s="644"/>
      <c r="I109" s="644"/>
      <c r="J109" s="645"/>
      <c r="K109" s="645"/>
      <c r="L109" s="645"/>
      <c r="M109" s="645"/>
      <c r="N109" s="644"/>
      <c r="O109" s="644"/>
      <c r="P109" s="644"/>
      <c r="Q109" s="621"/>
      <c r="R109" s="644"/>
      <c r="S109" s="640"/>
    </row>
    <row r="110" spans="3:19" s="646" customFormat="1" x14ac:dyDescent="0.35">
      <c r="C110" s="643"/>
      <c r="D110" s="621"/>
      <c r="E110" s="644"/>
      <c r="F110" s="644"/>
      <c r="G110" s="644"/>
      <c r="H110" s="644"/>
      <c r="I110" s="644"/>
      <c r="J110" s="645"/>
      <c r="K110" s="645"/>
      <c r="L110" s="645"/>
      <c r="M110" s="645"/>
      <c r="N110" s="644"/>
      <c r="O110" s="644"/>
      <c r="P110" s="644"/>
      <c r="Q110" s="621"/>
      <c r="R110" s="644"/>
      <c r="S110" s="640"/>
    </row>
    <row r="111" spans="3:19" s="646" customFormat="1" x14ac:dyDescent="0.35">
      <c r="C111" s="643"/>
      <c r="D111" s="621"/>
      <c r="E111" s="644"/>
      <c r="F111" s="644"/>
      <c r="G111" s="644"/>
      <c r="H111" s="644"/>
      <c r="I111" s="644"/>
      <c r="J111" s="645"/>
      <c r="K111" s="645"/>
      <c r="L111" s="645"/>
      <c r="M111" s="645"/>
      <c r="N111" s="644"/>
      <c r="O111" s="644"/>
      <c r="P111" s="644"/>
      <c r="Q111" s="621"/>
      <c r="R111" s="644"/>
      <c r="S111" s="640"/>
    </row>
    <row r="112" spans="3:19" s="646" customFormat="1" x14ac:dyDescent="0.35">
      <c r="C112" s="643"/>
      <c r="D112" s="621"/>
      <c r="E112" s="644"/>
      <c r="F112" s="644"/>
      <c r="G112" s="644"/>
      <c r="H112" s="644"/>
      <c r="I112" s="644"/>
      <c r="J112" s="645"/>
      <c r="K112" s="645"/>
      <c r="L112" s="645"/>
      <c r="M112" s="645"/>
      <c r="N112" s="644"/>
      <c r="O112" s="644"/>
      <c r="P112" s="644"/>
      <c r="Q112" s="621"/>
      <c r="R112" s="644"/>
      <c r="S112" s="640"/>
    </row>
    <row r="113" spans="3:19" s="646" customFormat="1" x14ac:dyDescent="0.35">
      <c r="C113" s="643"/>
      <c r="D113" s="621"/>
      <c r="E113" s="644"/>
      <c r="F113" s="644"/>
      <c r="G113" s="644"/>
      <c r="H113" s="644"/>
      <c r="I113" s="644"/>
      <c r="J113" s="645"/>
      <c r="K113" s="645"/>
      <c r="L113" s="645"/>
      <c r="M113" s="645"/>
      <c r="N113" s="644"/>
      <c r="O113" s="644"/>
      <c r="P113" s="644"/>
      <c r="Q113" s="621"/>
      <c r="R113" s="644"/>
      <c r="S113" s="640"/>
    </row>
    <row r="114" spans="3:19" s="646" customFormat="1" x14ac:dyDescent="0.35">
      <c r="C114" s="643"/>
      <c r="D114" s="621"/>
      <c r="E114" s="644"/>
      <c r="F114" s="644"/>
      <c r="G114" s="644"/>
      <c r="H114" s="644"/>
      <c r="I114" s="644"/>
      <c r="J114" s="645"/>
      <c r="K114" s="645"/>
      <c r="L114" s="645"/>
      <c r="M114" s="645"/>
      <c r="N114" s="644"/>
      <c r="O114" s="644"/>
      <c r="P114" s="644"/>
      <c r="Q114" s="621"/>
      <c r="R114" s="644"/>
      <c r="S114" s="640"/>
    </row>
    <row r="115" spans="3:19" s="646" customFormat="1" x14ac:dyDescent="0.35">
      <c r="C115" s="643"/>
      <c r="D115" s="621"/>
      <c r="E115" s="644"/>
      <c r="F115" s="644"/>
      <c r="G115" s="644"/>
      <c r="H115" s="644"/>
      <c r="I115" s="644"/>
      <c r="J115" s="645"/>
      <c r="K115" s="645"/>
      <c r="L115" s="645"/>
      <c r="M115" s="645"/>
      <c r="N115" s="644"/>
      <c r="O115" s="644"/>
      <c r="P115" s="644"/>
      <c r="Q115" s="621"/>
      <c r="R115" s="644"/>
      <c r="S115" s="640"/>
    </row>
    <row r="116" spans="3:19" s="646" customFormat="1" x14ac:dyDescent="0.35">
      <c r="C116" s="643"/>
      <c r="D116" s="621"/>
      <c r="E116" s="644"/>
      <c r="F116" s="644"/>
      <c r="G116" s="644"/>
      <c r="H116" s="644"/>
      <c r="I116" s="644"/>
      <c r="J116" s="645"/>
      <c r="K116" s="645"/>
      <c r="L116" s="645"/>
      <c r="M116" s="645"/>
      <c r="N116" s="644"/>
      <c r="O116" s="644"/>
      <c r="P116" s="644"/>
      <c r="Q116" s="621"/>
      <c r="R116" s="644"/>
      <c r="S116" s="640"/>
    </row>
    <row r="117" spans="3:19" s="646" customFormat="1" x14ac:dyDescent="0.35">
      <c r="C117" s="643"/>
      <c r="D117" s="621"/>
      <c r="E117" s="644"/>
      <c r="F117" s="644"/>
      <c r="G117" s="644"/>
      <c r="H117" s="644"/>
      <c r="I117" s="644"/>
      <c r="J117" s="645"/>
      <c r="K117" s="645"/>
      <c r="L117" s="645"/>
      <c r="M117" s="645"/>
      <c r="N117" s="644"/>
      <c r="O117" s="644"/>
      <c r="P117" s="644"/>
      <c r="Q117" s="621"/>
      <c r="R117" s="644"/>
      <c r="S117" s="640"/>
    </row>
    <row r="118" spans="3:19" s="646" customFormat="1" x14ac:dyDescent="0.35">
      <c r="C118" s="643"/>
      <c r="D118" s="621"/>
      <c r="E118" s="644"/>
      <c r="F118" s="644"/>
      <c r="G118" s="644"/>
      <c r="H118" s="644"/>
      <c r="I118" s="644"/>
      <c r="J118" s="645"/>
      <c r="K118" s="645"/>
      <c r="L118" s="645"/>
      <c r="M118" s="645"/>
      <c r="N118" s="644"/>
      <c r="O118" s="644"/>
      <c r="P118" s="644"/>
      <c r="Q118" s="621"/>
      <c r="R118" s="644"/>
      <c r="S118" s="640"/>
    </row>
    <row r="119" spans="3:19" s="646" customFormat="1" x14ac:dyDescent="0.35">
      <c r="C119" s="643"/>
      <c r="D119" s="621"/>
      <c r="E119" s="644"/>
      <c r="F119" s="644"/>
      <c r="G119" s="644"/>
      <c r="H119" s="644"/>
      <c r="I119" s="644"/>
      <c r="J119" s="645"/>
      <c r="K119" s="645"/>
      <c r="L119" s="645"/>
      <c r="M119" s="645"/>
      <c r="N119" s="644"/>
      <c r="O119" s="644"/>
      <c r="P119" s="644"/>
      <c r="Q119" s="621"/>
      <c r="R119" s="644"/>
      <c r="S119" s="640"/>
    </row>
    <row r="120" spans="3:19" s="646" customFormat="1" x14ac:dyDescent="0.35">
      <c r="C120" s="643"/>
      <c r="D120" s="621"/>
      <c r="E120" s="644"/>
      <c r="F120" s="644"/>
      <c r="G120" s="644"/>
      <c r="H120" s="644"/>
      <c r="I120" s="644"/>
      <c r="J120" s="645"/>
      <c r="K120" s="645"/>
      <c r="L120" s="645"/>
      <c r="M120" s="645"/>
      <c r="N120" s="644"/>
      <c r="O120" s="644"/>
      <c r="P120" s="644"/>
      <c r="Q120" s="621"/>
      <c r="R120" s="644"/>
      <c r="S120" s="640"/>
    </row>
    <row r="121" spans="3:19" s="646" customFormat="1" x14ac:dyDescent="0.35">
      <c r="C121" s="643"/>
      <c r="D121" s="621"/>
      <c r="E121" s="644"/>
      <c r="F121" s="644"/>
      <c r="G121" s="644"/>
      <c r="H121" s="644"/>
      <c r="I121" s="644"/>
      <c r="J121" s="645"/>
      <c r="K121" s="645"/>
      <c r="L121" s="645"/>
      <c r="M121" s="645"/>
      <c r="N121" s="644"/>
      <c r="O121" s="644"/>
      <c r="P121" s="644"/>
      <c r="Q121" s="621"/>
      <c r="R121" s="644"/>
      <c r="S121" s="640"/>
    </row>
    <row r="122" spans="3:19" s="646" customFormat="1" x14ac:dyDescent="0.35">
      <c r="C122" s="643"/>
      <c r="D122" s="621"/>
      <c r="E122" s="644"/>
      <c r="F122" s="644"/>
      <c r="G122" s="644"/>
      <c r="H122" s="644"/>
      <c r="I122" s="644"/>
      <c r="J122" s="645"/>
      <c r="K122" s="645"/>
      <c r="L122" s="645"/>
      <c r="M122" s="645"/>
      <c r="N122" s="644"/>
      <c r="O122" s="644"/>
      <c r="P122" s="644"/>
      <c r="Q122" s="621"/>
      <c r="R122" s="644"/>
      <c r="S122" s="640"/>
    </row>
    <row r="123" spans="3:19" s="646" customFormat="1" x14ac:dyDescent="0.35">
      <c r="C123" s="643"/>
      <c r="D123" s="621"/>
      <c r="E123" s="644"/>
      <c r="F123" s="644"/>
      <c r="G123" s="644"/>
      <c r="H123" s="644"/>
      <c r="I123" s="644"/>
      <c r="J123" s="645"/>
      <c r="K123" s="645"/>
      <c r="L123" s="645"/>
      <c r="M123" s="645"/>
      <c r="N123" s="644"/>
      <c r="O123" s="644"/>
      <c r="P123" s="644"/>
      <c r="Q123" s="621"/>
      <c r="R123" s="644"/>
      <c r="S123" s="640"/>
    </row>
    <row r="124" spans="3:19" s="646" customFormat="1" x14ac:dyDescent="0.35">
      <c r="C124" s="643"/>
      <c r="D124" s="621"/>
      <c r="E124" s="644"/>
      <c r="F124" s="644"/>
      <c r="G124" s="644"/>
      <c r="H124" s="644"/>
      <c r="I124" s="644"/>
      <c r="J124" s="645"/>
      <c r="K124" s="645"/>
      <c r="L124" s="645"/>
      <c r="M124" s="645"/>
      <c r="N124" s="644"/>
      <c r="O124" s="644"/>
      <c r="P124" s="644"/>
      <c r="Q124" s="621"/>
      <c r="R124" s="644"/>
      <c r="S124" s="640"/>
    </row>
    <row r="125" spans="3:19" s="646" customFormat="1" x14ac:dyDescent="0.35">
      <c r="C125" s="643"/>
      <c r="D125" s="621"/>
      <c r="E125" s="644"/>
      <c r="F125" s="644"/>
      <c r="G125" s="644"/>
      <c r="H125" s="644"/>
      <c r="I125" s="644"/>
      <c r="J125" s="645"/>
      <c r="K125" s="645"/>
      <c r="L125" s="645"/>
      <c r="M125" s="645"/>
      <c r="N125" s="644"/>
      <c r="O125" s="644"/>
      <c r="P125" s="644"/>
      <c r="Q125" s="621"/>
      <c r="R125" s="644"/>
      <c r="S125" s="640"/>
    </row>
    <row r="126" spans="3:19" s="646" customFormat="1" x14ac:dyDescent="0.35">
      <c r="C126" s="643"/>
      <c r="D126" s="621"/>
      <c r="E126" s="644"/>
      <c r="F126" s="644"/>
      <c r="G126" s="644"/>
      <c r="H126" s="644"/>
      <c r="I126" s="644"/>
      <c r="J126" s="645"/>
      <c r="K126" s="645"/>
      <c r="L126" s="645"/>
      <c r="M126" s="645"/>
      <c r="N126" s="644"/>
      <c r="O126" s="644"/>
      <c r="P126" s="644"/>
      <c r="Q126" s="621"/>
      <c r="R126" s="644"/>
      <c r="S126" s="640"/>
    </row>
    <row r="127" spans="3:19" s="646" customFormat="1" x14ac:dyDescent="0.35">
      <c r="C127" s="643"/>
      <c r="D127" s="621"/>
      <c r="E127" s="644"/>
      <c r="F127" s="644"/>
      <c r="G127" s="644"/>
      <c r="H127" s="644"/>
      <c r="I127" s="644"/>
      <c r="J127" s="645"/>
      <c r="K127" s="645"/>
      <c r="L127" s="645"/>
      <c r="M127" s="645"/>
      <c r="N127" s="644"/>
      <c r="O127" s="644"/>
      <c r="P127" s="644"/>
      <c r="Q127" s="621"/>
      <c r="R127" s="644"/>
      <c r="S127" s="640"/>
    </row>
    <row r="128" spans="3:19" s="646" customFormat="1" x14ac:dyDescent="0.35">
      <c r="C128" s="643"/>
      <c r="D128" s="621"/>
      <c r="E128" s="644"/>
      <c r="F128" s="644"/>
      <c r="G128" s="644"/>
      <c r="H128" s="644"/>
      <c r="I128" s="644"/>
      <c r="J128" s="645"/>
      <c r="K128" s="645"/>
      <c r="L128" s="645"/>
      <c r="M128" s="645"/>
      <c r="N128" s="644"/>
      <c r="O128" s="644"/>
      <c r="P128" s="644"/>
      <c r="Q128" s="621"/>
      <c r="R128" s="644"/>
      <c r="S128" s="640"/>
    </row>
    <row r="129" spans="3:19" s="646" customFormat="1" x14ac:dyDescent="0.35">
      <c r="C129" s="643"/>
      <c r="D129" s="621"/>
      <c r="E129" s="644"/>
      <c r="F129" s="644"/>
      <c r="G129" s="644"/>
      <c r="H129" s="644"/>
      <c r="I129" s="644"/>
      <c r="J129" s="645"/>
      <c r="K129" s="645"/>
      <c r="L129" s="645"/>
      <c r="M129" s="645"/>
      <c r="N129" s="644"/>
      <c r="O129" s="644"/>
      <c r="P129" s="644"/>
      <c r="Q129" s="621"/>
      <c r="R129" s="644"/>
      <c r="S129" s="640"/>
    </row>
    <row r="130" spans="3:19" s="646" customFormat="1" x14ac:dyDescent="0.35">
      <c r="C130" s="643"/>
      <c r="D130" s="621"/>
      <c r="E130" s="644"/>
      <c r="F130" s="644"/>
      <c r="G130" s="644"/>
      <c r="H130" s="644"/>
      <c r="I130" s="644"/>
      <c r="J130" s="645"/>
      <c r="K130" s="645"/>
      <c r="L130" s="645"/>
      <c r="M130" s="645"/>
      <c r="N130" s="644"/>
      <c r="O130" s="644"/>
      <c r="P130" s="644"/>
      <c r="Q130" s="621"/>
      <c r="R130" s="644"/>
      <c r="S130" s="640"/>
    </row>
    <row r="131" spans="3:19" s="646" customFormat="1" x14ac:dyDescent="0.35">
      <c r="C131" s="643"/>
      <c r="D131" s="621"/>
      <c r="E131" s="644"/>
      <c r="F131" s="644"/>
      <c r="G131" s="644"/>
      <c r="H131" s="644"/>
      <c r="I131" s="644"/>
      <c r="J131" s="645"/>
      <c r="K131" s="645"/>
      <c r="L131" s="645"/>
      <c r="M131" s="645"/>
      <c r="N131" s="644"/>
      <c r="O131" s="644"/>
      <c r="P131" s="644"/>
      <c r="Q131" s="621"/>
      <c r="R131" s="644"/>
      <c r="S131" s="640"/>
    </row>
    <row r="132" spans="3:19" s="646" customFormat="1" x14ac:dyDescent="0.35">
      <c r="C132" s="643"/>
      <c r="D132" s="621"/>
      <c r="E132" s="644"/>
      <c r="F132" s="644"/>
      <c r="G132" s="644"/>
      <c r="H132" s="644"/>
      <c r="I132" s="644"/>
      <c r="J132" s="645"/>
      <c r="K132" s="645"/>
      <c r="L132" s="645"/>
      <c r="M132" s="645"/>
      <c r="N132" s="644"/>
      <c r="O132" s="644"/>
      <c r="P132" s="644"/>
      <c r="Q132" s="621"/>
      <c r="R132" s="644"/>
      <c r="S132" s="640"/>
    </row>
    <row r="133" spans="3:19" s="646" customFormat="1" x14ac:dyDescent="0.35">
      <c r="C133" s="643"/>
      <c r="D133" s="621"/>
      <c r="E133" s="644"/>
      <c r="F133" s="644"/>
      <c r="G133" s="644"/>
      <c r="H133" s="644"/>
      <c r="I133" s="644"/>
      <c r="J133" s="645"/>
      <c r="K133" s="645"/>
      <c r="L133" s="645"/>
      <c r="M133" s="645"/>
      <c r="N133" s="644"/>
      <c r="O133" s="644"/>
      <c r="P133" s="644"/>
      <c r="Q133" s="621"/>
      <c r="R133" s="644"/>
      <c r="S133" s="640"/>
    </row>
    <row r="134" spans="3:19" s="646" customFormat="1" x14ac:dyDescent="0.35">
      <c r="C134" s="643"/>
      <c r="D134" s="621"/>
      <c r="E134" s="644"/>
      <c r="F134" s="644"/>
      <c r="G134" s="644"/>
      <c r="H134" s="644"/>
      <c r="I134" s="644"/>
      <c r="J134" s="645"/>
      <c r="K134" s="645"/>
      <c r="L134" s="645"/>
      <c r="M134" s="645"/>
      <c r="N134" s="644"/>
      <c r="O134" s="644"/>
      <c r="P134" s="644"/>
      <c r="Q134" s="621"/>
      <c r="R134" s="644"/>
      <c r="S134" s="640"/>
    </row>
    <row r="135" spans="3:19" s="646" customFormat="1" x14ac:dyDescent="0.35">
      <c r="C135" s="643"/>
      <c r="D135" s="621"/>
      <c r="E135" s="644"/>
      <c r="F135" s="644"/>
      <c r="G135" s="644"/>
      <c r="H135" s="644"/>
      <c r="I135" s="644"/>
      <c r="J135" s="645"/>
      <c r="K135" s="645"/>
      <c r="L135" s="645"/>
      <c r="M135" s="645"/>
      <c r="N135" s="644"/>
      <c r="O135" s="644"/>
      <c r="P135" s="644"/>
      <c r="Q135" s="621"/>
      <c r="R135" s="644"/>
      <c r="S135" s="640"/>
    </row>
    <row r="136" spans="3:19" s="646" customFormat="1" x14ac:dyDescent="0.35">
      <c r="C136" s="643"/>
      <c r="D136" s="621"/>
      <c r="E136" s="644"/>
      <c r="F136" s="644"/>
      <c r="G136" s="644"/>
      <c r="H136" s="644"/>
      <c r="I136" s="644"/>
      <c r="J136" s="645"/>
      <c r="K136" s="645"/>
      <c r="L136" s="645"/>
      <c r="M136" s="645"/>
      <c r="N136" s="644"/>
      <c r="O136" s="644"/>
      <c r="P136" s="644"/>
      <c r="Q136" s="621"/>
      <c r="R136" s="644"/>
      <c r="S136" s="640"/>
    </row>
    <row r="137" spans="3:19" s="646" customFormat="1" x14ac:dyDescent="0.35">
      <c r="C137" s="643"/>
      <c r="D137" s="621"/>
      <c r="E137" s="644"/>
      <c r="F137" s="644"/>
      <c r="G137" s="644"/>
      <c r="H137" s="644"/>
      <c r="I137" s="644"/>
      <c r="J137" s="645"/>
      <c r="K137" s="645"/>
      <c r="L137" s="645"/>
      <c r="M137" s="645"/>
      <c r="N137" s="644"/>
      <c r="O137" s="644"/>
      <c r="P137" s="644"/>
      <c r="Q137" s="621"/>
      <c r="R137" s="644"/>
      <c r="S137" s="640"/>
    </row>
    <row r="138" spans="3:19" s="646" customFormat="1" x14ac:dyDescent="0.35">
      <c r="C138" s="643"/>
      <c r="D138" s="621"/>
      <c r="E138" s="644"/>
      <c r="F138" s="644"/>
      <c r="G138" s="644"/>
      <c r="H138" s="644"/>
      <c r="I138" s="644"/>
      <c r="J138" s="645"/>
      <c r="K138" s="645"/>
      <c r="L138" s="645"/>
      <c r="M138" s="645"/>
      <c r="N138" s="644"/>
      <c r="O138" s="644"/>
      <c r="P138" s="644"/>
      <c r="Q138" s="621"/>
      <c r="R138" s="644"/>
      <c r="S138" s="640"/>
    </row>
    <row r="139" spans="3:19" s="646" customFormat="1" x14ac:dyDescent="0.35">
      <c r="C139" s="643"/>
      <c r="D139" s="621"/>
      <c r="E139" s="644"/>
      <c r="F139" s="644"/>
      <c r="G139" s="644"/>
      <c r="H139" s="644"/>
      <c r="I139" s="644"/>
      <c r="J139" s="645"/>
      <c r="K139" s="645"/>
      <c r="L139" s="645"/>
      <c r="M139" s="645"/>
      <c r="N139" s="644"/>
      <c r="O139" s="644"/>
      <c r="P139" s="644"/>
      <c r="Q139" s="621"/>
      <c r="R139" s="644"/>
      <c r="S139" s="640"/>
    </row>
    <row r="140" spans="3:19" s="646" customFormat="1" x14ac:dyDescent="0.35">
      <c r="C140" s="643"/>
      <c r="D140" s="621"/>
      <c r="E140" s="644"/>
      <c r="F140" s="644"/>
      <c r="G140" s="644"/>
      <c r="H140" s="644"/>
      <c r="I140" s="644"/>
      <c r="J140" s="645"/>
      <c r="K140" s="645"/>
      <c r="L140" s="645"/>
      <c r="M140" s="645"/>
      <c r="N140" s="644"/>
      <c r="O140" s="644"/>
      <c r="P140" s="644"/>
      <c r="Q140" s="621"/>
      <c r="R140" s="644"/>
      <c r="S140" s="640"/>
    </row>
    <row r="141" spans="3:19" s="646" customFormat="1" x14ac:dyDescent="0.35">
      <c r="C141" s="643"/>
      <c r="D141" s="621"/>
      <c r="E141" s="644"/>
      <c r="F141" s="644"/>
      <c r="G141" s="644"/>
      <c r="H141" s="644"/>
      <c r="I141" s="644"/>
      <c r="J141" s="645"/>
      <c r="K141" s="645"/>
      <c r="L141" s="645"/>
      <c r="M141" s="645"/>
      <c r="N141" s="644"/>
      <c r="O141" s="644"/>
      <c r="P141" s="644"/>
      <c r="Q141" s="621"/>
      <c r="R141" s="644"/>
      <c r="S141" s="640"/>
    </row>
    <row r="142" spans="3:19" s="646" customFormat="1" x14ac:dyDescent="0.35">
      <c r="C142" s="643"/>
      <c r="D142" s="621"/>
      <c r="E142" s="644"/>
      <c r="F142" s="644"/>
      <c r="G142" s="644"/>
      <c r="H142" s="644"/>
      <c r="I142" s="644"/>
      <c r="J142" s="645"/>
      <c r="K142" s="645"/>
      <c r="L142" s="645"/>
      <c r="M142" s="645"/>
      <c r="N142" s="644"/>
      <c r="O142" s="644"/>
      <c r="P142" s="644"/>
      <c r="Q142" s="621"/>
      <c r="R142" s="644"/>
      <c r="S142" s="640"/>
    </row>
    <row r="143" spans="3:19" s="646" customFormat="1" x14ac:dyDescent="0.35">
      <c r="C143" s="643"/>
      <c r="D143" s="621"/>
      <c r="E143" s="644"/>
      <c r="F143" s="644"/>
      <c r="G143" s="644"/>
      <c r="H143" s="644"/>
      <c r="I143" s="644"/>
      <c r="J143" s="645"/>
      <c r="K143" s="645"/>
      <c r="L143" s="645"/>
      <c r="M143" s="645"/>
      <c r="N143" s="644"/>
      <c r="O143" s="644"/>
      <c r="P143" s="644"/>
      <c r="Q143" s="621"/>
      <c r="R143" s="644"/>
      <c r="S143" s="640"/>
    </row>
    <row r="144" spans="3:19" s="646" customFormat="1" x14ac:dyDescent="0.35">
      <c r="C144" s="643"/>
      <c r="D144" s="621"/>
      <c r="E144" s="644"/>
      <c r="F144" s="644"/>
      <c r="G144" s="644"/>
      <c r="H144" s="644"/>
      <c r="I144" s="644"/>
      <c r="J144" s="645"/>
      <c r="K144" s="645"/>
      <c r="L144" s="645"/>
      <c r="M144" s="645"/>
      <c r="N144" s="644"/>
      <c r="O144" s="644"/>
      <c r="P144" s="644"/>
      <c r="Q144" s="621"/>
      <c r="R144" s="644"/>
      <c r="S144" s="640"/>
    </row>
    <row r="145" spans="3:19" s="646" customFormat="1" x14ac:dyDescent="0.35">
      <c r="C145" s="643"/>
      <c r="D145" s="621"/>
      <c r="E145" s="644"/>
      <c r="F145" s="644"/>
      <c r="G145" s="644"/>
      <c r="H145" s="644"/>
      <c r="I145" s="644"/>
      <c r="J145" s="645"/>
      <c r="K145" s="645"/>
      <c r="L145" s="645"/>
      <c r="M145" s="645"/>
      <c r="N145" s="644"/>
      <c r="O145" s="644"/>
      <c r="P145" s="644"/>
      <c r="Q145" s="621"/>
      <c r="R145" s="644"/>
      <c r="S145" s="640"/>
    </row>
    <row r="146" spans="3:19" s="646" customFormat="1" x14ac:dyDescent="0.35">
      <c r="C146" s="643"/>
      <c r="D146" s="621"/>
      <c r="E146" s="644"/>
      <c r="F146" s="644"/>
      <c r="G146" s="644"/>
      <c r="H146" s="644"/>
      <c r="I146" s="644"/>
      <c r="J146" s="645"/>
      <c r="K146" s="645"/>
      <c r="L146" s="645"/>
      <c r="M146" s="645"/>
      <c r="N146" s="644"/>
      <c r="O146" s="644"/>
      <c r="P146" s="644"/>
      <c r="Q146" s="621"/>
      <c r="R146" s="644"/>
      <c r="S146" s="640"/>
    </row>
    <row r="147" spans="3:19" s="646" customFormat="1" x14ac:dyDescent="0.35">
      <c r="C147" s="643"/>
      <c r="D147" s="621"/>
      <c r="E147" s="644"/>
      <c r="F147" s="644"/>
      <c r="G147" s="644"/>
      <c r="H147" s="644"/>
      <c r="I147" s="644"/>
      <c r="J147" s="645"/>
      <c r="K147" s="645"/>
      <c r="L147" s="645"/>
      <c r="M147" s="645"/>
      <c r="N147" s="644"/>
      <c r="O147" s="644"/>
      <c r="P147" s="644"/>
      <c r="Q147" s="621"/>
      <c r="R147" s="644"/>
      <c r="S147" s="640"/>
    </row>
    <row r="148" spans="3:19" s="646" customFormat="1" x14ac:dyDescent="0.35">
      <c r="C148" s="643"/>
      <c r="D148" s="621"/>
      <c r="E148" s="644"/>
      <c r="F148" s="644"/>
      <c r="G148" s="644"/>
      <c r="H148" s="644"/>
      <c r="I148" s="644"/>
      <c r="J148" s="645"/>
      <c r="K148" s="645"/>
      <c r="L148" s="645"/>
      <c r="M148" s="645"/>
      <c r="N148" s="644"/>
      <c r="O148" s="644"/>
      <c r="P148" s="644"/>
      <c r="Q148" s="621"/>
      <c r="R148" s="644"/>
      <c r="S148" s="640"/>
    </row>
    <row r="149" spans="3:19" s="646" customFormat="1" x14ac:dyDescent="0.35">
      <c r="C149" s="643"/>
      <c r="D149" s="621"/>
      <c r="E149" s="644"/>
      <c r="F149" s="644"/>
      <c r="G149" s="644"/>
      <c r="H149" s="644"/>
      <c r="I149" s="644"/>
      <c r="J149" s="645"/>
      <c r="K149" s="645"/>
      <c r="L149" s="645"/>
      <c r="M149" s="645"/>
      <c r="N149" s="644"/>
      <c r="O149" s="644"/>
      <c r="P149" s="644"/>
      <c r="Q149" s="621"/>
      <c r="R149" s="644"/>
      <c r="S149" s="640"/>
    </row>
    <row r="150" spans="3:19" s="646" customFormat="1" x14ac:dyDescent="0.35">
      <c r="C150" s="643"/>
      <c r="D150" s="621"/>
      <c r="E150" s="644"/>
      <c r="F150" s="644"/>
      <c r="G150" s="644"/>
      <c r="H150" s="644"/>
      <c r="I150" s="644"/>
      <c r="J150" s="645"/>
      <c r="K150" s="645"/>
      <c r="L150" s="645"/>
      <c r="M150" s="645"/>
      <c r="N150" s="644"/>
      <c r="O150" s="644"/>
      <c r="P150" s="644"/>
      <c r="Q150" s="621"/>
      <c r="R150" s="644"/>
      <c r="S150" s="640"/>
    </row>
    <row r="151" spans="3:19" s="646" customFormat="1" x14ac:dyDescent="0.35">
      <c r="C151" s="643"/>
      <c r="D151" s="621"/>
      <c r="E151" s="644"/>
      <c r="F151" s="644"/>
      <c r="G151" s="644"/>
      <c r="H151" s="644"/>
      <c r="I151" s="644"/>
      <c r="J151" s="645"/>
      <c r="K151" s="645"/>
      <c r="L151" s="645"/>
      <c r="M151" s="645"/>
      <c r="N151" s="644"/>
      <c r="O151" s="644"/>
      <c r="P151" s="644"/>
      <c r="Q151" s="621"/>
      <c r="R151" s="644"/>
      <c r="S151" s="640"/>
    </row>
    <row r="152" spans="3:19" s="646" customFormat="1" x14ac:dyDescent="0.35">
      <c r="C152" s="643"/>
      <c r="D152" s="621"/>
      <c r="E152" s="644"/>
      <c r="F152" s="644"/>
      <c r="G152" s="644"/>
      <c r="H152" s="644"/>
      <c r="I152" s="644"/>
      <c r="J152" s="645"/>
      <c r="K152" s="645"/>
      <c r="L152" s="645"/>
      <c r="M152" s="645"/>
      <c r="N152" s="644"/>
      <c r="O152" s="644"/>
      <c r="P152" s="644"/>
      <c r="Q152" s="621"/>
      <c r="R152" s="644"/>
      <c r="S152" s="640"/>
    </row>
    <row r="153" spans="3:19" s="646" customFormat="1" x14ac:dyDescent="0.35">
      <c r="C153" s="643"/>
      <c r="D153" s="621"/>
      <c r="E153" s="644"/>
      <c r="F153" s="644"/>
      <c r="G153" s="644"/>
      <c r="H153" s="644"/>
      <c r="I153" s="644"/>
      <c r="J153" s="645"/>
      <c r="K153" s="645"/>
      <c r="L153" s="645"/>
      <c r="M153" s="645"/>
      <c r="N153" s="644"/>
      <c r="O153" s="644"/>
      <c r="P153" s="644"/>
      <c r="Q153" s="621"/>
      <c r="R153" s="644"/>
      <c r="S153" s="640"/>
    </row>
    <row r="154" spans="3:19" s="646" customFormat="1" x14ac:dyDescent="0.35">
      <c r="C154" s="643"/>
      <c r="D154" s="621"/>
      <c r="E154" s="644"/>
      <c r="F154" s="644"/>
      <c r="G154" s="644"/>
      <c r="H154" s="644"/>
      <c r="I154" s="644"/>
      <c r="J154" s="645"/>
      <c r="K154" s="645"/>
      <c r="L154" s="645"/>
      <c r="M154" s="645"/>
      <c r="N154" s="644"/>
      <c r="O154" s="644"/>
      <c r="P154" s="644"/>
      <c r="Q154" s="621"/>
      <c r="R154" s="644"/>
      <c r="S154" s="640"/>
    </row>
    <row r="155" spans="3:19" s="646" customFormat="1" x14ac:dyDescent="0.35">
      <c r="C155" s="643"/>
      <c r="D155" s="621"/>
      <c r="E155" s="644"/>
      <c r="F155" s="644"/>
      <c r="G155" s="644"/>
      <c r="H155" s="644"/>
      <c r="I155" s="644"/>
      <c r="J155" s="645"/>
      <c r="K155" s="645"/>
      <c r="L155" s="645"/>
      <c r="M155" s="645"/>
      <c r="N155" s="644"/>
      <c r="O155" s="644"/>
      <c r="P155" s="644"/>
      <c r="Q155" s="621"/>
      <c r="R155" s="644"/>
      <c r="S155" s="640"/>
    </row>
    <row r="156" spans="3:19" s="646" customFormat="1" x14ac:dyDescent="0.35">
      <c r="C156" s="643"/>
      <c r="D156" s="621"/>
      <c r="E156" s="644"/>
      <c r="F156" s="644"/>
      <c r="G156" s="644"/>
      <c r="H156" s="644"/>
      <c r="I156" s="644"/>
      <c r="J156" s="645"/>
      <c r="K156" s="645"/>
      <c r="L156" s="645"/>
      <c r="M156" s="645"/>
      <c r="N156" s="644"/>
      <c r="O156" s="644"/>
      <c r="P156" s="644"/>
      <c r="Q156" s="621"/>
      <c r="R156" s="644"/>
      <c r="S156" s="640"/>
    </row>
    <row r="157" spans="3:19" s="646" customFormat="1" x14ac:dyDescent="0.35">
      <c r="C157" s="643"/>
      <c r="D157" s="621"/>
      <c r="E157" s="644"/>
      <c r="F157" s="644"/>
      <c r="G157" s="644"/>
      <c r="H157" s="644"/>
      <c r="I157" s="644"/>
      <c r="J157" s="645"/>
      <c r="K157" s="645"/>
      <c r="L157" s="645"/>
      <c r="M157" s="645"/>
      <c r="N157" s="644"/>
      <c r="O157" s="644"/>
      <c r="P157" s="644"/>
      <c r="Q157" s="621"/>
      <c r="R157" s="644"/>
      <c r="S157" s="640"/>
    </row>
    <row r="158" spans="3:19" s="646" customFormat="1" x14ac:dyDescent="0.35">
      <c r="C158" s="643"/>
      <c r="D158" s="621"/>
      <c r="E158" s="644"/>
      <c r="F158" s="644"/>
      <c r="G158" s="644"/>
      <c r="H158" s="644"/>
      <c r="I158" s="644"/>
      <c r="J158" s="645"/>
      <c r="K158" s="645"/>
      <c r="L158" s="645"/>
      <c r="M158" s="645"/>
      <c r="N158" s="644"/>
      <c r="O158" s="644"/>
      <c r="P158" s="644"/>
      <c r="Q158" s="621"/>
      <c r="R158" s="644"/>
      <c r="S158" s="640"/>
    </row>
    <row r="159" spans="3:19" s="646" customFormat="1" x14ac:dyDescent="0.35">
      <c r="C159" s="643"/>
      <c r="D159" s="621"/>
      <c r="E159" s="644"/>
      <c r="F159" s="644"/>
      <c r="G159" s="644"/>
      <c r="H159" s="644"/>
      <c r="I159" s="644"/>
      <c r="J159" s="645"/>
      <c r="K159" s="645"/>
      <c r="L159" s="645"/>
      <c r="M159" s="645"/>
      <c r="N159" s="644"/>
      <c r="O159" s="644"/>
      <c r="P159" s="644"/>
      <c r="Q159" s="621"/>
      <c r="R159" s="644"/>
      <c r="S159" s="640"/>
    </row>
    <row r="160" spans="3:19" s="646" customFormat="1" x14ac:dyDescent="0.35">
      <c r="C160" s="643"/>
      <c r="D160" s="621"/>
      <c r="E160" s="644"/>
      <c r="F160" s="644"/>
      <c r="G160" s="644"/>
      <c r="H160" s="644"/>
      <c r="I160" s="644"/>
      <c r="J160" s="645"/>
      <c r="K160" s="645"/>
      <c r="L160" s="645"/>
      <c r="M160" s="645"/>
      <c r="N160" s="644"/>
      <c r="O160" s="644"/>
      <c r="P160" s="644"/>
      <c r="Q160" s="621"/>
      <c r="R160" s="644"/>
      <c r="S160" s="640"/>
    </row>
    <row r="161" spans="3:19" s="646" customFormat="1" x14ac:dyDescent="0.35">
      <c r="C161" s="643"/>
      <c r="D161" s="621"/>
      <c r="E161" s="644"/>
      <c r="F161" s="644"/>
      <c r="G161" s="644"/>
      <c r="H161" s="644"/>
      <c r="I161" s="644"/>
      <c r="J161" s="645"/>
      <c r="K161" s="645"/>
      <c r="L161" s="645"/>
      <c r="M161" s="645"/>
      <c r="N161" s="644"/>
      <c r="O161" s="644"/>
      <c r="P161" s="644"/>
      <c r="Q161" s="621"/>
      <c r="R161" s="644"/>
      <c r="S161" s="640"/>
    </row>
    <row r="162" spans="3:19" s="646" customFormat="1" x14ac:dyDescent="0.35">
      <c r="C162" s="643"/>
      <c r="D162" s="621"/>
      <c r="E162" s="644"/>
      <c r="F162" s="644"/>
      <c r="G162" s="644"/>
      <c r="H162" s="644"/>
      <c r="I162" s="644"/>
      <c r="J162" s="645"/>
      <c r="K162" s="645"/>
      <c r="L162" s="645"/>
      <c r="M162" s="645"/>
      <c r="N162" s="644"/>
      <c r="O162" s="644"/>
      <c r="P162" s="644"/>
      <c r="Q162" s="621"/>
      <c r="R162" s="644"/>
      <c r="S162" s="640"/>
    </row>
    <row r="163" spans="3:19" s="646" customFormat="1" x14ac:dyDescent="0.35">
      <c r="C163" s="643"/>
      <c r="D163" s="621"/>
      <c r="E163" s="644"/>
      <c r="F163" s="644"/>
      <c r="G163" s="644"/>
      <c r="H163" s="644"/>
      <c r="I163" s="644"/>
      <c r="J163" s="645"/>
      <c r="K163" s="645"/>
      <c r="L163" s="645"/>
      <c r="M163" s="645"/>
      <c r="N163" s="644"/>
      <c r="O163" s="644"/>
      <c r="P163" s="644"/>
      <c r="Q163" s="621"/>
      <c r="R163" s="644"/>
      <c r="S163" s="640"/>
    </row>
    <row r="164" spans="3:19" s="646" customFormat="1" x14ac:dyDescent="0.35">
      <c r="C164" s="643"/>
      <c r="D164" s="621"/>
      <c r="E164" s="644"/>
      <c r="F164" s="644"/>
      <c r="G164" s="644"/>
      <c r="H164" s="644"/>
      <c r="I164" s="644"/>
      <c r="J164" s="645"/>
      <c r="K164" s="645"/>
      <c r="L164" s="645"/>
      <c r="M164" s="645"/>
      <c r="N164" s="644"/>
      <c r="O164" s="644"/>
      <c r="P164" s="644"/>
      <c r="Q164" s="621"/>
      <c r="R164" s="644"/>
      <c r="S164" s="640"/>
    </row>
    <row r="165" spans="3:19" s="646" customFormat="1" x14ac:dyDescent="0.35">
      <c r="C165" s="643"/>
      <c r="D165" s="621"/>
      <c r="E165" s="644"/>
      <c r="F165" s="644"/>
      <c r="G165" s="644"/>
      <c r="H165" s="644"/>
      <c r="I165" s="644"/>
      <c r="J165" s="645"/>
      <c r="K165" s="645"/>
      <c r="L165" s="645"/>
      <c r="M165" s="645"/>
      <c r="N165" s="644"/>
      <c r="O165" s="644"/>
      <c r="P165" s="644"/>
      <c r="Q165" s="621"/>
      <c r="R165" s="644"/>
      <c r="S165" s="640"/>
    </row>
    <row r="166" spans="3:19" s="646" customFormat="1" x14ac:dyDescent="0.35">
      <c r="C166" s="643"/>
      <c r="D166" s="621"/>
      <c r="E166" s="644"/>
      <c r="F166" s="644"/>
      <c r="G166" s="644"/>
      <c r="H166" s="644"/>
      <c r="I166" s="644"/>
      <c r="J166" s="645"/>
      <c r="K166" s="645"/>
      <c r="L166" s="645"/>
      <c r="M166" s="645"/>
      <c r="N166" s="644"/>
      <c r="O166" s="644"/>
      <c r="P166" s="644"/>
      <c r="Q166" s="621"/>
      <c r="R166" s="644"/>
      <c r="S166" s="640"/>
    </row>
    <row r="167" spans="3:19" s="646" customFormat="1" x14ac:dyDescent="0.35">
      <c r="C167" s="643"/>
      <c r="D167" s="621"/>
      <c r="E167" s="644"/>
      <c r="F167" s="644"/>
      <c r="G167" s="644"/>
      <c r="H167" s="644"/>
      <c r="I167" s="644"/>
      <c r="J167" s="645"/>
      <c r="K167" s="645"/>
      <c r="L167" s="645"/>
      <c r="M167" s="645"/>
      <c r="N167" s="644"/>
      <c r="O167" s="644"/>
      <c r="P167" s="644"/>
      <c r="Q167" s="621"/>
      <c r="R167" s="644"/>
      <c r="S167" s="640"/>
    </row>
    <row r="168" spans="3:19" s="646" customFormat="1" x14ac:dyDescent="0.35">
      <c r="C168" s="643"/>
      <c r="D168" s="621"/>
      <c r="E168" s="644"/>
      <c r="F168" s="644"/>
      <c r="G168" s="644"/>
      <c r="H168" s="644"/>
      <c r="I168" s="644"/>
      <c r="J168" s="645"/>
      <c r="K168" s="645"/>
      <c r="L168" s="645"/>
      <c r="M168" s="645"/>
      <c r="N168" s="644"/>
      <c r="O168" s="644"/>
      <c r="P168" s="644"/>
      <c r="Q168" s="621"/>
      <c r="R168" s="644"/>
      <c r="S168" s="640"/>
    </row>
    <row r="169" spans="3:19" s="646" customFormat="1" x14ac:dyDescent="0.35">
      <c r="C169" s="643"/>
      <c r="D169" s="621"/>
      <c r="E169" s="644"/>
      <c r="F169" s="644"/>
      <c r="G169" s="644"/>
      <c r="H169" s="644"/>
      <c r="I169" s="644"/>
      <c r="J169" s="645"/>
      <c r="K169" s="645"/>
      <c r="L169" s="645"/>
      <c r="M169" s="645"/>
      <c r="N169" s="644"/>
      <c r="O169" s="644"/>
      <c r="P169" s="644"/>
      <c r="Q169" s="621"/>
      <c r="R169" s="644"/>
      <c r="S169" s="640"/>
    </row>
    <row r="170" spans="3:19" s="646" customFormat="1" x14ac:dyDescent="0.35">
      <c r="C170" s="643"/>
      <c r="D170" s="621"/>
      <c r="E170" s="644"/>
      <c r="F170" s="644"/>
      <c r="G170" s="644"/>
      <c r="H170" s="644"/>
      <c r="I170" s="644"/>
      <c r="J170" s="645"/>
      <c r="K170" s="645"/>
      <c r="L170" s="645"/>
      <c r="M170" s="645"/>
      <c r="N170" s="644"/>
      <c r="O170" s="644"/>
      <c r="P170" s="644"/>
      <c r="Q170" s="621"/>
      <c r="R170" s="644"/>
      <c r="S170" s="640"/>
    </row>
    <row r="171" spans="3:19" s="646" customFormat="1" x14ac:dyDescent="0.35">
      <c r="C171" s="643"/>
      <c r="D171" s="621"/>
      <c r="E171" s="644"/>
      <c r="F171" s="644"/>
      <c r="G171" s="644"/>
      <c r="H171" s="644"/>
      <c r="I171" s="644"/>
      <c r="J171" s="645"/>
      <c r="K171" s="645"/>
      <c r="L171" s="645"/>
      <c r="M171" s="645"/>
      <c r="N171" s="644"/>
      <c r="O171" s="644"/>
      <c r="P171" s="644"/>
      <c r="Q171" s="621"/>
      <c r="R171" s="644"/>
      <c r="S171" s="640"/>
    </row>
    <row r="172" spans="3:19" s="646" customFormat="1" x14ac:dyDescent="0.35">
      <c r="C172" s="643"/>
      <c r="D172" s="621"/>
      <c r="E172" s="644"/>
      <c r="F172" s="644"/>
      <c r="G172" s="644"/>
      <c r="H172" s="644"/>
      <c r="I172" s="644"/>
      <c r="J172" s="645"/>
      <c r="K172" s="645"/>
      <c r="L172" s="645"/>
      <c r="M172" s="645"/>
      <c r="N172" s="644"/>
      <c r="O172" s="644"/>
      <c r="P172" s="644"/>
      <c r="Q172" s="621"/>
      <c r="R172" s="644"/>
      <c r="S172" s="640"/>
    </row>
    <row r="173" spans="3:19" s="646" customFormat="1" x14ac:dyDescent="0.35">
      <c r="C173" s="643"/>
      <c r="D173" s="621"/>
      <c r="E173" s="644"/>
      <c r="F173" s="644"/>
      <c r="G173" s="644"/>
      <c r="H173" s="644"/>
      <c r="I173" s="644"/>
      <c r="J173" s="645"/>
      <c r="K173" s="645"/>
      <c r="L173" s="645"/>
      <c r="M173" s="645"/>
      <c r="N173" s="644"/>
      <c r="O173" s="644"/>
      <c r="P173" s="644"/>
      <c r="Q173" s="621"/>
      <c r="R173" s="644"/>
      <c r="S173" s="640"/>
    </row>
    <row r="174" spans="3:19" s="646" customFormat="1" x14ac:dyDescent="0.35">
      <c r="C174" s="643"/>
      <c r="D174" s="621"/>
      <c r="E174" s="644"/>
      <c r="F174" s="644"/>
      <c r="G174" s="644"/>
      <c r="H174" s="644"/>
      <c r="I174" s="644"/>
      <c r="J174" s="645"/>
      <c r="K174" s="645"/>
      <c r="L174" s="645"/>
      <c r="M174" s="645"/>
      <c r="N174" s="644"/>
      <c r="O174" s="644"/>
      <c r="P174" s="644"/>
      <c r="Q174" s="621"/>
      <c r="R174" s="644"/>
      <c r="S174" s="640"/>
    </row>
    <row r="175" spans="3:19" s="646" customFormat="1" x14ac:dyDescent="0.35">
      <c r="C175" s="643"/>
      <c r="D175" s="621"/>
      <c r="E175" s="644"/>
      <c r="F175" s="644"/>
      <c r="G175" s="644"/>
      <c r="H175" s="644"/>
      <c r="I175" s="644"/>
      <c r="J175" s="645"/>
      <c r="K175" s="645"/>
      <c r="L175" s="645"/>
      <c r="M175" s="645"/>
      <c r="N175" s="644"/>
      <c r="O175" s="644"/>
      <c r="P175" s="644"/>
      <c r="Q175" s="621"/>
      <c r="R175" s="644"/>
      <c r="S175" s="640"/>
    </row>
    <row r="176" spans="3:19" s="646" customFormat="1" x14ac:dyDescent="0.35">
      <c r="C176" s="643"/>
      <c r="D176" s="621"/>
      <c r="E176" s="644"/>
      <c r="F176" s="644"/>
      <c r="G176" s="644"/>
      <c r="H176" s="644"/>
      <c r="I176" s="644"/>
      <c r="J176" s="645"/>
      <c r="K176" s="645"/>
      <c r="L176" s="645"/>
      <c r="M176" s="645"/>
      <c r="N176" s="644"/>
      <c r="O176" s="644"/>
      <c r="P176" s="644"/>
      <c r="Q176" s="621"/>
      <c r="R176" s="644"/>
      <c r="S176" s="640"/>
    </row>
    <row r="177" spans="3:19" s="646" customFormat="1" x14ac:dyDescent="0.35">
      <c r="C177" s="643"/>
      <c r="D177" s="621"/>
      <c r="E177" s="644"/>
      <c r="F177" s="644"/>
      <c r="G177" s="644"/>
      <c r="H177" s="644"/>
      <c r="I177" s="644"/>
      <c r="J177" s="645"/>
      <c r="K177" s="645"/>
      <c r="L177" s="645"/>
      <c r="M177" s="645"/>
      <c r="N177" s="644"/>
      <c r="O177" s="644"/>
      <c r="P177" s="644"/>
      <c r="Q177" s="621"/>
      <c r="R177" s="644"/>
      <c r="S177" s="640"/>
    </row>
    <row r="178" spans="3:19" s="646" customFormat="1" x14ac:dyDescent="0.35">
      <c r="C178" s="643"/>
      <c r="D178" s="621"/>
      <c r="E178" s="644"/>
      <c r="F178" s="644"/>
      <c r="G178" s="644"/>
      <c r="H178" s="644"/>
      <c r="I178" s="644"/>
      <c r="J178" s="645"/>
      <c r="K178" s="645"/>
      <c r="L178" s="645"/>
      <c r="M178" s="645"/>
      <c r="N178" s="644"/>
      <c r="O178" s="644"/>
      <c r="P178" s="644"/>
      <c r="Q178" s="621"/>
      <c r="R178" s="644"/>
      <c r="S178" s="640"/>
    </row>
    <row r="179" spans="3:19" s="646" customFormat="1" x14ac:dyDescent="0.35">
      <c r="C179" s="643"/>
      <c r="D179" s="621"/>
      <c r="E179" s="644"/>
      <c r="F179" s="644"/>
      <c r="G179" s="644"/>
      <c r="H179" s="644"/>
      <c r="I179" s="644"/>
      <c r="J179" s="645"/>
      <c r="K179" s="645"/>
      <c r="L179" s="645"/>
      <c r="M179" s="645"/>
      <c r="N179" s="644"/>
      <c r="O179" s="644"/>
      <c r="P179" s="644"/>
      <c r="Q179" s="621"/>
      <c r="R179" s="644"/>
      <c r="S179" s="640"/>
    </row>
    <row r="180" spans="3:19" s="646" customFormat="1" x14ac:dyDescent="0.35">
      <c r="C180" s="643"/>
      <c r="D180" s="621"/>
      <c r="E180" s="644"/>
      <c r="F180" s="644"/>
      <c r="G180" s="644"/>
      <c r="H180" s="644"/>
      <c r="I180" s="644"/>
      <c r="J180" s="645"/>
      <c r="K180" s="645"/>
      <c r="L180" s="645"/>
      <c r="M180" s="645"/>
      <c r="N180" s="644"/>
      <c r="O180" s="644"/>
      <c r="P180" s="644"/>
      <c r="Q180" s="621"/>
      <c r="R180" s="644"/>
      <c r="S180" s="640"/>
    </row>
    <row r="181" spans="3:19" s="646" customFormat="1" x14ac:dyDescent="0.35">
      <c r="C181" s="643"/>
      <c r="D181" s="621"/>
      <c r="E181" s="644"/>
      <c r="F181" s="644"/>
      <c r="G181" s="644"/>
      <c r="H181" s="644"/>
      <c r="I181" s="644"/>
      <c r="J181" s="645"/>
      <c r="K181" s="645"/>
      <c r="L181" s="645"/>
      <c r="M181" s="645"/>
      <c r="N181" s="644"/>
      <c r="O181" s="644"/>
      <c r="P181" s="644"/>
      <c r="Q181" s="621"/>
      <c r="R181" s="644"/>
      <c r="S181" s="640"/>
    </row>
    <row r="182" spans="3:19" s="646" customFormat="1" x14ac:dyDescent="0.35">
      <c r="C182" s="643"/>
      <c r="D182" s="621"/>
      <c r="E182" s="644"/>
      <c r="F182" s="644"/>
      <c r="G182" s="644"/>
      <c r="H182" s="644"/>
      <c r="I182" s="644"/>
      <c r="J182" s="645"/>
      <c r="K182" s="645"/>
      <c r="L182" s="645"/>
      <c r="M182" s="645"/>
      <c r="N182" s="644"/>
      <c r="O182" s="644"/>
      <c r="P182" s="644"/>
      <c r="Q182" s="621"/>
      <c r="R182" s="644"/>
      <c r="S182" s="640"/>
    </row>
    <row r="183" spans="3:19" s="646" customFormat="1" x14ac:dyDescent="0.35">
      <c r="C183" s="643"/>
      <c r="D183" s="621"/>
      <c r="E183" s="644"/>
      <c r="F183" s="644"/>
      <c r="G183" s="644"/>
      <c r="H183" s="644"/>
      <c r="I183" s="644"/>
      <c r="J183" s="645"/>
      <c r="K183" s="645"/>
      <c r="L183" s="645"/>
      <c r="M183" s="645"/>
      <c r="N183" s="644"/>
      <c r="O183" s="644"/>
      <c r="P183" s="644"/>
      <c r="Q183" s="621"/>
      <c r="R183" s="644"/>
      <c r="S183" s="640"/>
    </row>
    <row r="184" spans="3:19" s="646" customFormat="1" x14ac:dyDescent="0.35">
      <c r="C184" s="643"/>
      <c r="D184" s="621"/>
      <c r="E184" s="644"/>
      <c r="F184" s="644"/>
      <c r="G184" s="644"/>
      <c r="H184" s="644"/>
      <c r="I184" s="644"/>
      <c r="J184" s="645"/>
      <c r="K184" s="645"/>
      <c r="L184" s="645"/>
      <c r="M184" s="645"/>
      <c r="N184" s="644"/>
      <c r="O184" s="644"/>
      <c r="P184" s="644"/>
      <c r="Q184" s="621"/>
      <c r="R184" s="644"/>
      <c r="S184" s="640"/>
    </row>
    <row r="185" spans="3:19" s="646" customFormat="1" x14ac:dyDescent="0.35">
      <c r="C185" s="643"/>
      <c r="D185" s="621"/>
      <c r="E185" s="644"/>
      <c r="F185" s="644"/>
      <c r="G185" s="644"/>
      <c r="H185" s="644"/>
      <c r="I185" s="644"/>
      <c r="J185" s="645"/>
      <c r="K185" s="645"/>
      <c r="L185" s="645"/>
      <c r="M185" s="645"/>
      <c r="N185" s="644"/>
      <c r="O185" s="644"/>
      <c r="P185" s="644"/>
      <c r="Q185" s="621"/>
      <c r="R185" s="644"/>
      <c r="S185" s="640"/>
    </row>
    <row r="186" spans="3:19" s="646" customFormat="1" x14ac:dyDescent="0.35">
      <c r="C186" s="643"/>
      <c r="D186" s="621"/>
      <c r="E186" s="644"/>
      <c r="F186" s="644"/>
      <c r="G186" s="644"/>
      <c r="H186" s="644"/>
      <c r="I186" s="644"/>
      <c r="J186" s="645"/>
      <c r="K186" s="645"/>
      <c r="L186" s="645"/>
      <c r="M186" s="645"/>
      <c r="N186" s="644"/>
      <c r="O186" s="644"/>
      <c r="P186" s="644"/>
      <c r="Q186" s="621"/>
      <c r="R186" s="644"/>
      <c r="S186" s="640"/>
    </row>
    <row r="187" spans="3:19" s="646" customFormat="1" x14ac:dyDescent="0.35">
      <c r="C187" s="643"/>
      <c r="D187" s="621"/>
      <c r="E187" s="644"/>
      <c r="F187" s="644"/>
      <c r="G187" s="644"/>
      <c r="H187" s="644"/>
      <c r="I187" s="644"/>
      <c r="J187" s="645"/>
      <c r="K187" s="645"/>
      <c r="L187" s="645"/>
      <c r="M187" s="645"/>
      <c r="N187" s="644"/>
      <c r="O187" s="644"/>
      <c r="P187" s="644"/>
      <c r="Q187" s="621"/>
      <c r="R187" s="644"/>
      <c r="S187" s="640"/>
    </row>
    <row r="188" spans="3:19" s="646" customFormat="1" x14ac:dyDescent="0.35">
      <c r="C188" s="643"/>
      <c r="D188" s="621"/>
      <c r="E188" s="644"/>
      <c r="F188" s="644"/>
      <c r="G188" s="644"/>
      <c r="H188" s="644"/>
      <c r="I188" s="644"/>
      <c r="J188" s="645"/>
      <c r="K188" s="645"/>
      <c r="L188" s="645"/>
      <c r="M188" s="645"/>
      <c r="N188" s="644"/>
      <c r="O188" s="644"/>
      <c r="P188" s="644"/>
      <c r="Q188" s="621"/>
      <c r="R188" s="644"/>
      <c r="S188" s="640"/>
    </row>
    <row r="189" spans="3:19" s="646" customFormat="1" x14ac:dyDescent="0.35">
      <c r="C189" s="643"/>
      <c r="D189" s="621"/>
      <c r="E189" s="644"/>
      <c r="F189" s="644"/>
      <c r="G189" s="644"/>
      <c r="H189" s="644"/>
      <c r="I189" s="644"/>
      <c r="J189" s="645"/>
      <c r="K189" s="645"/>
      <c r="L189" s="645"/>
      <c r="M189" s="645"/>
      <c r="N189" s="644"/>
      <c r="O189" s="644"/>
      <c r="P189" s="644"/>
      <c r="Q189" s="621"/>
      <c r="R189" s="644"/>
      <c r="S189" s="640"/>
    </row>
    <row r="190" spans="3:19" s="646" customFormat="1" x14ac:dyDescent="0.35">
      <c r="C190" s="643"/>
      <c r="D190" s="621"/>
      <c r="E190" s="644"/>
      <c r="F190" s="644"/>
      <c r="G190" s="644"/>
      <c r="H190" s="644"/>
      <c r="I190" s="644"/>
      <c r="J190" s="645"/>
      <c r="K190" s="645"/>
      <c r="L190" s="645"/>
      <c r="M190" s="645"/>
      <c r="N190" s="644"/>
      <c r="O190" s="644"/>
      <c r="P190" s="644"/>
      <c r="Q190" s="621"/>
      <c r="R190" s="644"/>
      <c r="S190" s="640"/>
    </row>
    <row r="191" spans="3:19" s="646" customFormat="1" x14ac:dyDescent="0.35">
      <c r="C191" s="643"/>
      <c r="D191" s="621"/>
      <c r="E191" s="644"/>
      <c r="F191" s="644"/>
      <c r="G191" s="644"/>
      <c r="H191" s="644"/>
      <c r="I191" s="644"/>
      <c r="J191" s="645"/>
      <c r="K191" s="645"/>
      <c r="L191" s="645"/>
      <c r="M191" s="645"/>
      <c r="N191" s="644"/>
      <c r="O191" s="644"/>
      <c r="P191" s="644"/>
      <c r="Q191" s="621"/>
      <c r="R191" s="644"/>
      <c r="S191" s="640"/>
    </row>
    <row r="192" spans="3:19" s="646" customFormat="1" x14ac:dyDescent="0.35">
      <c r="C192" s="643"/>
      <c r="D192" s="621"/>
      <c r="E192" s="644"/>
      <c r="F192" s="644"/>
      <c r="G192" s="644"/>
      <c r="H192" s="644"/>
      <c r="I192" s="644"/>
      <c r="J192" s="645"/>
      <c r="K192" s="645"/>
      <c r="L192" s="645"/>
      <c r="M192" s="645"/>
      <c r="N192" s="644"/>
      <c r="O192" s="644"/>
      <c r="P192" s="644"/>
      <c r="Q192" s="621"/>
      <c r="R192" s="644"/>
      <c r="S192" s="640"/>
    </row>
    <row r="193" spans="3:19" s="646" customFormat="1" x14ac:dyDescent="0.35">
      <c r="C193" s="643"/>
      <c r="D193" s="621"/>
      <c r="E193" s="644"/>
      <c r="F193" s="644"/>
      <c r="G193" s="644"/>
      <c r="H193" s="644"/>
      <c r="I193" s="644"/>
      <c r="J193" s="645"/>
      <c r="K193" s="645"/>
      <c r="L193" s="645"/>
      <c r="M193" s="645"/>
      <c r="N193" s="644"/>
      <c r="O193" s="644"/>
      <c r="P193" s="644"/>
      <c r="Q193" s="621"/>
      <c r="R193" s="644"/>
      <c r="S193" s="640"/>
    </row>
    <row r="194" spans="3:19" s="646" customFormat="1" x14ac:dyDescent="0.35">
      <c r="C194" s="643"/>
      <c r="D194" s="621"/>
      <c r="E194" s="644"/>
      <c r="F194" s="644"/>
      <c r="G194" s="644"/>
      <c r="H194" s="644"/>
      <c r="I194" s="644"/>
      <c r="J194" s="645"/>
      <c r="K194" s="645"/>
      <c r="L194" s="645"/>
      <c r="M194" s="645"/>
      <c r="N194" s="644"/>
      <c r="O194" s="644"/>
      <c r="P194" s="644"/>
      <c r="Q194" s="621"/>
      <c r="R194" s="644"/>
      <c r="S194" s="640"/>
    </row>
    <row r="195" spans="3:19" s="646" customFormat="1" x14ac:dyDescent="0.35">
      <c r="C195" s="643"/>
      <c r="D195" s="621"/>
      <c r="E195" s="644"/>
      <c r="F195" s="644"/>
      <c r="G195" s="644"/>
      <c r="H195" s="644"/>
      <c r="I195" s="644"/>
      <c r="J195" s="645"/>
      <c r="K195" s="645"/>
      <c r="L195" s="645"/>
      <c r="M195" s="645"/>
      <c r="N195" s="644"/>
      <c r="O195" s="644"/>
      <c r="P195" s="644"/>
      <c r="Q195" s="621"/>
      <c r="R195" s="644"/>
      <c r="S195" s="640"/>
    </row>
    <row r="196" spans="3:19" s="646" customFormat="1" x14ac:dyDescent="0.35">
      <c r="C196" s="643"/>
      <c r="D196" s="621"/>
      <c r="E196" s="644"/>
      <c r="F196" s="644"/>
      <c r="G196" s="644"/>
      <c r="H196" s="644"/>
      <c r="I196" s="644"/>
      <c r="J196" s="645"/>
      <c r="K196" s="645"/>
      <c r="L196" s="645"/>
      <c r="M196" s="645"/>
      <c r="N196" s="644"/>
      <c r="O196" s="644"/>
      <c r="P196" s="644"/>
      <c r="Q196" s="621"/>
      <c r="R196" s="644"/>
      <c r="S196" s="640"/>
    </row>
    <row r="197" spans="3:19" s="646" customFormat="1" x14ac:dyDescent="0.35">
      <c r="C197" s="643"/>
      <c r="D197" s="621"/>
      <c r="E197" s="644"/>
      <c r="F197" s="644"/>
      <c r="G197" s="644"/>
      <c r="H197" s="644"/>
      <c r="I197" s="644"/>
      <c r="J197" s="645"/>
      <c r="K197" s="645"/>
      <c r="L197" s="645"/>
      <c r="M197" s="645"/>
      <c r="N197" s="644"/>
      <c r="O197" s="644"/>
      <c r="P197" s="644"/>
      <c r="Q197" s="621"/>
      <c r="R197" s="644"/>
      <c r="S197" s="640"/>
    </row>
    <row r="198" spans="3:19" s="646" customFormat="1" x14ac:dyDescent="0.35">
      <c r="C198" s="643"/>
      <c r="D198" s="621"/>
      <c r="E198" s="644"/>
      <c r="F198" s="644"/>
      <c r="G198" s="644"/>
      <c r="H198" s="644"/>
      <c r="I198" s="644"/>
      <c r="J198" s="645"/>
      <c r="K198" s="645"/>
      <c r="L198" s="645"/>
      <c r="M198" s="645"/>
      <c r="N198" s="644"/>
      <c r="O198" s="644"/>
      <c r="P198" s="644"/>
      <c r="Q198" s="621"/>
      <c r="R198" s="644"/>
      <c r="S198" s="640"/>
    </row>
    <row r="199" spans="3:19" s="646" customFormat="1" x14ac:dyDescent="0.35">
      <c r="C199" s="643"/>
      <c r="D199" s="621"/>
      <c r="E199" s="644"/>
      <c r="F199" s="644"/>
      <c r="G199" s="644"/>
      <c r="H199" s="644"/>
      <c r="I199" s="644"/>
      <c r="J199" s="645"/>
      <c r="K199" s="645"/>
      <c r="L199" s="645"/>
      <c r="M199" s="645"/>
      <c r="N199" s="644"/>
      <c r="O199" s="644"/>
      <c r="P199" s="644"/>
      <c r="Q199" s="621"/>
      <c r="R199" s="644"/>
      <c r="S199" s="640"/>
    </row>
    <row r="200" spans="3:19" s="646" customFormat="1" x14ac:dyDescent="0.35">
      <c r="C200" s="643"/>
      <c r="D200" s="621"/>
      <c r="E200" s="644"/>
      <c r="F200" s="644"/>
      <c r="G200" s="644"/>
      <c r="H200" s="644"/>
      <c r="I200" s="644"/>
      <c r="J200" s="645"/>
      <c r="K200" s="645"/>
      <c r="L200" s="645"/>
      <c r="M200" s="645"/>
      <c r="N200" s="644"/>
      <c r="O200" s="644"/>
      <c r="P200" s="644"/>
      <c r="Q200" s="621"/>
      <c r="R200" s="644"/>
      <c r="S200" s="640"/>
    </row>
    <row r="201" spans="3:19" s="646" customFormat="1" x14ac:dyDescent="0.35">
      <c r="C201" s="643"/>
      <c r="D201" s="621"/>
      <c r="E201" s="644"/>
      <c r="F201" s="644"/>
      <c r="G201" s="644"/>
      <c r="H201" s="644"/>
      <c r="I201" s="644"/>
      <c r="J201" s="645"/>
      <c r="K201" s="645"/>
      <c r="L201" s="645"/>
      <c r="M201" s="645"/>
      <c r="N201" s="644"/>
      <c r="O201" s="644"/>
      <c r="P201" s="644"/>
      <c r="Q201" s="621"/>
      <c r="R201" s="644"/>
      <c r="S201" s="640"/>
    </row>
    <row r="202" spans="3:19" s="646" customFormat="1" x14ac:dyDescent="0.35">
      <c r="C202" s="643"/>
      <c r="D202" s="621"/>
      <c r="E202" s="644"/>
      <c r="F202" s="644"/>
      <c r="G202" s="644"/>
      <c r="H202" s="644"/>
      <c r="I202" s="644"/>
      <c r="J202" s="645"/>
      <c r="K202" s="645"/>
      <c r="L202" s="645"/>
      <c r="M202" s="645"/>
      <c r="N202" s="644"/>
      <c r="O202" s="644"/>
      <c r="P202" s="644"/>
      <c r="Q202" s="621"/>
      <c r="R202" s="644"/>
      <c r="S202" s="640"/>
    </row>
    <row r="203" spans="3:19" s="646" customFormat="1" x14ac:dyDescent="0.35">
      <c r="C203" s="643"/>
      <c r="D203" s="621"/>
      <c r="E203" s="644"/>
      <c r="F203" s="644"/>
      <c r="G203" s="644"/>
      <c r="H203" s="644"/>
      <c r="I203" s="644"/>
      <c r="J203" s="645"/>
      <c r="K203" s="645"/>
      <c r="L203" s="645"/>
      <c r="M203" s="645"/>
      <c r="N203" s="644"/>
      <c r="O203" s="644"/>
      <c r="P203" s="644"/>
      <c r="Q203" s="621"/>
      <c r="R203" s="644"/>
      <c r="S203" s="640"/>
    </row>
    <row r="204" spans="3:19" s="646" customFormat="1" x14ac:dyDescent="0.35">
      <c r="C204" s="643"/>
      <c r="D204" s="621"/>
      <c r="E204" s="644"/>
      <c r="F204" s="644"/>
      <c r="G204" s="644"/>
      <c r="H204" s="644"/>
      <c r="I204" s="644"/>
      <c r="J204" s="645"/>
      <c r="K204" s="645"/>
      <c r="L204" s="645"/>
      <c r="M204" s="645"/>
      <c r="N204" s="644"/>
      <c r="O204" s="644"/>
      <c r="P204" s="644"/>
      <c r="Q204" s="621"/>
      <c r="R204" s="644"/>
      <c r="S204" s="640"/>
    </row>
    <row r="205" spans="3:19" s="646" customFormat="1" x14ac:dyDescent="0.35">
      <c r="C205" s="643"/>
      <c r="D205" s="621"/>
      <c r="E205" s="644"/>
      <c r="F205" s="644"/>
      <c r="G205" s="644"/>
      <c r="H205" s="644"/>
      <c r="I205" s="644"/>
      <c r="J205" s="645"/>
      <c r="K205" s="645"/>
      <c r="L205" s="645"/>
      <c r="M205" s="645"/>
      <c r="N205" s="644"/>
      <c r="O205" s="644"/>
      <c r="P205" s="644"/>
      <c r="Q205" s="621"/>
      <c r="R205" s="644"/>
      <c r="S205" s="640"/>
    </row>
    <row r="206" spans="3:19" s="646" customFormat="1" x14ac:dyDescent="0.35">
      <c r="C206" s="643"/>
      <c r="D206" s="621"/>
      <c r="E206" s="644"/>
      <c r="F206" s="644"/>
      <c r="G206" s="644"/>
      <c r="H206" s="644"/>
      <c r="I206" s="644"/>
      <c r="J206" s="645"/>
      <c r="K206" s="645"/>
      <c r="L206" s="645"/>
      <c r="M206" s="645"/>
      <c r="N206" s="644"/>
      <c r="O206" s="644"/>
      <c r="P206" s="644"/>
      <c r="Q206" s="621"/>
      <c r="R206" s="644"/>
      <c r="S206" s="640"/>
    </row>
    <row r="207" spans="3:19" s="646" customFormat="1" x14ac:dyDescent="0.35">
      <c r="C207" s="643"/>
      <c r="D207" s="621"/>
      <c r="E207" s="644"/>
      <c r="F207" s="644"/>
      <c r="G207" s="644"/>
      <c r="H207" s="644"/>
      <c r="I207" s="644"/>
      <c r="J207" s="645"/>
      <c r="K207" s="645"/>
      <c r="L207" s="645"/>
      <c r="M207" s="645"/>
      <c r="N207" s="644"/>
      <c r="O207" s="644"/>
      <c r="P207" s="644"/>
      <c r="Q207" s="621"/>
      <c r="R207" s="644"/>
      <c r="S207" s="640"/>
    </row>
    <row r="208" spans="3:19" s="646" customFormat="1" x14ac:dyDescent="0.35">
      <c r="C208" s="643"/>
      <c r="D208" s="621"/>
      <c r="E208" s="644"/>
      <c r="F208" s="644"/>
      <c r="G208" s="644"/>
      <c r="H208" s="644"/>
      <c r="I208" s="644"/>
      <c r="J208" s="645"/>
      <c r="K208" s="645"/>
      <c r="L208" s="645"/>
      <c r="M208" s="645"/>
      <c r="N208" s="644"/>
      <c r="O208" s="644"/>
      <c r="P208" s="644"/>
      <c r="Q208" s="621"/>
      <c r="R208" s="644"/>
      <c r="S208" s="640"/>
    </row>
    <row r="209" spans="3:19" s="646" customFormat="1" x14ac:dyDescent="0.35">
      <c r="C209" s="643"/>
      <c r="D209" s="621"/>
      <c r="E209" s="644"/>
      <c r="F209" s="644"/>
      <c r="G209" s="644"/>
      <c r="H209" s="644"/>
      <c r="I209" s="644"/>
      <c r="J209" s="645"/>
      <c r="K209" s="645"/>
      <c r="L209" s="645"/>
      <c r="M209" s="645"/>
      <c r="N209" s="644"/>
      <c r="O209" s="644"/>
      <c r="P209" s="644"/>
      <c r="Q209" s="621"/>
      <c r="R209" s="644"/>
      <c r="S209" s="640"/>
    </row>
    <row r="210" spans="3:19" s="646" customFormat="1" x14ac:dyDescent="0.35">
      <c r="C210" s="643"/>
      <c r="D210" s="621"/>
      <c r="E210" s="644"/>
      <c r="F210" s="644"/>
      <c r="G210" s="644"/>
      <c r="H210" s="644"/>
      <c r="I210" s="644"/>
      <c r="J210" s="645"/>
      <c r="K210" s="645"/>
      <c r="L210" s="645"/>
      <c r="M210" s="645"/>
      <c r="N210" s="644"/>
      <c r="O210" s="644"/>
      <c r="P210" s="644"/>
      <c r="Q210" s="621"/>
      <c r="R210" s="644"/>
      <c r="S210" s="640"/>
    </row>
    <row r="211" spans="3:19" s="646" customFormat="1" x14ac:dyDescent="0.35">
      <c r="C211" s="643"/>
      <c r="D211" s="621"/>
      <c r="E211" s="644"/>
      <c r="F211" s="644"/>
      <c r="G211" s="644"/>
      <c r="H211" s="644"/>
      <c r="I211" s="644"/>
      <c r="J211" s="645"/>
      <c r="K211" s="645"/>
      <c r="L211" s="645"/>
      <c r="M211" s="645"/>
      <c r="N211" s="644"/>
      <c r="O211" s="644"/>
      <c r="P211" s="644"/>
      <c r="Q211" s="621"/>
      <c r="R211" s="644"/>
      <c r="S211" s="640"/>
    </row>
    <row r="212" spans="3:19" s="646" customFormat="1" x14ac:dyDescent="0.35">
      <c r="C212" s="643"/>
      <c r="D212" s="621"/>
      <c r="E212" s="644"/>
      <c r="F212" s="644"/>
      <c r="G212" s="644"/>
      <c r="H212" s="644"/>
      <c r="I212" s="644"/>
      <c r="J212" s="645"/>
      <c r="K212" s="645"/>
      <c r="L212" s="645"/>
      <c r="M212" s="645"/>
      <c r="N212" s="644"/>
      <c r="O212" s="644"/>
      <c r="P212" s="644"/>
      <c r="Q212" s="621"/>
      <c r="R212" s="644"/>
      <c r="S212" s="640"/>
    </row>
    <row r="213" spans="3:19" s="646" customFormat="1" x14ac:dyDescent="0.35">
      <c r="C213" s="643"/>
      <c r="D213" s="621"/>
      <c r="E213" s="644"/>
      <c r="F213" s="644"/>
      <c r="G213" s="644"/>
      <c r="H213" s="644"/>
      <c r="I213" s="644"/>
      <c r="J213" s="645"/>
      <c r="K213" s="645"/>
      <c r="L213" s="645"/>
      <c r="M213" s="645"/>
      <c r="N213" s="644"/>
      <c r="O213" s="644"/>
      <c r="P213" s="644"/>
      <c r="Q213" s="621"/>
      <c r="R213" s="644"/>
      <c r="S213" s="640"/>
    </row>
    <row r="214" spans="3:19" s="646" customFormat="1" x14ac:dyDescent="0.35">
      <c r="C214" s="643"/>
      <c r="D214" s="621"/>
      <c r="E214" s="644"/>
      <c r="F214" s="644"/>
      <c r="G214" s="644"/>
      <c r="H214" s="644"/>
      <c r="I214" s="644"/>
      <c r="J214" s="645"/>
      <c r="K214" s="645"/>
      <c r="L214" s="645"/>
      <c r="M214" s="645"/>
      <c r="N214" s="644"/>
      <c r="O214" s="644"/>
      <c r="P214" s="644"/>
      <c r="Q214" s="621"/>
      <c r="R214" s="644"/>
      <c r="S214" s="640"/>
    </row>
    <row r="215" spans="3:19" s="646" customFormat="1" x14ac:dyDescent="0.35">
      <c r="C215" s="643"/>
      <c r="D215" s="621"/>
      <c r="E215" s="644"/>
      <c r="F215" s="644"/>
      <c r="G215" s="644"/>
      <c r="H215" s="644"/>
      <c r="I215" s="644"/>
      <c r="J215" s="645"/>
      <c r="K215" s="645"/>
      <c r="L215" s="645"/>
      <c r="M215" s="645"/>
      <c r="N215" s="644"/>
      <c r="O215" s="644"/>
      <c r="P215" s="644"/>
      <c r="Q215" s="621"/>
      <c r="R215" s="644"/>
      <c r="S215" s="640"/>
    </row>
    <row r="216" spans="3:19" s="646" customFormat="1" x14ac:dyDescent="0.35">
      <c r="C216" s="643"/>
      <c r="D216" s="621"/>
      <c r="E216" s="644"/>
      <c r="F216" s="644"/>
      <c r="G216" s="644"/>
      <c r="H216" s="644"/>
      <c r="I216" s="644"/>
      <c r="J216" s="645"/>
      <c r="K216" s="645"/>
      <c r="L216" s="645"/>
      <c r="M216" s="645"/>
      <c r="N216" s="644"/>
      <c r="O216" s="644"/>
      <c r="P216" s="644"/>
      <c r="Q216" s="621"/>
      <c r="R216" s="644"/>
      <c r="S216" s="640"/>
    </row>
    <row r="217" spans="3:19" s="646" customFormat="1" x14ac:dyDescent="0.35">
      <c r="C217" s="643"/>
      <c r="D217" s="621"/>
      <c r="E217" s="644"/>
      <c r="F217" s="644"/>
      <c r="G217" s="644"/>
      <c r="H217" s="644"/>
      <c r="I217" s="644"/>
      <c r="J217" s="645"/>
      <c r="K217" s="645"/>
      <c r="L217" s="645"/>
      <c r="M217" s="645"/>
      <c r="N217" s="644"/>
      <c r="O217" s="644"/>
      <c r="P217" s="644"/>
      <c r="Q217" s="621"/>
      <c r="R217" s="644"/>
      <c r="S217" s="640"/>
    </row>
    <row r="218" spans="3:19" s="646" customFormat="1" x14ac:dyDescent="0.35">
      <c r="C218" s="643"/>
      <c r="D218" s="621"/>
      <c r="E218" s="644"/>
      <c r="F218" s="644"/>
      <c r="G218" s="644"/>
      <c r="H218" s="644"/>
      <c r="I218" s="644"/>
      <c r="J218" s="645"/>
      <c r="K218" s="645"/>
      <c r="L218" s="645"/>
      <c r="M218" s="645"/>
      <c r="N218" s="644"/>
      <c r="O218" s="644"/>
      <c r="P218" s="644"/>
      <c r="Q218" s="621"/>
      <c r="R218" s="644"/>
      <c r="S218" s="640"/>
    </row>
    <row r="219" spans="3:19" s="646" customFormat="1" x14ac:dyDescent="0.35">
      <c r="C219" s="643"/>
      <c r="D219" s="621"/>
      <c r="E219" s="644"/>
      <c r="F219" s="644"/>
      <c r="G219" s="644"/>
      <c r="H219" s="644"/>
      <c r="I219" s="644"/>
      <c r="J219" s="645"/>
      <c r="K219" s="645"/>
      <c r="L219" s="645"/>
      <c r="M219" s="645"/>
      <c r="N219" s="644"/>
      <c r="O219" s="644"/>
      <c r="P219" s="644"/>
      <c r="Q219" s="621"/>
      <c r="R219" s="644"/>
      <c r="S219" s="640"/>
    </row>
    <row r="220" spans="3:19" s="646" customFormat="1" x14ac:dyDescent="0.35">
      <c r="C220" s="643"/>
      <c r="D220" s="621"/>
      <c r="E220" s="644"/>
      <c r="F220" s="644"/>
      <c r="G220" s="644"/>
      <c r="H220" s="644"/>
      <c r="I220" s="644"/>
      <c r="J220" s="645"/>
      <c r="K220" s="645"/>
      <c r="L220" s="645"/>
      <c r="M220" s="645"/>
      <c r="N220" s="644"/>
      <c r="O220" s="644"/>
      <c r="P220" s="644"/>
      <c r="Q220" s="621"/>
      <c r="R220" s="644"/>
      <c r="S220" s="640"/>
    </row>
    <row r="221" spans="3:19" s="646" customFormat="1" x14ac:dyDescent="0.35">
      <c r="C221" s="643"/>
      <c r="D221" s="621"/>
      <c r="E221" s="644"/>
      <c r="F221" s="644"/>
      <c r="G221" s="644"/>
      <c r="H221" s="644"/>
      <c r="I221" s="644"/>
      <c r="J221" s="645"/>
      <c r="K221" s="645"/>
      <c r="L221" s="645"/>
      <c r="M221" s="645"/>
      <c r="N221" s="644"/>
      <c r="O221" s="644"/>
      <c r="P221" s="644"/>
      <c r="Q221" s="621"/>
      <c r="R221" s="644"/>
      <c r="S221" s="640"/>
    </row>
    <row r="222" spans="3:19" s="646" customFormat="1" x14ac:dyDescent="0.35">
      <c r="C222" s="643"/>
      <c r="D222" s="621"/>
      <c r="E222" s="644"/>
      <c r="F222" s="644"/>
      <c r="G222" s="644"/>
      <c r="H222" s="644"/>
      <c r="I222" s="644"/>
      <c r="J222" s="645"/>
      <c r="K222" s="645"/>
      <c r="L222" s="645"/>
      <c r="M222" s="645"/>
      <c r="N222" s="644"/>
      <c r="O222" s="644"/>
      <c r="P222" s="644"/>
      <c r="Q222" s="621"/>
      <c r="R222" s="644"/>
      <c r="S222" s="640"/>
    </row>
    <row r="223" spans="3:19" s="646" customFormat="1" x14ac:dyDescent="0.35">
      <c r="C223" s="643"/>
      <c r="D223" s="621"/>
      <c r="E223" s="644"/>
      <c r="F223" s="644"/>
      <c r="G223" s="644"/>
      <c r="H223" s="644"/>
      <c r="I223" s="644"/>
      <c r="J223" s="645"/>
      <c r="K223" s="645"/>
      <c r="L223" s="645"/>
      <c r="M223" s="645"/>
      <c r="N223" s="644"/>
      <c r="O223" s="644"/>
      <c r="P223" s="644"/>
      <c r="Q223" s="621"/>
      <c r="R223" s="644"/>
      <c r="S223" s="640"/>
    </row>
    <row r="224" spans="3:19" s="646" customFormat="1" x14ac:dyDescent="0.35">
      <c r="C224" s="643"/>
      <c r="D224" s="621"/>
      <c r="E224" s="644"/>
      <c r="F224" s="644"/>
      <c r="G224" s="644"/>
      <c r="H224" s="644"/>
      <c r="I224" s="644"/>
      <c r="J224" s="645"/>
      <c r="K224" s="645"/>
      <c r="L224" s="645"/>
      <c r="M224" s="645"/>
      <c r="N224" s="644"/>
      <c r="O224" s="644"/>
      <c r="P224" s="644"/>
      <c r="Q224" s="621"/>
      <c r="R224" s="644"/>
      <c r="S224" s="640"/>
    </row>
    <row r="225" spans="3:19" s="646" customFormat="1" x14ac:dyDescent="0.35">
      <c r="C225" s="643"/>
      <c r="D225" s="621"/>
      <c r="E225" s="644"/>
      <c r="F225" s="644"/>
      <c r="G225" s="644"/>
      <c r="H225" s="644"/>
      <c r="I225" s="644"/>
      <c r="J225" s="645"/>
      <c r="K225" s="645"/>
      <c r="L225" s="645"/>
      <c r="M225" s="645"/>
      <c r="N225" s="644"/>
      <c r="O225" s="644"/>
      <c r="P225" s="644"/>
      <c r="Q225" s="621"/>
      <c r="R225" s="644"/>
      <c r="S225" s="640"/>
    </row>
    <row r="226" spans="3:19" s="646" customFormat="1" x14ac:dyDescent="0.35">
      <c r="C226" s="643"/>
      <c r="D226" s="621"/>
      <c r="E226" s="644"/>
      <c r="F226" s="644"/>
      <c r="G226" s="644"/>
      <c r="H226" s="644"/>
      <c r="I226" s="644"/>
      <c r="J226" s="645"/>
      <c r="K226" s="645"/>
      <c r="L226" s="645"/>
      <c r="M226" s="645"/>
      <c r="N226" s="644"/>
      <c r="O226" s="644"/>
      <c r="P226" s="644"/>
      <c r="Q226" s="621"/>
      <c r="R226" s="644"/>
      <c r="S226" s="640"/>
    </row>
    <row r="227" spans="3:19" s="646" customFormat="1" x14ac:dyDescent="0.35">
      <c r="C227" s="643"/>
      <c r="D227" s="621"/>
      <c r="E227" s="644"/>
      <c r="F227" s="644"/>
      <c r="G227" s="644"/>
      <c r="H227" s="644"/>
      <c r="I227" s="644"/>
      <c r="J227" s="645"/>
      <c r="K227" s="645"/>
      <c r="L227" s="645"/>
      <c r="M227" s="645"/>
      <c r="N227" s="644"/>
      <c r="O227" s="644"/>
      <c r="P227" s="644"/>
      <c r="Q227" s="621"/>
      <c r="R227" s="644"/>
      <c r="S227" s="640"/>
    </row>
    <row r="228" spans="3:19" s="646" customFormat="1" x14ac:dyDescent="0.35">
      <c r="C228" s="643"/>
      <c r="D228" s="621"/>
      <c r="E228" s="644"/>
      <c r="F228" s="644"/>
      <c r="G228" s="644"/>
      <c r="H228" s="644"/>
      <c r="I228" s="644"/>
      <c r="J228" s="645"/>
      <c r="K228" s="645"/>
      <c r="L228" s="645"/>
      <c r="M228" s="645"/>
      <c r="N228" s="644"/>
      <c r="O228" s="644"/>
      <c r="P228" s="644"/>
      <c r="Q228" s="621"/>
      <c r="R228" s="644"/>
      <c r="S228" s="640"/>
    </row>
    <row r="229" spans="3:19" s="646" customFormat="1" x14ac:dyDescent="0.35">
      <c r="C229" s="643"/>
      <c r="D229" s="621"/>
      <c r="E229" s="644"/>
      <c r="F229" s="644"/>
      <c r="G229" s="644"/>
      <c r="H229" s="644"/>
      <c r="I229" s="644"/>
      <c r="J229" s="645"/>
      <c r="K229" s="645"/>
      <c r="L229" s="645"/>
      <c r="M229" s="645"/>
      <c r="N229" s="644"/>
      <c r="O229" s="644"/>
      <c r="P229" s="644"/>
      <c r="Q229" s="621"/>
      <c r="R229" s="644"/>
      <c r="S229" s="640"/>
    </row>
    <row r="230" spans="3:19" s="646" customFormat="1" x14ac:dyDescent="0.35">
      <c r="C230" s="643"/>
      <c r="D230" s="621"/>
      <c r="E230" s="644"/>
      <c r="F230" s="644"/>
      <c r="G230" s="644"/>
      <c r="H230" s="644"/>
      <c r="I230" s="644"/>
      <c r="J230" s="645"/>
      <c r="K230" s="645"/>
      <c r="L230" s="645"/>
      <c r="M230" s="645"/>
      <c r="N230" s="644"/>
      <c r="O230" s="644"/>
      <c r="P230" s="644"/>
      <c r="Q230" s="621"/>
      <c r="R230" s="644"/>
      <c r="S230" s="640"/>
    </row>
    <row r="231" spans="3:19" s="646" customFormat="1" x14ac:dyDescent="0.35">
      <c r="C231" s="643"/>
      <c r="D231" s="621"/>
      <c r="E231" s="644"/>
      <c r="F231" s="644"/>
      <c r="G231" s="644"/>
      <c r="H231" s="644"/>
      <c r="I231" s="644"/>
      <c r="J231" s="645"/>
      <c r="K231" s="645"/>
      <c r="L231" s="645"/>
      <c r="M231" s="645"/>
      <c r="N231" s="644"/>
      <c r="O231" s="644"/>
      <c r="P231" s="644"/>
      <c r="Q231" s="621"/>
      <c r="R231" s="644"/>
      <c r="S231" s="640"/>
    </row>
    <row r="232" spans="3:19" s="646" customFormat="1" x14ac:dyDescent="0.35">
      <c r="C232" s="643"/>
      <c r="D232" s="621"/>
      <c r="E232" s="644"/>
      <c r="F232" s="644"/>
      <c r="G232" s="644"/>
      <c r="H232" s="644"/>
      <c r="I232" s="644"/>
      <c r="J232" s="645"/>
      <c r="K232" s="645"/>
      <c r="L232" s="645"/>
      <c r="M232" s="645"/>
      <c r="N232" s="644"/>
      <c r="O232" s="644"/>
      <c r="P232" s="644"/>
      <c r="Q232" s="621"/>
      <c r="R232" s="644"/>
      <c r="S232" s="640"/>
    </row>
    <row r="233" spans="3:19" s="646" customFormat="1" x14ac:dyDescent="0.35">
      <c r="C233" s="643"/>
      <c r="D233" s="621"/>
      <c r="E233" s="644"/>
      <c r="F233" s="644"/>
      <c r="G233" s="644"/>
      <c r="H233" s="644"/>
      <c r="I233" s="644"/>
      <c r="J233" s="645"/>
      <c r="K233" s="645"/>
      <c r="L233" s="645"/>
      <c r="M233" s="645"/>
      <c r="N233" s="644"/>
      <c r="O233" s="644"/>
      <c r="P233" s="644"/>
      <c r="Q233" s="621"/>
      <c r="R233" s="644"/>
      <c r="S233" s="640"/>
    </row>
    <row r="234" spans="3:19" s="646" customFormat="1" x14ac:dyDescent="0.35">
      <c r="C234" s="643"/>
      <c r="D234" s="621"/>
      <c r="E234" s="644"/>
      <c r="F234" s="644"/>
      <c r="G234" s="644"/>
      <c r="H234" s="644"/>
      <c r="I234" s="644"/>
      <c r="J234" s="645"/>
      <c r="K234" s="645"/>
      <c r="L234" s="645"/>
      <c r="M234" s="645"/>
      <c r="N234" s="644"/>
      <c r="O234" s="644"/>
      <c r="P234" s="644"/>
      <c r="Q234" s="621"/>
      <c r="R234" s="644"/>
      <c r="S234" s="640"/>
    </row>
    <row r="235" spans="3:19" s="646" customFormat="1" x14ac:dyDescent="0.35">
      <c r="C235" s="643"/>
      <c r="D235" s="621"/>
      <c r="E235" s="644"/>
      <c r="F235" s="644"/>
      <c r="G235" s="644"/>
      <c r="H235" s="644"/>
      <c r="I235" s="644"/>
      <c r="J235" s="645"/>
      <c r="K235" s="645"/>
      <c r="L235" s="645"/>
      <c r="M235" s="645"/>
      <c r="N235" s="644"/>
      <c r="O235" s="644"/>
      <c r="P235" s="644"/>
      <c r="Q235" s="621"/>
      <c r="R235" s="644"/>
      <c r="S235" s="640"/>
    </row>
    <row r="236" spans="3:19" s="646" customFormat="1" x14ac:dyDescent="0.35">
      <c r="C236" s="643"/>
      <c r="D236" s="621"/>
      <c r="E236" s="644"/>
      <c r="F236" s="644"/>
      <c r="G236" s="644"/>
      <c r="H236" s="644"/>
      <c r="I236" s="644"/>
      <c r="J236" s="645"/>
      <c r="K236" s="645"/>
      <c r="L236" s="645"/>
      <c r="M236" s="645"/>
      <c r="N236" s="644"/>
      <c r="O236" s="644"/>
      <c r="P236" s="644"/>
      <c r="Q236" s="621"/>
      <c r="R236" s="644"/>
      <c r="S236" s="640"/>
    </row>
    <row r="237" spans="3:19" s="646" customFormat="1" x14ac:dyDescent="0.35">
      <c r="C237" s="643"/>
      <c r="D237" s="621"/>
      <c r="E237" s="644"/>
      <c r="F237" s="644"/>
      <c r="G237" s="644"/>
      <c r="H237" s="644"/>
      <c r="I237" s="644"/>
      <c r="J237" s="645"/>
      <c r="K237" s="645"/>
      <c r="L237" s="645"/>
      <c r="M237" s="645"/>
      <c r="N237" s="644"/>
      <c r="O237" s="644"/>
      <c r="P237" s="644"/>
      <c r="Q237" s="621"/>
      <c r="R237" s="644"/>
      <c r="S237" s="640"/>
    </row>
    <row r="238" spans="3:19" s="646" customFormat="1" x14ac:dyDescent="0.35">
      <c r="C238" s="643"/>
      <c r="D238" s="621"/>
      <c r="E238" s="644"/>
      <c r="F238" s="644"/>
      <c r="G238" s="644"/>
      <c r="H238" s="644"/>
      <c r="I238" s="644"/>
      <c r="J238" s="645"/>
      <c r="K238" s="645"/>
      <c r="L238" s="645"/>
      <c r="M238" s="645"/>
      <c r="N238" s="644"/>
      <c r="O238" s="644"/>
      <c r="P238" s="644"/>
      <c r="Q238" s="621"/>
      <c r="R238" s="644"/>
      <c r="S238" s="640"/>
    </row>
    <row r="239" spans="3:19" s="646" customFormat="1" x14ac:dyDescent="0.35">
      <c r="C239" s="643"/>
      <c r="D239" s="621"/>
      <c r="E239" s="644"/>
      <c r="F239" s="644"/>
      <c r="G239" s="644"/>
      <c r="H239" s="644"/>
      <c r="I239" s="644"/>
      <c r="J239" s="645"/>
      <c r="K239" s="645"/>
      <c r="L239" s="645"/>
      <c r="M239" s="645"/>
      <c r="N239" s="644"/>
      <c r="O239" s="644"/>
      <c r="P239" s="644"/>
      <c r="Q239" s="621"/>
      <c r="R239" s="644"/>
      <c r="S239" s="640"/>
    </row>
    <row r="240" spans="3:19" s="646" customFormat="1" x14ac:dyDescent="0.35">
      <c r="C240" s="643"/>
      <c r="D240" s="621"/>
      <c r="E240" s="644"/>
      <c r="F240" s="644"/>
      <c r="G240" s="644"/>
      <c r="H240" s="644"/>
      <c r="I240" s="644"/>
      <c r="J240" s="645"/>
      <c r="K240" s="645"/>
      <c r="L240" s="645"/>
      <c r="M240" s="645"/>
      <c r="N240" s="644"/>
      <c r="O240" s="644"/>
      <c r="P240" s="644"/>
      <c r="Q240" s="621"/>
      <c r="R240" s="644"/>
      <c r="S240" s="640"/>
    </row>
    <row r="241" spans="3:19" s="646" customFormat="1" x14ac:dyDescent="0.35">
      <c r="C241" s="643"/>
      <c r="D241" s="621"/>
      <c r="E241" s="644"/>
      <c r="F241" s="644"/>
      <c r="G241" s="644"/>
      <c r="H241" s="644"/>
      <c r="I241" s="644"/>
      <c r="J241" s="645"/>
      <c r="K241" s="645"/>
      <c r="L241" s="645"/>
      <c r="M241" s="645"/>
      <c r="N241" s="644"/>
      <c r="O241" s="644"/>
      <c r="P241" s="644"/>
      <c r="Q241" s="621"/>
      <c r="R241" s="644"/>
      <c r="S241" s="640"/>
    </row>
    <row r="242" spans="3:19" s="646" customFormat="1" x14ac:dyDescent="0.35">
      <c r="C242" s="643"/>
      <c r="D242" s="621"/>
      <c r="E242" s="644"/>
      <c r="F242" s="644"/>
      <c r="G242" s="644"/>
      <c r="H242" s="644"/>
      <c r="I242" s="644"/>
      <c r="J242" s="645"/>
      <c r="K242" s="645"/>
      <c r="L242" s="645"/>
      <c r="M242" s="645"/>
      <c r="N242" s="644"/>
      <c r="O242" s="644"/>
      <c r="P242" s="644"/>
      <c r="Q242" s="621"/>
      <c r="R242" s="644"/>
      <c r="S242" s="640"/>
    </row>
    <row r="243" spans="3:19" s="646" customFormat="1" x14ac:dyDescent="0.35">
      <c r="C243" s="643"/>
      <c r="D243" s="621"/>
      <c r="E243" s="644"/>
      <c r="F243" s="644"/>
      <c r="G243" s="644"/>
      <c r="H243" s="644"/>
      <c r="I243" s="644"/>
      <c r="J243" s="645"/>
      <c r="K243" s="645"/>
      <c r="L243" s="645"/>
      <c r="M243" s="645"/>
      <c r="N243" s="644"/>
      <c r="O243" s="644"/>
      <c r="P243" s="644"/>
      <c r="Q243" s="621"/>
      <c r="R243" s="644"/>
      <c r="S243" s="640"/>
    </row>
    <row r="244" spans="3:19" s="646" customFormat="1" x14ac:dyDescent="0.35">
      <c r="C244" s="643"/>
      <c r="D244" s="621"/>
      <c r="E244" s="644"/>
      <c r="F244" s="644"/>
      <c r="G244" s="644"/>
      <c r="H244" s="644"/>
      <c r="I244" s="644"/>
      <c r="J244" s="645"/>
      <c r="K244" s="645"/>
      <c r="L244" s="645"/>
      <c r="M244" s="645"/>
      <c r="N244" s="644"/>
      <c r="O244" s="644"/>
      <c r="P244" s="644"/>
      <c r="Q244" s="621"/>
      <c r="R244" s="644"/>
      <c r="S244" s="640"/>
    </row>
    <row r="245" spans="3:19" s="646" customFormat="1" x14ac:dyDescent="0.35">
      <c r="C245" s="643"/>
      <c r="D245" s="621"/>
      <c r="E245" s="644"/>
      <c r="F245" s="644"/>
      <c r="G245" s="644"/>
      <c r="H245" s="644"/>
      <c r="I245" s="644"/>
      <c r="J245" s="645"/>
      <c r="K245" s="645"/>
      <c r="L245" s="645"/>
      <c r="M245" s="645"/>
      <c r="N245" s="644"/>
      <c r="O245" s="644"/>
      <c r="P245" s="644"/>
      <c r="Q245" s="621"/>
      <c r="R245" s="644"/>
      <c r="S245" s="640"/>
    </row>
    <row r="246" spans="3:19" s="646" customFormat="1" x14ac:dyDescent="0.35">
      <c r="C246" s="643"/>
      <c r="D246" s="621"/>
      <c r="E246" s="644"/>
      <c r="F246" s="644"/>
      <c r="G246" s="644"/>
      <c r="H246" s="644"/>
      <c r="I246" s="644"/>
      <c r="J246" s="645"/>
      <c r="K246" s="645"/>
      <c r="L246" s="645"/>
      <c r="M246" s="645"/>
      <c r="N246" s="644"/>
      <c r="O246" s="644"/>
      <c r="P246" s="644"/>
      <c r="Q246" s="621"/>
      <c r="R246" s="644"/>
      <c r="S246" s="640"/>
    </row>
    <row r="247" spans="3:19" s="646" customFormat="1" x14ac:dyDescent="0.35">
      <c r="C247" s="643"/>
      <c r="D247" s="621"/>
      <c r="E247" s="644"/>
      <c r="F247" s="644"/>
      <c r="G247" s="644"/>
      <c r="H247" s="644"/>
      <c r="I247" s="644"/>
      <c r="J247" s="645"/>
      <c r="K247" s="645"/>
      <c r="L247" s="645"/>
      <c r="M247" s="645"/>
      <c r="N247" s="644"/>
      <c r="O247" s="644"/>
      <c r="P247" s="644"/>
      <c r="Q247" s="621"/>
      <c r="R247" s="644"/>
      <c r="S247" s="640"/>
    </row>
    <row r="248" spans="3:19" s="646" customFormat="1" x14ac:dyDescent="0.35">
      <c r="C248" s="643"/>
      <c r="D248" s="621"/>
      <c r="E248" s="644"/>
      <c r="F248" s="644"/>
      <c r="G248" s="644"/>
      <c r="H248" s="644"/>
      <c r="I248" s="644"/>
      <c r="J248" s="645"/>
      <c r="K248" s="645"/>
      <c r="L248" s="645"/>
      <c r="M248" s="645"/>
      <c r="N248" s="644"/>
      <c r="O248" s="644"/>
      <c r="P248" s="644"/>
      <c r="Q248" s="621"/>
      <c r="R248" s="644"/>
      <c r="S248" s="640"/>
    </row>
    <row r="249" spans="3:19" s="646" customFormat="1" x14ac:dyDescent="0.35">
      <c r="C249" s="643"/>
      <c r="D249" s="621"/>
      <c r="E249" s="644"/>
      <c r="F249" s="644"/>
      <c r="G249" s="644"/>
      <c r="H249" s="644"/>
      <c r="I249" s="644"/>
      <c r="J249" s="645"/>
      <c r="K249" s="645"/>
      <c r="L249" s="645"/>
      <c r="M249" s="645"/>
      <c r="N249" s="644"/>
      <c r="O249" s="644"/>
      <c r="P249" s="644"/>
      <c r="Q249" s="621"/>
      <c r="R249" s="644"/>
      <c r="S249" s="640"/>
    </row>
    <row r="250" spans="3:19" s="646" customFormat="1" x14ac:dyDescent="0.35">
      <c r="C250" s="643"/>
      <c r="D250" s="621"/>
      <c r="E250" s="644"/>
      <c r="F250" s="644"/>
      <c r="G250" s="644"/>
      <c r="H250" s="644"/>
      <c r="I250" s="644"/>
      <c r="J250" s="645"/>
      <c r="K250" s="645"/>
      <c r="L250" s="645"/>
      <c r="M250" s="645"/>
      <c r="N250" s="644"/>
      <c r="O250" s="644"/>
      <c r="P250" s="644"/>
      <c r="Q250" s="621"/>
      <c r="R250" s="644"/>
      <c r="S250" s="640"/>
    </row>
    <row r="251" spans="3:19" s="646" customFormat="1" x14ac:dyDescent="0.35">
      <c r="C251" s="643"/>
      <c r="D251" s="621"/>
      <c r="E251" s="644"/>
      <c r="F251" s="644"/>
      <c r="G251" s="644"/>
      <c r="H251" s="644"/>
      <c r="I251" s="644"/>
      <c r="J251" s="645"/>
      <c r="K251" s="645"/>
      <c r="L251" s="645"/>
      <c r="M251" s="645"/>
      <c r="N251" s="644"/>
      <c r="O251" s="644"/>
      <c r="P251" s="644"/>
      <c r="Q251" s="621"/>
      <c r="R251" s="644"/>
      <c r="S251" s="640"/>
    </row>
    <row r="252" spans="3:19" s="646" customFormat="1" x14ac:dyDescent="0.35">
      <c r="C252" s="643"/>
      <c r="D252" s="621"/>
      <c r="E252" s="644"/>
      <c r="F252" s="644"/>
      <c r="G252" s="644"/>
      <c r="H252" s="644"/>
      <c r="I252" s="644"/>
      <c r="J252" s="645"/>
      <c r="K252" s="645"/>
      <c r="L252" s="645"/>
      <c r="M252" s="645"/>
      <c r="N252" s="644"/>
      <c r="O252" s="644"/>
      <c r="P252" s="644"/>
      <c r="Q252" s="621"/>
      <c r="R252" s="644"/>
      <c r="S252" s="640"/>
    </row>
    <row r="253" spans="3:19" s="646" customFormat="1" x14ac:dyDescent="0.35">
      <c r="C253" s="643"/>
      <c r="D253" s="621"/>
      <c r="E253" s="644"/>
      <c r="F253" s="644"/>
      <c r="G253" s="644"/>
      <c r="H253" s="644"/>
      <c r="I253" s="644"/>
      <c r="J253" s="645"/>
      <c r="K253" s="645"/>
      <c r="L253" s="645"/>
      <c r="M253" s="645"/>
      <c r="N253" s="644"/>
      <c r="O253" s="644"/>
      <c r="P253" s="644"/>
      <c r="Q253" s="621"/>
      <c r="R253" s="644"/>
      <c r="S253" s="640"/>
    </row>
    <row r="254" spans="3:19" s="646" customFormat="1" x14ac:dyDescent="0.35">
      <c r="C254" s="643"/>
      <c r="D254" s="621"/>
      <c r="E254" s="644"/>
      <c r="F254" s="644"/>
      <c r="G254" s="644"/>
      <c r="H254" s="644"/>
      <c r="I254" s="644"/>
      <c r="J254" s="645"/>
      <c r="K254" s="645"/>
      <c r="L254" s="645"/>
      <c r="M254" s="645"/>
      <c r="N254" s="644"/>
      <c r="O254" s="644"/>
      <c r="P254" s="644"/>
      <c r="Q254" s="621"/>
      <c r="R254" s="644"/>
      <c r="S254" s="640"/>
    </row>
    <row r="255" spans="3:19" s="646" customFormat="1" x14ac:dyDescent="0.35">
      <c r="C255" s="643"/>
      <c r="D255" s="621"/>
      <c r="E255" s="644"/>
      <c r="F255" s="644"/>
      <c r="G255" s="644"/>
      <c r="H255" s="644"/>
      <c r="I255" s="644"/>
      <c r="J255" s="645"/>
      <c r="K255" s="645"/>
      <c r="L255" s="645"/>
      <c r="M255" s="645"/>
      <c r="N255" s="644"/>
      <c r="O255" s="644"/>
      <c r="P255" s="644"/>
      <c r="Q255" s="621"/>
      <c r="R255" s="644"/>
      <c r="S255" s="640"/>
    </row>
    <row r="256" spans="3:19" s="646" customFormat="1" x14ac:dyDescent="0.35">
      <c r="C256" s="643"/>
      <c r="D256" s="621"/>
      <c r="E256" s="644"/>
      <c r="F256" s="644"/>
      <c r="G256" s="644"/>
      <c r="H256" s="644"/>
      <c r="I256" s="644"/>
      <c r="J256" s="645"/>
      <c r="K256" s="645"/>
      <c r="L256" s="645"/>
      <c r="M256" s="645"/>
      <c r="N256" s="644"/>
      <c r="O256" s="644"/>
      <c r="P256" s="644"/>
      <c r="Q256" s="621"/>
      <c r="R256" s="644"/>
      <c r="S256" s="640"/>
    </row>
    <row r="257" spans="3:19" s="646" customFormat="1" x14ac:dyDescent="0.35">
      <c r="C257" s="643"/>
      <c r="D257" s="621"/>
      <c r="E257" s="644"/>
      <c r="F257" s="644"/>
      <c r="G257" s="644"/>
      <c r="H257" s="644"/>
      <c r="I257" s="644"/>
      <c r="J257" s="645"/>
      <c r="K257" s="645"/>
      <c r="L257" s="645"/>
      <c r="M257" s="645"/>
      <c r="N257" s="644"/>
      <c r="O257" s="644"/>
      <c r="P257" s="644"/>
      <c r="Q257" s="621"/>
      <c r="R257" s="644"/>
      <c r="S257" s="640"/>
    </row>
    <row r="258" spans="3:19" s="646" customFormat="1" x14ac:dyDescent="0.35">
      <c r="C258" s="643"/>
      <c r="D258" s="621"/>
      <c r="E258" s="644"/>
      <c r="F258" s="644"/>
      <c r="G258" s="644"/>
      <c r="H258" s="644"/>
      <c r="I258" s="644"/>
      <c r="J258" s="645"/>
      <c r="K258" s="645"/>
      <c r="L258" s="645"/>
      <c r="M258" s="645"/>
      <c r="N258" s="644"/>
      <c r="O258" s="644"/>
      <c r="P258" s="644"/>
      <c r="Q258" s="621"/>
      <c r="R258" s="644"/>
      <c r="S258" s="640"/>
    </row>
    <row r="259" spans="3:19" s="646" customFormat="1" x14ac:dyDescent="0.35">
      <c r="C259" s="643"/>
      <c r="D259" s="621"/>
      <c r="E259" s="644"/>
      <c r="F259" s="644"/>
      <c r="G259" s="644"/>
      <c r="H259" s="644"/>
      <c r="I259" s="644"/>
      <c r="J259" s="645"/>
      <c r="K259" s="645"/>
      <c r="L259" s="645"/>
      <c r="M259" s="645"/>
      <c r="N259" s="644"/>
      <c r="O259" s="644"/>
      <c r="P259" s="644"/>
      <c r="Q259" s="621"/>
      <c r="R259" s="644"/>
      <c r="S259" s="640"/>
    </row>
    <row r="260" spans="3:19" s="646" customFormat="1" x14ac:dyDescent="0.35">
      <c r="C260" s="643"/>
      <c r="D260" s="621"/>
      <c r="E260" s="644"/>
      <c r="F260" s="644"/>
      <c r="G260" s="644"/>
      <c r="H260" s="644"/>
      <c r="I260" s="644"/>
      <c r="J260" s="645"/>
      <c r="K260" s="645"/>
      <c r="L260" s="645"/>
      <c r="M260" s="645"/>
      <c r="N260" s="644"/>
      <c r="O260" s="644"/>
      <c r="P260" s="644"/>
      <c r="Q260" s="621"/>
      <c r="R260" s="644"/>
      <c r="S260" s="640"/>
    </row>
    <row r="261" spans="3:19" s="646" customFormat="1" x14ac:dyDescent="0.35">
      <c r="C261" s="643"/>
      <c r="D261" s="621"/>
      <c r="E261" s="644"/>
      <c r="F261" s="644"/>
      <c r="G261" s="644"/>
      <c r="H261" s="644"/>
      <c r="I261" s="644"/>
      <c r="J261" s="645"/>
      <c r="K261" s="645"/>
      <c r="L261" s="645"/>
      <c r="M261" s="645"/>
      <c r="N261" s="644"/>
      <c r="O261" s="644"/>
      <c r="P261" s="644"/>
      <c r="Q261" s="621"/>
      <c r="R261" s="644"/>
      <c r="S261" s="640"/>
    </row>
    <row r="262" spans="3:19" s="646" customFormat="1" x14ac:dyDescent="0.35">
      <c r="C262" s="643"/>
      <c r="D262" s="621"/>
      <c r="E262" s="644"/>
      <c r="F262" s="644"/>
      <c r="G262" s="644"/>
      <c r="H262" s="644"/>
      <c r="I262" s="644"/>
      <c r="J262" s="645"/>
      <c r="K262" s="645"/>
      <c r="L262" s="645"/>
      <c r="M262" s="645"/>
      <c r="N262" s="644"/>
      <c r="O262" s="644"/>
      <c r="P262" s="644"/>
      <c r="Q262" s="621"/>
      <c r="R262" s="644"/>
      <c r="S262" s="640"/>
    </row>
    <row r="263" spans="3:19" s="646" customFormat="1" x14ac:dyDescent="0.35">
      <c r="C263" s="643"/>
      <c r="D263" s="621"/>
      <c r="E263" s="644"/>
      <c r="F263" s="644"/>
      <c r="G263" s="644"/>
      <c r="H263" s="644"/>
      <c r="I263" s="644"/>
      <c r="J263" s="645"/>
      <c r="K263" s="645"/>
      <c r="L263" s="645"/>
      <c r="M263" s="645"/>
      <c r="N263" s="644"/>
      <c r="O263" s="644"/>
      <c r="P263" s="644"/>
      <c r="Q263" s="621"/>
      <c r="R263" s="644"/>
      <c r="S263" s="640"/>
    </row>
    <row r="264" spans="3:19" s="646" customFormat="1" x14ac:dyDescent="0.35">
      <c r="C264" s="643"/>
      <c r="D264" s="621"/>
      <c r="E264" s="644"/>
      <c r="F264" s="644"/>
      <c r="G264" s="644"/>
      <c r="H264" s="644"/>
      <c r="I264" s="644"/>
      <c r="J264" s="645"/>
      <c r="K264" s="645"/>
      <c r="L264" s="645"/>
      <c r="M264" s="645"/>
      <c r="N264" s="644"/>
      <c r="O264" s="644"/>
      <c r="P264" s="644"/>
      <c r="Q264" s="621"/>
      <c r="R264" s="644"/>
      <c r="S264" s="640"/>
    </row>
    <row r="265" spans="3:19" s="646" customFormat="1" x14ac:dyDescent="0.35">
      <c r="C265" s="643"/>
      <c r="D265" s="621"/>
      <c r="E265" s="644"/>
      <c r="F265" s="644"/>
      <c r="G265" s="644"/>
      <c r="H265" s="644"/>
      <c r="I265" s="644"/>
      <c r="J265" s="645"/>
      <c r="K265" s="645"/>
      <c r="L265" s="645"/>
      <c r="M265" s="645"/>
      <c r="N265" s="644"/>
      <c r="O265" s="644"/>
      <c r="P265" s="644"/>
      <c r="Q265" s="621"/>
      <c r="R265" s="644"/>
      <c r="S265" s="640"/>
    </row>
    <row r="266" spans="3:19" s="646" customFormat="1" x14ac:dyDescent="0.35">
      <c r="C266" s="643"/>
      <c r="D266" s="621"/>
      <c r="E266" s="644"/>
      <c r="F266" s="644"/>
      <c r="G266" s="644"/>
      <c r="H266" s="644"/>
      <c r="I266" s="644"/>
      <c r="J266" s="645"/>
      <c r="K266" s="645"/>
      <c r="L266" s="645"/>
      <c r="M266" s="645"/>
      <c r="N266" s="644"/>
      <c r="O266" s="644"/>
      <c r="P266" s="644"/>
      <c r="Q266" s="621"/>
      <c r="R266" s="644"/>
      <c r="S266" s="640"/>
    </row>
    <row r="267" spans="3:19" s="646" customFormat="1" x14ac:dyDescent="0.35">
      <c r="C267" s="643"/>
      <c r="D267" s="621"/>
      <c r="E267" s="644"/>
      <c r="F267" s="644"/>
      <c r="G267" s="644"/>
      <c r="H267" s="644"/>
      <c r="I267" s="644"/>
      <c r="J267" s="645"/>
      <c r="K267" s="645"/>
      <c r="L267" s="645"/>
      <c r="M267" s="645"/>
      <c r="N267" s="644"/>
      <c r="O267" s="644"/>
      <c r="P267" s="644"/>
      <c r="Q267" s="621"/>
      <c r="R267" s="644"/>
      <c r="S267" s="640"/>
    </row>
    <row r="268" spans="3:19" s="646" customFormat="1" x14ac:dyDescent="0.35">
      <c r="C268" s="643"/>
      <c r="D268" s="621"/>
      <c r="E268" s="644"/>
      <c r="F268" s="644"/>
      <c r="G268" s="644"/>
      <c r="H268" s="644"/>
      <c r="I268" s="644"/>
      <c r="J268" s="645"/>
      <c r="K268" s="645"/>
      <c r="L268" s="645"/>
      <c r="M268" s="645"/>
      <c r="N268" s="644"/>
      <c r="O268" s="644"/>
      <c r="P268" s="644"/>
      <c r="Q268" s="621"/>
      <c r="R268" s="644"/>
      <c r="S268" s="640"/>
    </row>
    <row r="269" spans="3:19" s="646" customFormat="1" x14ac:dyDescent="0.35">
      <c r="C269" s="643"/>
      <c r="D269" s="621"/>
      <c r="E269" s="644"/>
      <c r="F269" s="644"/>
      <c r="G269" s="644"/>
      <c r="H269" s="644"/>
      <c r="I269" s="644"/>
      <c r="J269" s="645"/>
      <c r="K269" s="645"/>
      <c r="L269" s="645"/>
      <c r="M269" s="645"/>
      <c r="N269" s="644"/>
      <c r="O269" s="644"/>
      <c r="P269" s="644"/>
      <c r="Q269" s="621"/>
      <c r="R269" s="644"/>
      <c r="S269" s="640"/>
    </row>
    <row r="270" spans="3:19" s="646" customFormat="1" x14ac:dyDescent="0.35">
      <c r="C270" s="643"/>
      <c r="D270" s="621"/>
      <c r="E270" s="644"/>
      <c r="F270" s="644"/>
      <c r="G270" s="644"/>
      <c r="H270" s="644"/>
      <c r="I270" s="644"/>
      <c r="J270" s="645"/>
      <c r="K270" s="645"/>
      <c r="L270" s="645"/>
      <c r="M270" s="645"/>
      <c r="N270" s="644"/>
      <c r="O270" s="644"/>
      <c r="P270" s="644"/>
      <c r="Q270" s="621"/>
      <c r="R270" s="644"/>
      <c r="S270" s="640"/>
    </row>
    <row r="271" spans="3:19" s="646" customFormat="1" x14ac:dyDescent="0.35">
      <c r="C271" s="643"/>
      <c r="D271" s="621"/>
      <c r="E271" s="644"/>
      <c r="F271" s="644"/>
      <c r="G271" s="644"/>
      <c r="H271" s="644"/>
      <c r="I271" s="644"/>
      <c r="J271" s="645"/>
      <c r="K271" s="645"/>
      <c r="L271" s="645"/>
      <c r="M271" s="645"/>
      <c r="N271" s="644"/>
      <c r="O271" s="644"/>
      <c r="P271" s="644"/>
      <c r="Q271" s="621"/>
      <c r="R271" s="644"/>
      <c r="S271" s="640"/>
    </row>
    <row r="272" spans="3:19" s="646" customFormat="1" x14ac:dyDescent="0.35">
      <c r="C272" s="643"/>
      <c r="D272" s="621"/>
      <c r="E272" s="644"/>
      <c r="F272" s="644"/>
      <c r="G272" s="644"/>
      <c r="H272" s="644"/>
      <c r="I272" s="644"/>
      <c r="J272" s="645"/>
      <c r="K272" s="645"/>
      <c r="L272" s="645"/>
      <c r="M272" s="645"/>
      <c r="N272" s="644"/>
      <c r="O272" s="644"/>
      <c r="P272" s="644"/>
      <c r="Q272" s="621"/>
      <c r="R272" s="644"/>
      <c r="S272" s="640"/>
    </row>
    <row r="273" spans="3:19" s="646" customFormat="1" x14ac:dyDescent="0.35">
      <c r="C273" s="643"/>
      <c r="D273" s="621"/>
      <c r="E273" s="644"/>
      <c r="F273" s="644"/>
      <c r="G273" s="644"/>
      <c r="H273" s="644"/>
      <c r="I273" s="644"/>
      <c r="J273" s="645"/>
      <c r="K273" s="645"/>
      <c r="L273" s="645"/>
      <c r="M273" s="645"/>
      <c r="N273" s="644"/>
      <c r="O273" s="644"/>
      <c r="P273" s="644"/>
      <c r="Q273" s="621"/>
      <c r="R273" s="644"/>
      <c r="S273" s="640"/>
    </row>
    <row r="274" spans="3:19" s="646" customFormat="1" x14ac:dyDescent="0.35">
      <c r="C274" s="643"/>
      <c r="D274" s="621"/>
      <c r="E274" s="644"/>
      <c r="F274" s="644"/>
      <c r="G274" s="644"/>
      <c r="H274" s="644"/>
      <c r="I274" s="644"/>
      <c r="J274" s="645"/>
      <c r="K274" s="645"/>
      <c r="L274" s="645"/>
      <c r="M274" s="645"/>
      <c r="N274" s="644"/>
      <c r="O274" s="644"/>
      <c r="P274" s="644"/>
      <c r="Q274" s="621"/>
      <c r="R274" s="644"/>
      <c r="S274" s="640"/>
    </row>
    <row r="275" spans="3:19" s="646" customFormat="1" x14ac:dyDescent="0.35">
      <c r="C275" s="643"/>
      <c r="D275" s="621"/>
      <c r="E275" s="644"/>
      <c r="F275" s="644"/>
      <c r="G275" s="644"/>
      <c r="H275" s="644"/>
      <c r="I275" s="644"/>
      <c r="J275" s="645"/>
      <c r="K275" s="645"/>
      <c r="L275" s="645"/>
      <c r="M275" s="645"/>
      <c r="N275" s="644"/>
      <c r="O275" s="644"/>
      <c r="P275" s="644"/>
      <c r="Q275" s="621"/>
      <c r="R275" s="644"/>
      <c r="S275" s="640"/>
    </row>
    <row r="276" spans="3:19" s="646" customFormat="1" x14ac:dyDescent="0.35">
      <c r="C276" s="643"/>
      <c r="D276" s="621"/>
      <c r="E276" s="644"/>
      <c r="F276" s="644"/>
      <c r="G276" s="644"/>
      <c r="H276" s="644"/>
      <c r="I276" s="644"/>
      <c r="J276" s="645"/>
      <c r="K276" s="645"/>
      <c r="L276" s="645"/>
      <c r="M276" s="645"/>
      <c r="N276" s="644"/>
      <c r="O276" s="644"/>
      <c r="P276" s="644"/>
      <c r="Q276" s="621"/>
      <c r="R276" s="644"/>
      <c r="S276" s="640"/>
    </row>
    <row r="277" spans="3:19" s="646" customFormat="1" x14ac:dyDescent="0.35">
      <c r="C277" s="643"/>
      <c r="D277" s="621"/>
      <c r="E277" s="644"/>
      <c r="F277" s="644"/>
      <c r="G277" s="644"/>
      <c r="H277" s="644"/>
      <c r="I277" s="644"/>
      <c r="J277" s="645"/>
      <c r="K277" s="645"/>
      <c r="L277" s="645"/>
      <c r="M277" s="645"/>
      <c r="N277" s="644"/>
      <c r="O277" s="644"/>
      <c r="P277" s="644"/>
      <c r="Q277" s="621"/>
      <c r="R277" s="644"/>
      <c r="S277" s="640"/>
    </row>
    <row r="278" spans="3:19" s="646" customFormat="1" x14ac:dyDescent="0.35">
      <c r="C278" s="643"/>
      <c r="D278" s="621"/>
      <c r="E278" s="644"/>
      <c r="F278" s="644"/>
      <c r="G278" s="644"/>
      <c r="H278" s="644"/>
      <c r="I278" s="644"/>
      <c r="J278" s="645"/>
      <c r="K278" s="645"/>
      <c r="L278" s="645"/>
      <c r="M278" s="645"/>
      <c r="N278" s="644"/>
      <c r="O278" s="644"/>
      <c r="P278" s="644"/>
      <c r="Q278" s="621"/>
      <c r="R278" s="644"/>
      <c r="S278" s="640"/>
    </row>
    <row r="279" spans="3:19" s="646" customFormat="1" x14ac:dyDescent="0.35">
      <c r="C279" s="643"/>
      <c r="D279" s="621"/>
      <c r="E279" s="644"/>
      <c r="F279" s="644"/>
      <c r="G279" s="644"/>
      <c r="H279" s="644"/>
      <c r="I279" s="644"/>
      <c r="J279" s="645"/>
      <c r="K279" s="645"/>
      <c r="L279" s="645"/>
      <c r="M279" s="645"/>
      <c r="N279" s="644"/>
      <c r="O279" s="644"/>
      <c r="P279" s="644"/>
      <c r="Q279" s="621"/>
      <c r="R279" s="644"/>
      <c r="S279" s="640"/>
    </row>
    <row r="280" spans="3:19" s="646" customFormat="1" x14ac:dyDescent="0.35">
      <c r="C280" s="643"/>
      <c r="D280" s="621"/>
      <c r="E280" s="644"/>
      <c r="F280" s="644"/>
      <c r="G280" s="644"/>
      <c r="H280" s="644"/>
      <c r="I280" s="644"/>
      <c r="J280" s="645"/>
      <c r="K280" s="645"/>
      <c r="L280" s="645"/>
      <c r="M280" s="645"/>
      <c r="N280" s="644"/>
      <c r="O280" s="644"/>
      <c r="P280" s="644"/>
      <c r="Q280" s="621"/>
      <c r="R280" s="644"/>
      <c r="S280" s="640"/>
    </row>
    <row r="281" spans="3:19" s="646" customFormat="1" x14ac:dyDescent="0.35">
      <c r="C281" s="643"/>
      <c r="D281" s="621"/>
      <c r="E281" s="644"/>
      <c r="F281" s="644"/>
      <c r="G281" s="644"/>
      <c r="H281" s="644"/>
      <c r="I281" s="644"/>
      <c r="J281" s="645"/>
      <c r="K281" s="645"/>
      <c r="L281" s="645"/>
      <c r="M281" s="645"/>
      <c r="N281" s="644"/>
      <c r="O281" s="644"/>
      <c r="P281" s="644"/>
      <c r="Q281" s="621"/>
      <c r="R281" s="644"/>
      <c r="S281" s="640"/>
    </row>
    <row r="282" spans="3:19" s="646" customFormat="1" x14ac:dyDescent="0.35">
      <c r="C282" s="643"/>
      <c r="D282" s="621"/>
      <c r="E282" s="644"/>
      <c r="F282" s="644"/>
      <c r="G282" s="644"/>
      <c r="H282" s="644"/>
      <c r="I282" s="644"/>
      <c r="J282" s="645"/>
      <c r="K282" s="645"/>
      <c r="L282" s="645"/>
      <c r="M282" s="645"/>
      <c r="N282" s="644"/>
      <c r="O282" s="644"/>
      <c r="P282" s="644"/>
      <c r="Q282" s="621"/>
      <c r="R282" s="644"/>
      <c r="S282" s="640"/>
    </row>
    <row r="283" spans="3:19" s="646" customFormat="1" x14ac:dyDescent="0.35">
      <c r="C283" s="643"/>
      <c r="D283" s="621"/>
      <c r="E283" s="644"/>
      <c r="F283" s="644"/>
      <c r="G283" s="644"/>
      <c r="H283" s="644"/>
      <c r="I283" s="644"/>
      <c r="J283" s="645"/>
      <c r="K283" s="645"/>
      <c r="L283" s="645"/>
      <c r="M283" s="645"/>
      <c r="N283" s="644"/>
      <c r="O283" s="644"/>
      <c r="P283" s="644"/>
      <c r="Q283" s="621"/>
      <c r="R283" s="644"/>
      <c r="S283" s="640"/>
    </row>
    <row r="284" spans="3:19" s="646" customFormat="1" x14ac:dyDescent="0.35">
      <c r="C284" s="643"/>
      <c r="D284" s="621"/>
      <c r="E284" s="644"/>
      <c r="F284" s="644"/>
      <c r="G284" s="644"/>
      <c r="H284" s="644"/>
      <c r="I284" s="644"/>
      <c r="J284" s="645"/>
      <c r="K284" s="645"/>
      <c r="L284" s="645"/>
      <c r="M284" s="645"/>
      <c r="N284" s="644"/>
      <c r="O284" s="644"/>
      <c r="P284" s="644"/>
      <c r="Q284" s="621"/>
      <c r="R284" s="644"/>
      <c r="S284" s="640"/>
    </row>
    <row r="285" spans="3:19" s="646" customFormat="1" x14ac:dyDescent="0.35">
      <c r="C285" s="643"/>
      <c r="D285" s="621"/>
      <c r="E285" s="644"/>
      <c r="F285" s="644"/>
      <c r="G285" s="644"/>
      <c r="H285" s="644"/>
      <c r="I285" s="644"/>
      <c r="J285" s="645"/>
      <c r="K285" s="645"/>
      <c r="L285" s="645"/>
      <c r="M285" s="645"/>
      <c r="N285" s="644"/>
      <c r="O285" s="644"/>
      <c r="P285" s="644"/>
      <c r="Q285" s="621"/>
      <c r="R285" s="644"/>
      <c r="S285" s="640"/>
    </row>
    <row r="286" spans="3:19" s="646" customFormat="1" x14ac:dyDescent="0.35">
      <c r="C286" s="643"/>
      <c r="D286" s="621"/>
      <c r="E286" s="644"/>
      <c r="F286" s="644"/>
      <c r="G286" s="644"/>
      <c r="H286" s="644"/>
      <c r="I286" s="644"/>
      <c r="J286" s="645"/>
      <c r="K286" s="645"/>
      <c r="L286" s="645"/>
      <c r="M286" s="645"/>
      <c r="N286" s="644"/>
      <c r="O286" s="644"/>
      <c r="P286" s="644"/>
      <c r="Q286" s="621"/>
      <c r="R286" s="644"/>
      <c r="S286" s="640"/>
    </row>
    <row r="287" spans="3:19" s="646" customFormat="1" x14ac:dyDescent="0.35">
      <c r="C287" s="643"/>
      <c r="D287" s="621"/>
      <c r="E287" s="644"/>
      <c r="F287" s="644"/>
      <c r="G287" s="644"/>
      <c r="H287" s="644"/>
      <c r="I287" s="644"/>
      <c r="J287" s="645"/>
      <c r="K287" s="645"/>
      <c r="L287" s="645"/>
      <c r="M287" s="645"/>
      <c r="N287" s="644"/>
      <c r="O287" s="644"/>
      <c r="P287" s="644"/>
      <c r="Q287" s="621"/>
      <c r="R287" s="644"/>
      <c r="S287" s="640"/>
    </row>
    <row r="288" spans="3:19" s="646" customFormat="1" x14ac:dyDescent="0.35">
      <c r="C288" s="643"/>
      <c r="D288" s="621"/>
      <c r="E288" s="644"/>
      <c r="F288" s="644"/>
      <c r="G288" s="644"/>
      <c r="H288" s="644"/>
      <c r="I288" s="644"/>
      <c r="J288" s="645"/>
      <c r="K288" s="645"/>
      <c r="L288" s="645"/>
      <c r="M288" s="645"/>
      <c r="N288" s="644"/>
      <c r="O288" s="644"/>
      <c r="P288" s="644"/>
      <c r="Q288" s="621"/>
      <c r="R288" s="644"/>
      <c r="S288" s="640"/>
    </row>
    <row r="289" spans="3:19" s="646" customFormat="1" x14ac:dyDescent="0.35">
      <c r="C289" s="643"/>
      <c r="D289" s="621"/>
      <c r="E289" s="644"/>
      <c r="F289" s="644"/>
      <c r="G289" s="644"/>
      <c r="H289" s="644"/>
      <c r="I289" s="644"/>
      <c r="J289" s="645"/>
      <c r="K289" s="645"/>
      <c r="L289" s="645"/>
      <c r="M289" s="645"/>
      <c r="N289" s="644"/>
      <c r="O289" s="644"/>
      <c r="P289" s="644"/>
      <c r="Q289" s="621"/>
      <c r="R289" s="644"/>
      <c r="S289" s="640"/>
    </row>
    <row r="290" spans="3:19" s="646" customFormat="1" x14ac:dyDescent="0.35">
      <c r="C290" s="643"/>
      <c r="D290" s="621"/>
      <c r="E290" s="644"/>
      <c r="F290" s="644"/>
      <c r="G290" s="644"/>
      <c r="H290" s="644"/>
      <c r="I290" s="644"/>
      <c r="J290" s="645"/>
      <c r="K290" s="645"/>
      <c r="L290" s="645"/>
      <c r="M290" s="645"/>
      <c r="N290" s="644"/>
      <c r="O290" s="644"/>
      <c r="P290" s="644"/>
      <c r="Q290" s="621"/>
      <c r="R290" s="644"/>
      <c r="S290" s="640"/>
    </row>
    <row r="291" spans="3:19" s="646" customFormat="1" x14ac:dyDescent="0.35">
      <c r="C291" s="643"/>
      <c r="D291" s="621"/>
      <c r="E291" s="644"/>
      <c r="F291" s="644"/>
      <c r="G291" s="644"/>
      <c r="H291" s="644"/>
      <c r="I291" s="644"/>
      <c r="J291" s="645"/>
      <c r="K291" s="645"/>
      <c r="L291" s="645"/>
      <c r="M291" s="645"/>
      <c r="N291" s="644"/>
      <c r="O291" s="644"/>
      <c r="P291" s="644"/>
      <c r="Q291" s="621"/>
      <c r="R291" s="644"/>
      <c r="S291" s="640"/>
    </row>
    <row r="292" spans="3:19" s="646" customFormat="1" x14ac:dyDescent="0.35">
      <c r="C292" s="643"/>
      <c r="D292" s="621"/>
      <c r="E292" s="644"/>
      <c r="F292" s="644"/>
      <c r="G292" s="644"/>
      <c r="H292" s="644"/>
      <c r="I292" s="644"/>
      <c r="J292" s="645"/>
      <c r="K292" s="645"/>
      <c r="L292" s="645"/>
      <c r="M292" s="645"/>
      <c r="N292" s="644"/>
      <c r="O292" s="644"/>
      <c r="P292" s="644"/>
      <c r="Q292" s="621"/>
      <c r="R292" s="644"/>
      <c r="S292" s="640"/>
    </row>
    <row r="293" spans="3:19" s="646" customFormat="1" x14ac:dyDescent="0.35">
      <c r="C293" s="643"/>
      <c r="D293" s="621"/>
      <c r="E293" s="644"/>
      <c r="F293" s="644"/>
      <c r="G293" s="644"/>
      <c r="H293" s="644"/>
      <c r="I293" s="644"/>
      <c r="J293" s="645"/>
      <c r="K293" s="645"/>
      <c r="L293" s="645"/>
      <c r="M293" s="645"/>
      <c r="N293" s="644"/>
      <c r="O293" s="644"/>
      <c r="P293" s="644"/>
      <c r="Q293" s="621"/>
      <c r="R293" s="644"/>
      <c r="S293" s="640"/>
    </row>
    <row r="294" spans="3:19" s="646" customFormat="1" x14ac:dyDescent="0.35">
      <c r="C294" s="643"/>
      <c r="D294" s="621"/>
      <c r="E294" s="644"/>
      <c r="F294" s="644"/>
      <c r="G294" s="644"/>
      <c r="H294" s="644"/>
      <c r="I294" s="644"/>
      <c r="J294" s="645"/>
      <c r="K294" s="645"/>
      <c r="L294" s="645"/>
      <c r="M294" s="645"/>
      <c r="N294" s="644"/>
      <c r="O294" s="644"/>
      <c r="P294" s="644"/>
      <c r="Q294" s="621"/>
      <c r="R294" s="644"/>
      <c r="S294" s="640"/>
    </row>
    <row r="295" spans="3:19" s="646" customFormat="1" x14ac:dyDescent="0.35">
      <c r="C295" s="643"/>
      <c r="D295" s="621"/>
      <c r="E295" s="644"/>
      <c r="F295" s="644"/>
      <c r="G295" s="644"/>
      <c r="H295" s="644"/>
      <c r="I295" s="644"/>
      <c r="J295" s="645"/>
      <c r="K295" s="645"/>
      <c r="L295" s="645"/>
      <c r="M295" s="645"/>
      <c r="N295" s="644"/>
      <c r="O295" s="644"/>
      <c r="P295" s="644"/>
      <c r="Q295" s="621"/>
      <c r="R295" s="644"/>
      <c r="S295" s="640"/>
    </row>
    <row r="296" spans="3:19" s="646" customFormat="1" x14ac:dyDescent="0.35">
      <c r="C296" s="643"/>
      <c r="D296" s="621"/>
      <c r="E296" s="644"/>
      <c r="F296" s="644"/>
      <c r="G296" s="644"/>
      <c r="H296" s="644"/>
      <c r="I296" s="644"/>
      <c r="J296" s="645"/>
      <c r="K296" s="645"/>
      <c r="L296" s="645"/>
      <c r="M296" s="645"/>
      <c r="N296" s="644"/>
      <c r="O296" s="644"/>
      <c r="P296" s="644"/>
      <c r="Q296" s="621"/>
      <c r="R296" s="644"/>
      <c r="S296" s="640"/>
    </row>
    <row r="297" spans="3:19" s="646" customFormat="1" x14ac:dyDescent="0.35">
      <c r="C297" s="643"/>
      <c r="D297" s="621"/>
      <c r="E297" s="644"/>
      <c r="F297" s="644"/>
      <c r="G297" s="644"/>
      <c r="H297" s="644"/>
      <c r="I297" s="644"/>
      <c r="J297" s="645"/>
      <c r="K297" s="645"/>
      <c r="L297" s="645"/>
      <c r="M297" s="645"/>
      <c r="N297" s="644"/>
      <c r="O297" s="644"/>
      <c r="P297" s="644"/>
      <c r="Q297" s="621"/>
      <c r="R297" s="644"/>
      <c r="S297" s="640"/>
    </row>
    <row r="298" spans="3:19" s="646" customFormat="1" x14ac:dyDescent="0.35">
      <c r="C298" s="643"/>
      <c r="D298" s="621"/>
      <c r="E298" s="644"/>
      <c r="F298" s="644"/>
      <c r="G298" s="644"/>
      <c r="H298" s="644"/>
      <c r="I298" s="644"/>
      <c r="J298" s="645"/>
      <c r="K298" s="645"/>
      <c r="L298" s="645"/>
      <c r="M298" s="645"/>
      <c r="N298" s="644"/>
      <c r="O298" s="644"/>
      <c r="P298" s="644"/>
      <c r="Q298" s="621"/>
      <c r="R298" s="644"/>
      <c r="S298" s="640"/>
    </row>
    <row r="299" spans="3:19" s="646" customFormat="1" x14ac:dyDescent="0.35">
      <c r="C299" s="643"/>
      <c r="D299" s="621"/>
      <c r="E299" s="644"/>
      <c r="F299" s="644"/>
      <c r="G299" s="644"/>
      <c r="H299" s="644"/>
      <c r="I299" s="644"/>
      <c r="J299" s="645"/>
      <c r="K299" s="645"/>
      <c r="L299" s="645"/>
      <c r="M299" s="645"/>
      <c r="N299" s="644"/>
      <c r="O299" s="644"/>
      <c r="P299" s="644"/>
      <c r="Q299" s="621"/>
      <c r="R299" s="644"/>
      <c r="S299" s="640"/>
    </row>
    <row r="300" spans="3:19" s="646" customFormat="1" x14ac:dyDescent="0.35">
      <c r="C300" s="643"/>
      <c r="D300" s="621"/>
      <c r="E300" s="644"/>
      <c r="F300" s="644"/>
      <c r="G300" s="644"/>
      <c r="H300" s="644"/>
      <c r="I300" s="644"/>
      <c r="J300" s="645"/>
      <c r="K300" s="645"/>
      <c r="L300" s="645"/>
      <c r="M300" s="645"/>
      <c r="N300" s="644"/>
      <c r="O300" s="644"/>
      <c r="P300" s="644"/>
      <c r="Q300" s="621"/>
      <c r="R300" s="644"/>
      <c r="S300" s="640"/>
    </row>
    <row r="301" spans="3:19" s="646" customFormat="1" x14ac:dyDescent="0.35">
      <c r="C301" s="643"/>
      <c r="D301" s="621"/>
      <c r="E301" s="644"/>
      <c r="F301" s="644"/>
      <c r="G301" s="644"/>
      <c r="H301" s="644"/>
      <c r="I301" s="644"/>
      <c r="J301" s="645"/>
      <c r="K301" s="645"/>
      <c r="L301" s="645"/>
      <c r="M301" s="645"/>
      <c r="N301" s="644"/>
      <c r="O301" s="644"/>
      <c r="P301" s="644"/>
      <c r="Q301" s="621"/>
      <c r="R301" s="644"/>
      <c r="S301" s="640"/>
    </row>
    <row r="302" spans="3:19" s="646" customFormat="1" x14ac:dyDescent="0.35">
      <c r="C302" s="643"/>
      <c r="D302" s="621"/>
      <c r="E302" s="644"/>
      <c r="F302" s="644"/>
      <c r="G302" s="644"/>
      <c r="H302" s="644"/>
      <c r="I302" s="644"/>
      <c r="J302" s="645"/>
      <c r="K302" s="645"/>
      <c r="L302" s="645"/>
      <c r="M302" s="645"/>
      <c r="N302" s="644"/>
      <c r="O302" s="644"/>
      <c r="P302" s="644"/>
      <c r="Q302" s="621"/>
      <c r="R302" s="644"/>
      <c r="S302" s="640"/>
    </row>
    <row r="303" spans="3:19" s="646" customFormat="1" x14ac:dyDescent="0.35">
      <c r="C303" s="643"/>
      <c r="D303" s="621"/>
      <c r="E303" s="644"/>
      <c r="F303" s="644"/>
      <c r="G303" s="644"/>
      <c r="H303" s="644"/>
      <c r="I303" s="644"/>
      <c r="J303" s="645"/>
      <c r="K303" s="645"/>
      <c r="L303" s="645"/>
      <c r="M303" s="645"/>
      <c r="N303" s="644"/>
      <c r="O303" s="644"/>
      <c r="P303" s="644"/>
      <c r="Q303" s="621"/>
      <c r="R303" s="644"/>
      <c r="S303" s="640"/>
    </row>
    <row r="304" spans="3:19" s="646" customFormat="1" x14ac:dyDescent="0.35">
      <c r="C304" s="643"/>
      <c r="D304" s="621"/>
      <c r="E304" s="644"/>
      <c r="F304" s="644"/>
      <c r="G304" s="644"/>
      <c r="H304" s="644"/>
      <c r="I304" s="644"/>
      <c r="J304" s="645"/>
      <c r="K304" s="645"/>
      <c r="L304" s="645"/>
      <c r="M304" s="645"/>
      <c r="N304" s="644"/>
      <c r="O304" s="644"/>
      <c r="P304" s="644"/>
      <c r="Q304" s="621"/>
      <c r="R304" s="644"/>
      <c r="S304" s="640"/>
    </row>
    <row r="305" spans="3:19" s="646" customFormat="1" x14ac:dyDescent="0.35">
      <c r="C305" s="643"/>
      <c r="D305" s="621"/>
      <c r="E305" s="644"/>
      <c r="F305" s="644"/>
      <c r="G305" s="644"/>
      <c r="H305" s="644"/>
      <c r="I305" s="644"/>
      <c r="J305" s="645"/>
      <c r="K305" s="645"/>
      <c r="L305" s="645"/>
      <c r="M305" s="645"/>
      <c r="N305" s="644"/>
      <c r="O305" s="644"/>
      <c r="P305" s="644"/>
      <c r="Q305" s="621"/>
      <c r="R305" s="644"/>
      <c r="S305" s="640"/>
    </row>
    <row r="306" spans="3:19" s="646" customFormat="1" x14ac:dyDescent="0.35">
      <c r="C306" s="643"/>
      <c r="D306" s="621"/>
      <c r="E306" s="644"/>
      <c r="F306" s="644"/>
      <c r="G306" s="644"/>
      <c r="H306" s="644"/>
      <c r="I306" s="644"/>
      <c r="J306" s="645"/>
      <c r="K306" s="645"/>
      <c r="L306" s="645"/>
      <c r="M306" s="645"/>
      <c r="N306" s="644"/>
      <c r="O306" s="644"/>
      <c r="P306" s="644"/>
      <c r="Q306" s="621"/>
      <c r="R306" s="644"/>
      <c r="S306" s="640"/>
    </row>
    <row r="307" spans="3:19" s="646" customFormat="1" x14ac:dyDescent="0.35">
      <c r="C307" s="643"/>
      <c r="D307" s="621"/>
      <c r="E307" s="644"/>
      <c r="F307" s="644"/>
      <c r="G307" s="644"/>
      <c r="H307" s="644"/>
      <c r="I307" s="644"/>
      <c r="J307" s="645"/>
      <c r="K307" s="645"/>
      <c r="L307" s="645"/>
      <c r="M307" s="645"/>
      <c r="N307" s="644"/>
      <c r="O307" s="644"/>
      <c r="P307" s="644"/>
      <c r="Q307" s="621"/>
      <c r="R307" s="644"/>
      <c r="S307" s="640"/>
    </row>
    <row r="308" spans="3:19" s="646" customFormat="1" x14ac:dyDescent="0.35">
      <c r="C308" s="643"/>
      <c r="D308" s="621"/>
      <c r="E308" s="644"/>
      <c r="F308" s="644"/>
      <c r="G308" s="644"/>
      <c r="H308" s="644"/>
      <c r="I308" s="644"/>
      <c r="J308" s="645"/>
      <c r="K308" s="645"/>
      <c r="L308" s="645"/>
      <c r="M308" s="645"/>
      <c r="N308" s="644"/>
      <c r="O308" s="644"/>
      <c r="P308" s="644"/>
      <c r="Q308" s="621"/>
      <c r="R308" s="644"/>
      <c r="S308" s="640"/>
    </row>
    <row r="309" spans="3:19" s="646" customFormat="1" x14ac:dyDescent="0.35">
      <c r="C309" s="643"/>
      <c r="D309" s="621"/>
      <c r="E309" s="644"/>
      <c r="F309" s="644"/>
      <c r="G309" s="644"/>
      <c r="H309" s="644"/>
      <c r="I309" s="644"/>
      <c r="J309" s="645"/>
      <c r="K309" s="645"/>
      <c r="L309" s="645"/>
      <c r="M309" s="645"/>
      <c r="N309" s="644"/>
      <c r="O309" s="644"/>
      <c r="P309" s="644"/>
      <c r="Q309" s="621"/>
      <c r="R309" s="644"/>
      <c r="S309" s="640"/>
    </row>
    <row r="310" spans="3:19" s="646" customFormat="1" x14ac:dyDescent="0.35">
      <c r="C310" s="643"/>
      <c r="D310" s="621"/>
      <c r="E310" s="644"/>
      <c r="F310" s="644"/>
      <c r="G310" s="644"/>
      <c r="H310" s="644"/>
      <c r="I310" s="644"/>
      <c r="J310" s="645"/>
      <c r="K310" s="645"/>
      <c r="L310" s="645"/>
      <c r="M310" s="645"/>
      <c r="N310" s="644"/>
      <c r="O310" s="644"/>
      <c r="P310" s="644"/>
      <c r="Q310" s="621"/>
      <c r="R310" s="644"/>
      <c r="S310" s="640"/>
    </row>
    <row r="311" spans="3:19" s="646" customFormat="1" x14ac:dyDescent="0.35">
      <c r="C311" s="643"/>
      <c r="D311" s="621"/>
      <c r="E311" s="644"/>
      <c r="F311" s="644"/>
      <c r="G311" s="644"/>
      <c r="H311" s="644"/>
      <c r="I311" s="644"/>
      <c r="J311" s="645"/>
      <c r="K311" s="645"/>
      <c r="L311" s="645"/>
      <c r="M311" s="645"/>
      <c r="N311" s="644"/>
      <c r="O311" s="644"/>
      <c r="P311" s="644"/>
      <c r="Q311" s="621"/>
      <c r="R311" s="644"/>
      <c r="S311" s="640"/>
    </row>
    <row r="312" spans="3:19" s="646" customFormat="1" x14ac:dyDescent="0.35">
      <c r="C312" s="643"/>
      <c r="D312" s="621"/>
      <c r="E312" s="644"/>
      <c r="F312" s="644"/>
      <c r="G312" s="644"/>
      <c r="H312" s="644"/>
      <c r="I312" s="644"/>
      <c r="J312" s="645"/>
      <c r="K312" s="645"/>
      <c r="L312" s="645"/>
      <c r="M312" s="645"/>
      <c r="N312" s="644"/>
      <c r="O312" s="644"/>
      <c r="P312" s="644"/>
      <c r="Q312" s="621"/>
      <c r="R312" s="644"/>
      <c r="S312" s="640"/>
    </row>
    <row r="313" spans="3:19" s="646" customFormat="1" x14ac:dyDescent="0.35">
      <c r="C313" s="643"/>
      <c r="D313" s="621"/>
      <c r="E313" s="644"/>
      <c r="F313" s="644"/>
      <c r="G313" s="644"/>
      <c r="H313" s="644"/>
      <c r="I313" s="644"/>
      <c r="J313" s="645"/>
      <c r="K313" s="645"/>
      <c r="L313" s="645"/>
      <c r="M313" s="645"/>
      <c r="N313" s="644"/>
      <c r="O313" s="644"/>
      <c r="P313" s="644"/>
      <c r="Q313" s="621"/>
      <c r="R313" s="644"/>
      <c r="S313" s="640"/>
    </row>
    <row r="314" spans="3:19" s="646" customFormat="1" x14ac:dyDescent="0.35">
      <c r="C314" s="643"/>
      <c r="D314" s="621"/>
      <c r="E314" s="644"/>
      <c r="F314" s="644"/>
      <c r="G314" s="644"/>
      <c r="H314" s="644"/>
      <c r="I314" s="644"/>
      <c r="J314" s="645"/>
      <c r="K314" s="645"/>
      <c r="L314" s="645"/>
      <c r="M314" s="645"/>
      <c r="N314" s="644"/>
      <c r="O314" s="644"/>
      <c r="P314" s="644"/>
      <c r="Q314" s="621"/>
      <c r="R314" s="644"/>
      <c r="S314" s="640"/>
    </row>
    <row r="315" spans="3:19" s="646" customFormat="1" x14ac:dyDescent="0.35">
      <c r="C315" s="643"/>
      <c r="D315" s="621"/>
      <c r="E315" s="644"/>
      <c r="F315" s="644"/>
      <c r="G315" s="644"/>
      <c r="H315" s="644"/>
      <c r="I315" s="644"/>
      <c r="J315" s="645"/>
      <c r="K315" s="645"/>
      <c r="L315" s="645"/>
      <c r="M315" s="645"/>
      <c r="N315" s="644"/>
      <c r="O315" s="644"/>
      <c r="P315" s="644"/>
      <c r="Q315" s="621"/>
      <c r="R315" s="644"/>
      <c r="S315" s="640"/>
    </row>
    <row r="316" spans="3:19" s="646" customFormat="1" x14ac:dyDescent="0.35">
      <c r="C316" s="643"/>
      <c r="D316" s="621"/>
      <c r="E316" s="644"/>
      <c r="F316" s="644"/>
      <c r="G316" s="644"/>
      <c r="H316" s="644"/>
      <c r="I316" s="644"/>
      <c r="J316" s="645"/>
      <c r="K316" s="645"/>
      <c r="L316" s="645"/>
      <c r="M316" s="645"/>
      <c r="N316" s="644"/>
      <c r="O316" s="644"/>
      <c r="P316" s="644"/>
      <c r="Q316" s="621"/>
      <c r="R316" s="644"/>
      <c r="S316" s="640"/>
    </row>
    <row r="317" spans="3:19" s="646" customFormat="1" x14ac:dyDescent="0.35">
      <c r="C317" s="643"/>
      <c r="D317" s="621"/>
      <c r="E317" s="644"/>
      <c r="F317" s="644"/>
      <c r="G317" s="644"/>
      <c r="H317" s="644"/>
      <c r="I317" s="644"/>
      <c r="J317" s="645"/>
      <c r="K317" s="645"/>
      <c r="L317" s="645"/>
      <c r="M317" s="645"/>
      <c r="N317" s="644"/>
      <c r="O317" s="644"/>
      <c r="P317" s="644"/>
      <c r="Q317" s="621"/>
      <c r="R317" s="644"/>
      <c r="S317" s="640"/>
    </row>
    <row r="318" spans="3:19" s="646" customFormat="1" x14ac:dyDescent="0.35">
      <c r="C318" s="643"/>
      <c r="D318" s="621"/>
      <c r="E318" s="644"/>
      <c r="F318" s="644"/>
      <c r="G318" s="644"/>
      <c r="H318" s="644"/>
      <c r="I318" s="644"/>
      <c r="J318" s="645"/>
      <c r="K318" s="645"/>
      <c r="L318" s="645"/>
      <c r="M318" s="645"/>
      <c r="N318" s="644"/>
      <c r="O318" s="644"/>
      <c r="P318" s="644"/>
      <c r="Q318" s="621"/>
      <c r="R318" s="644"/>
      <c r="S318" s="640"/>
    </row>
    <row r="319" spans="3:19" s="646" customFormat="1" x14ac:dyDescent="0.35">
      <c r="C319" s="643"/>
      <c r="D319" s="621"/>
      <c r="E319" s="644"/>
      <c r="F319" s="644"/>
      <c r="G319" s="644"/>
      <c r="H319" s="644"/>
      <c r="I319" s="644"/>
      <c r="J319" s="645"/>
      <c r="K319" s="645"/>
      <c r="L319" s="645"/>
      <c r="M319" s="645"/>
      <c r="N319" s="644"/>
      <c r="O319" s="644"/>
      <c r="P319" s="644"/>
      <c r="Q319" s="621"/>
      <c r="R319" s="644"/>
      <c r="S319" s="640"/>
    </row>
    <row r="320" spans="3:19" s="646" customFormat="1" x14ac:dyDescent="0.35">
      <c r="C320" s="643"/>
      <c r="D320" s="621"/>
      <c r="E320" s="644"/>
      <c r="F320" s="644"/>
      <c r="G320" s="644"/>
      <c r="H320" s="644"/>
      <c r="I320" s="644"/>
      <c r="J320" s="645"/>
      <c r="K320" s="645"/>
      <c r="L320" s="645"/>
      <c r="M320" s="645"/>
      <c r="N320" s="644"/>
      <c r="O320" s="644"/>
      <c r="P320" s="644"/>
      <c r="Q320" s="621"/>
      <c r="R320" s="644"/>
      <c r="S320" s="640"/>
    </row>
    <row r="321" spans="3:19" s="646" customFormat="1" x14ac:dyDescent="0.35">
      <c r="C321" s="643"/>
      <c r="D321" s="621"/>
      <c r="E321" s="644"/>
      <c r="F321" s="644"/>
      <c r="G321" s="644"/>
      <c r="H321" s="644"/>
      <c r="I321" s="644"/>
      <c r="J321" s="645"/>
      <c r="K321" s="645"/>
      <c r="L321" s="645"/>
      <c r="M321" s="645"/>
      <c r="N321" s="644"/>
      <c r="O321" s="644"/>
      <c r="P321" s="644"/>
      <c r="Q321" s="621"/>
      <c r="R321" s="644"/>
      <c r="S321" s="640"/>
    </row>
    <row r="322" spans="3:19" s="646" customFormat="1" x14ac:dyDescent="0.35">
      <c r="C322" s="643"/>
      <c r="D322" s="621"/>
      <c r="E322" s="644"/>
      <c r="F322" s="644"/>
      <c r="G322" s="644"/>
      <c r="H322" s="644"/>
      <c r="I322" s="644"/>
      <c r="J322" s="645"/>
      <c r="K322" s="645"/>
      <c r="L322" s="645"/>
      <c r="M322" s="645"/>
      <c r="N322" s="644"/>
      <c r="O322" s="644"/>
      <c r="P322" s="644"/>
      <c r="Q322" s="621"/>
      <c r="R322" s="644"/>
      <c r="S322" s="640"/>
    </row>
    <row r="323" spans="3:19" s="646" customFormat="1" x14ac:dyDescent="0.35">
      <c r="C323" s="643"/>
      <c r="D323" s="621"/>
      <c r="E323" s="644"/>
      <c r="F323" s="644"/>
      <c r="G323" s="644"/>
      <c r="H323" s="644"/>
      <c r="I323" s="644"/>
      <c r="J323" s="645"/>
      <c r="K323" s="645"/>
      <c r="L323" s="645"/>
      <c r="M323" s="645"/>
      <c r="N323" s="644"/>
      <c r="O323" s="644"/>
      <c r="P323" s="644"/>
      <c r="Q323" s="621"/>
      <c r="R323" s="644"/>
      <c r="S323" s="640"/>
    </row>
    <row r="324" spans="3:19" s="646" customFormat="1" x14ac:dyDescent="0.35">
      <c r="C324" s="643"/>
      <c r="D324" s="621"/>
      <c r="E324" s="644"/>
      <c r="F324" s="644"/>
      <c r="G324" s="644"/>
      <c r="H324" s="644"/>
      <c r="I324" s="644"/>
      <c r="J324" s="645"/>
      <c r="K324" s="645"/>
      <c r="L324" s="645"/>
      <c r="M324" s="645"/>
      <c r="N324" s="644"/>
      <c r="O324" s="644"/>
      <c r="P324" s="644"/>
      <c r="Q324" s="621"/>
      <c r="R324" s="644"/>
      <c r="S324" s="640"/>
    </row>
    <row r="325" spans="3:19" s="646" customFormat="1" x14ac:dyDescent="0.35">
      <c r="C325" s="643"/>
      <c r="D325" s="621"/>
      <c r="E325" s="644"/>
      <c r="F325" s="644"/>
      <c r="G325" s="644"/>
      <c r="H325" s="644"/>
      <c r="I325" s="644"/>
      <c r="J325" s="645"/>
      <c r="K325" s="645"/>
      <c r="L325" s="645"/>
      <c r="M325" s="645"/>
      <c r="N325" s="644"/>
      <c r="O325" s="644"/>
      <c r="P325" s="644"/>
      <c r="Q325" s="621"/>
      <c r="R325" s="644"/>
      <c r="S325" s="640"/>
    </row>
    <row r="326" spans="3:19" s="646" customFormat="1" x14ac:dyDescent="0.35">
      <c r="C326" s="643"/>
      <c r="D326" s="621"/>
      <c r="E326" s="644"/>
      <c r="F326" s="644"/>
      <c r="G326" s="644"/>
      <c r="H326" s="644"/>
      <c r="I326" s="644"/>
      <c r="J326" s="645"/>
      <c r="K326" s="645"/>
      <c r="L326" s="645"/>
      <c r="M326" s="645"/>
      <c r="N326" s="644"/>
      <c r="O326" s="644"/>
      <c r="P326" s="644"/>
      <c r="Q326" s="621"/>
      <c r="R326" s="644"/>
      <c r="S326" s="640"/>
    </row>
    <row r="327" spans="3:19" s="646" customFormat="1" x14ac:dyDescent="0.35">
      <c r="C327" s="643"/>
      <c r="D327" s="621"/>
      <c r="E327" s="644"/>
      <c r="F327" s="644"/>
      <c r="G327" s="644"/>
      <c r="H327" s="644"/>
      <c r="I327" s="644"/>
      <c r="J327" s="645"/>
      <c r="K327" s="645"/>
      <c r="L327" s="645"/>
      <c r="M327" s="645"/>
      <c r="N327" s="644"/>
      <c r="O327" s="644"/>
      <c r="P327" s="644"/>
      <c r="Q327" s="621"/>
      <c r="R327" s="644"/>
      <c r="S327" s="640"/>
    </row>
    <row r="328" spans="3:19" s="646" customFormat="1" x14ac:dyDescent="0.35">
      <c r="C328" s="643"/>
      <c r="D328" s="621"/>
      <c r="E328" s="644"/>
      <c r="F328" s="644"/>
      <c r="G328" s="644"/>
      <c r="H328" s="644"/>
      <c r="I328" s="644"/>
      <c r="J328" s="645"/>
      <c r="K328" s="645"/>
      <c r="L328" s="645"/>
      <c r="M328" s="645"/>
      <c r="N328" s="644"/>
      <c r="O328" s="644"/>
      <c r="P328" s="644"/>
      <c r="Q328" s="621"/>
      <c r="R328" s="644"/>
      <c r="S328" s="640"/>
    </row>
    <row r="329" spans="3:19" s="646" customFormat="1" x14ac:dyDescent="0.35">
      <c r="C329" s="643"/>
      <c r="D329" s="621"/>
      <c r="E329" s="644"/>
      <c r="F329" s="644"/>
      <c r="G329" s="644"/>
      <c r="H329" s="644"/>
      <c r="I329" s="644"/>
      <c r="J329" s="645"/>
      <c r="K329" s="645"/>
      <c r="L329" s="645"/>
      <c r="M329" s="645"/>
      <c r="N329" s="644"/>
      <c r="O329" s="644"/>
      <c r="P329" s="644"/>
      <c r="Q329" s="621"/>
      <c r="R329" s="644"/>
      <c r="S329" s="640"/>
    </row>
    <row r="330" spans="3:19" s="646" customFormat="1" x14ac:dyDescent="0.35">
      <c r="C330" s="643"/>
      <c r="D330" s="621"/>
      <c r="E330" s="644"/>
      <c r="F330" s="644"/>
      <c r="G330" s="644"/>
      <c r="H330" s="644"/>
      <c r="I330" s="644"/>
      <c r="J330" s="645"/>
      <c r="K330" s="645"/>
      <c r="L330" s="645"/>
      <c r="M330" s="645"/>
      <c r="N330" s="644"/>
      <c r="O330" s="644"/>
      <c r="P330" s="644"/>
      <c r="Q330" s="621"/>
      <c r="R330" s="644"/>
      <c r="S330" s="640"/>
    </row>
    <row r="331" spans="3:19" s="646" customFormat="1" x14ac:dyDescent="0.35">
      <c r="C331" s="643"/>
      <c r="D331" s="621"/>
      <c r="E331" s="644"/>
      <c r="F331" s="644"/>
      <c r="G331" s="644"/>
      <c r="H331" s="644"/>
      <c r="I331" s="644"/>
      <c r="J331" s="645"/>
      <c r="K331" s="645"/>
      <c r="L331" s="645"/>
      <c r="M331" s="645"/>
      <c r="N331" s="644"/>
      <c r="O331" s="644"/>
      <c r="P331" s="644"/>
      <c r="Q331" s="621"/>
      <c r="R331" s="644"/>
      <c r="S331" s="640"/>
    </row>
    <row r="332" spans="3:19" s="646" customFormat="1" x14ac:dyDescent="0.35">
      <c r="C332" s="643"/>
      <c r="D332" s="621"/>
      <c r="E332" s="644"/>
      <c r="F332" s="644"/>
      <c r="G332" s="644"/>
      <c r="H332" s="644"/>
      <c r="I332" s="644"/>
      <c r="J332" s="645"/>
      <c r="K332" s="645"/>
      <c r="L332" s="645"/>
      <c r="M332" s="645"/>
      <c r="N332" s="644"/>
      <c r="O332" s="644"/>
      <c r="P332" s="644"/>
      <c r="Q332" s="621"/>
      <c r="R332" s="644"/>
      <c r="S332" s="640"/>
    </row>
    <row r="333" spans="3:19" s="646" customFormat="1" x14ac:dyDescent="0.35">
      <c r="C333" s="643"/>
      <c r="D333" s="621"/>
      <c r="E333" s="644"/>
      <c r="F333" s="644"/>
      <c r="G333" s="644"/>
      <c r="H333" s="644"/>
      <c r="I333" s="644"/>
      <c r="J333" s="645"/>
      <c r="K333" s="645"/>
      <c r="L333" s="645"/>
      <c r="M333" s="645"/>
      <c r="N333" s="644"/>
      <c r="O333" s="644"/>
      <c r="P333" s="644"/>
      <c r="Q333" s="621"/>
      <c r="R333" s="644"/>
      <c r="S333" s="640"/>
    </row>
    <row r="334" spans="3:19" s="646" customFormat="1" x14ac:dyDescent="0.35">
      <c r="C334" s="643"/>
      <c r="D334" s="621"/>
      <c r="E334" s="644"/>
      <c r="F334" s="644"/>
      <c r="G334" s="644"/>
      <c r="H334" s="644"/>
      <c r="I334" s="644"/>
      <c r="J334" s="645"/>
      <c r="K334" s="645"/>
      <c r="L334" s="645"/>
      <c r="M334" s="645"/>
      <c r="N334" s="644"/>
      <c r="O334" s="644"/>
      <c r="P334" s="644"/>
      <c r="Q334" s="621"/>
      <c r="R334" s="644"/>
      <c r="S334" s="640"/>
    </row>
    <row r="335" spans="3:19" s="646" customFormat="1" x14ac:dyDescent="0.35">
      <c r="C335" s="643"/>
      <c r="D335" s="621"/>
      <c r="E335" s="644"/>
      <c r="F335" s="644"/>
      <c r="G335" s="644"/>
      <c r="H335" s="644"/>
      <c r="I335" s="644"/>
      <c r="J335" s="645"/>
      <c r="K335" s="645"/>
      <c r="L335" s="645"/>
      <c r="M335" s="645"/>
      <c r="N335" s="644"/>
      <c r="O335" s="644"/>
      <c r="P335" s="644"/>
      <c r="Q335" s="621"/>
      <c r="R335" s="644"/>
      <c r="S335" s="640"/>
    </row>
    <row r="336" spans="3:19" s="646" customFormat="1" x14ac:dyDescent="0.35">
      <c r="C336" s="643"/>
      <c r="D336" s="621"/>
      <c r="E336" s="644"/>
      <c r="F336" s="644"/>
      <c r="G336" s="644"/>
      <c r="H336" s="644"/>
      <c r="I336" s="644"/>
      <c r="J336" s="645"/>
      <c r="K336" s="645"/>
      <c r="L336" s="645"/>
      <c r="M336" s="645"/>
      <c r="N336" s="644"/>
      <c r="O336" s="644"/>
      <c r="P336" s="644"/>
      <c r="Q336" s="621"/>
      <c r="R336" s="644"/>
      <c r="S336" s="640"/>
    </row>
    <row r="337" spans="3:19" s="646" customFormat="1" x14ac:dyDescent="0.35">
      <c r="C337" s="643"/>
      <c r="D337" s="621"/>
      <c r="E337" s="644"/>
      <c r="F337" s="644"/>
      <c r="G337" s="644"/>
      <c r="H337" s="644"/>
      <c r="I337" s="644"/>
      <c r="J337" s="645"/>
      <c r="K337" s="645"/>
      <c r="L337" s="645"/>
      <c r="M337" s="645"/>
      <c r="N337" s="644"/>
      <c r="O337" s="644"/>
      <c r="P337" s="644"/>
      <c r="Q337" s="621"/>
      <c r="R337" s="644"/>
      <c r="S337" s="640"/>
    </row>
    <row r="338" spans="3:19" s="646" customFormat="1" x14ac:dyDescent="0.35">
      <c r="C338" s="643"/>
      <c r="D338" s="621"/>
      <c r="E338" s="644"/>
      <c r="F338" s="644"/>
      <c r="G338" s="644"/>
      <c r="H338" s="644"/>
      <c r="I338" s="644"/>
      <c r="J338" s="645"/>
      <c r="K338" s="645"/>
      <c r="L338" s="645"/>
      <c r="M338" s="645"/>
      <c r="N338" s="644"/>
      <c r="O338" s="644"/>
      <c r="P338" s="644"/>
      <c r="Q338" s="621"/>
      <c r="R338" s="644"/>
      <c r="S338" s="640"/>
    </row>
    <row r="339" spans="3:19" s="646" customFormat="1" x14ac:dyDescent="0.35">
      <c r="C339" s="643"/>
      <c r="D339" s="621"/>
      <c r="E339" s="644"/>
      <c r="F339" s="644"/>
      <c r="G339" s="644"/>
      <c r="H339" s="644"/>
      <c r="I339" s="644"/>
      <c r="J339" s="645"/>
      <c r="K339" s="645"/>
      <c r="L339" s="645"/>
      <c r="M339" s="645"/>
      <c r="N339" s="644"/>
      <c r="O339" s="644"/>
      <c r="P339" s="644"/>
      <c r="Q339" s="621"/>
      <c r="R339" s="644"/>
      <c r="S339" s="640"/>
    </row>
    <row r="340" spans="3:19" s="646" customFormat="1" x14ac:dyDescent="0.35">
      <c r="C340" s="643"/>
      <c r="D340" s="621"/>
      <c r="E340" s="644"/>
      <c r="F340" s="644"/>
      <c r="G340" s="644"/>
      <c r="H340" s="644"/>
      <c r="I340" s="644"/>
      <c r="J340" s="645"/>
      <c r="K340" s="645"/>
      <c r="L340" s="645"/>
      <c r="M340" s="645"/>
      <c r="N340" s="644"/>
      <c r="O340" s="644"/>
      <c r="P340" s="644"/>
      <c r="Q340" s="621"/>
      <c r="R340" s="644"/>
      <c r="S340" s="640"/>
    </row>
    <row r="341" spans="3:19" s="646" customFormat="1" x14ac:dyDescent="0.35">
      <c r="C341" s="643"/>
      <c r="D341" s="621"/>
      <c r="E341" s="644"/>
      <c r="F341" s="644"/>
      <c r="G341" s="644"/>
      <c r="H341" s="644"/>
      <c r="I341" s="644"/>
      <c r="J341" s="645"/>
      <c r="K341" s="645"/>
      <c r="L341" s="645"/>
      <c r="M341" s="645"/>
      <c r="N341" s="644"/>
      <c r="O341" s="644"/>
      <c r="P341" s="644"/>
      <c r="Q341" s="621"/>
      <c r="R341" s="644"/>
      <c r="S341" s="640"/>
    </row>
    <row r="342" spans="3:19" s="646" customFormat="1" x14ac:dyDescent="0.35">
      <c r="C342" s="643"/>
      <c r="D342" s="621"/>
      <c r="E342" s="644"/>
      <c r="F342" s="644"/>
      <c r="G342" s="644"/>
      <c r="H342" s="644"/>
      <c r="I342" s="644"/>
      <c r="J342" s="645"/>
      <c r="K342" s="645"/>
      <c r="L342" s="645"/>
      <c r="M342" s="645"/>
      <c r="N342" s="644"/>
      <c r="O342" s="644"/>
      <c r="P342" s="644"/>
      <c r="Q342" s="621"/>
      <c r="R342" s="644"/>
      <c r="S342" s="640"/>
    </row>
    <row r="343" spans="3:19" s="646" customFormat="1" x14ac:dyDescent="0.35">
      <c r="C343" s="643"/>
      <c r="D343" s="621"/>
      <c r="E343" s="644"/>
      <c r="F343" s="644"/>
      <c r="G343" s="644"/>
      <c r="H343" s="644"/>
      <c r="I343" s="644"/>
      <c r="J343" s="645"/>
      <c r="K343" s="645"/>
      <c r="L343" s="645"/>
      <c r="M343" s="645"/>
      <c r="N343" s="644"/>
      <c r="O343" s="644"/>
      <c r="P343" s="644"/>
      <c r="Q343" s="621"/>
      <c r="R343" s="644"/>
      <c r="S343" s="640"/>
    </row>
    <row r="344" spans="3:19" s="646" customFormat="1" x14ac:dyDescent="0.35">
      <c r="C344" s="643"/>
      <c r="D344" s="621"/>
      <c r="E344" s="644"/>
      <c r="F344" s="644"/>
      <c r="G344" s="644"/>
      <c r="H344" s="644"/>
      <c r="I344" s="644"/>
      <c r="J344" s="645"/>
      <c r="K344" s="645"/>
      <c r="L344" s="645"/>
      <c r="M344" s="645"/>
      <c r="N344" s="644"/>
      <c r="O344" s="644"/>
      <c r="P344" s="644"/>
      <c r="Q344" s="621"/>
      <c r="R344" s="644"/>
      <c r="S344" s="640"/>
    </row>
    <row r="345" spans="3:19" s="646" customFormat="1" x14ac:dyDescent="0.35">
      <c r="C345" s="643"/>
      <c r="D345" s="621"/>
      <c r="E345" s="644"/>
      <c r="F345" s="644"/>
      <c r="G345" s="644"/>
      <c r="H345" s="644"/>
      <c r="I345" s="644"/>
      <c r="J345" s="645"/>
      <c r="K345" s="645"/>
      <c r="L345" s="645"/>
      <c r="M345" s="645"/>
      <c r="N345" s="644"/>
      <c r="O345" s="644"/>
      <c r="P345" s="644"/>
      <c r="Q345" s="621"/>
      <c r="R345" s="644"/>
      <c r="S345" s="640"/>
    </row>
    <row r="346" spans="3:19" s="646" customFormat="1" x14ac:dyDescent="0.35">
      <c r="C346" s="643"/>
      <c r="D346" s="621"/>
      <c r="E346" s="644"/>
      <c r="F346" s="644"/>
      <c r="G346" s="644"/>
      <c r="H346" s="644"/>
      <c r="I346" s="644"/>
      <c r="J346" s="645"/>
      <c r="K346" s="645"/>
      <c r="L346" s="645"/>
      <c r="M346" s="645"/>
      <c r="N346" s="644"/>
      <c r="O346" s="644"/>
      <c r="P346" s="644"/>
      <c r="Q346" s="621"/>
      <c r="R346" s="644"/>
      <c r="S346" s="640"/>
    </row>
    <row r="347" spans="3:19" s="646" customFormat="1" x14ac:dyDescent="0.35">
      <c r="C347" s="643"/>
      <c r="D347" s="621"/>
      <c r="E347" s="644"/>
      <c r="F347" s="644"/>
      <c r="G347" s="644"/>
      <c r="H347" s="644"/>
      <c r="I347" s="644"/>
      <c r="J347" s="645"/>
      <c r="K347" s="645"/>
      <c r="L347" s="645"/>
      <c r="M347" s="645"/>
      <c r="N347" s="644"/>
      <c r="O347" s="644"/>
      <c r="P347" s="644"/>
      <c r="Q347" s="621"/>
      <c r="R347" s="644"/>
      <c r="S347" s="640"/>
    </row>
    <row r="348" spans="3:19" s="646" customFormat="1" x14ac:dyDescent="0.35">
      <c r="C348" s="643"/>
      <c r="D348" s="621"/>
      <c r="E348" s="644"/>
      <c r="F348" s="644"/>
      <c r="G348" s="644"/>
      <c r="H348" s="644"/>
      <c r="I348" s="644"/>
      <c r="J348" s="645"/>
      <c r="K348" s="645"/>
      <c r="L348" s="645"/>
      <c r="M348" s="645"/>
      <c r="N348" s="644"/>
      <c r="O348" s="644"/>
      <c r="P348" s="644"/>
      <c r="Q348" s="621"/>
      <c r="R348" s="644"/>
      <c r="S348" s="640"/>
    </row>
    <row r="349" spans="3:19" s="646" customFormat="1" x14ac:dyDescent="0.35">
      <c r="C349" s="643"/>
      <c r="D349" s="621"/>
      <c r="E349" s="644"/>
      <c r="F349" s="644"/>
      <c r="G349" s="644"/>
      <c r="H349" s="644"/>
      <c r="I349" s="644"/>
      <c r="J349" s="645"/>
      <c r="K349" s="645"/>
      <c r="L349" s="645"/>
      <c r="M349" s="645"/>
      <c r="N349" s="644"/>
      <c r="O349" s="644"/>
      <c r="P349" s="644"/>
      <c r="Q349" s="621"/>
      <c r="R349" s="644"/>
      <c r="S349" s="640"/>
    </row>
    <row r="350" spans="3:19" s="646" customFormat="1" x14ac:dyDescent="0.35">
      <c r="C350" s="643"/>
      <c r="D350" s="621"/>
      <c r="E350" s="644"/>
      <c r="F350" s="644"/>
      <c r="G350" s="644"/>
      <c r="H350" s="644"/>
      <c r="I350" s="644"/>
      <c r="J350" s="645"/>
      <c r="K350" s="645"/>
      <c r="L350" s="645"/>
      <c r="M350" s="645"/>
      <c r="N350" s="644"/>
      <c r="O350" s="644"/>
      <c r="P350" s="644"/>
      <c r="Q350" s="621"/>
      <c r="R350" s="644"/>
      <c r="S350" s="640"/>
    </row>
    <row r="351" spans="3:19" s="646" customFormat="1" x14ac:dyDescent="0.35">
      <c r="C351" s="643"/>
      <c r="D351" s="621"/>
      <c r="E351" s="644"/>
      <c r="F351" s="644"/>
      <c r="G351" s="644"/>
      <c r="H351" s="644"/>
      <c r="I351" s="644"/>
      <c r="J351" s="645"/>
      <c r="K351" s="645"/>
      <c r="L351" s="645"/>
      <c r="M351" s="645"/>
      <c r="N351" s="644"/>
      <c r="O351" s="644"/>
      <c r="P351" s="644"/>
      <c r="Q351" s="621"/>
      <c r="R351" s="644"/>
      <c r="S351" s="640"/>
    </row>
    <row r="352" spans="3:19" s="646" customFormat="1" x14ac:dyDescent="0.35">
      <c r="C352" s="643"/>
      <c r="D352" s="621"/>
      <c r="E352" s="644"/>
      <c r="F352" s="644"/>
      <c r="G352" s="644"/>
      <c r="H352" s="644"/>
      <c r="I352" s="644"/>
      <c r="J352" s="645"/>
      <c r="K352" s="645"/>
      <c r="L352" s="645"/>
      <c r="M352" s="645"/>
      <c r="N352" s="644"/>
      <c r="O352" s="644"/>
      <c r="P352" s="644"/>
      <c r="Q352" s="621"/>
      <c r="R352" s="644"/>
      <c r="S352" s="640"/>
    </row>
    <row r="353" spans="3:19" s="646" customFormat="1" x14ac:dyDescent="0.35">
      <c r="C353" s="643"/>
      <c r="D353" s="621"/>
      <c r="E353" s="644"/>
      <c r="F353" s="644"/>
      <c r="G353" s="644"/>
      <c r="H353" s="644"/>
      <c r="I353" s="644"/>
      <c r="J353" s="645"/>
      <c r="K353" s="645"/>
      <c r="L353" s="645"/>
      <c r="M353" s="645"/>
      <c r="N353" s="644"/>
      <c r="O353" s="644"/>
      <c r="P353" s="644"/>
      <c r="Q353" s="621"/>
      <c r="R353" s="644"/>
      <c r="S353" s="640"/>
    </row>
    <row r="354" spans="3:19" s="646" customFormat="1" x14ac:dyDescent="0.35">
      <c r="C354" s="643"/>
      <c r="D354" s="621"/>
      <c r="E354" s="644"/>
      <c r="F354" s="644"/>
      <c r="G354" s="644"/>
      <c r="H354" s="644"/>
      <c r="I354" s="644"/>
      <c r="J354" s="645"/>
      <c r="K354" s="645"/>
      <c r="L354" s="645"/>
      <c r="M354" s="645"/>
      <c r="N354" s="644"/>
      <c r="O354" s="644"/>
      <c r="P354" s="644"/>
      <c r="Q354" s="621"/>
      <c r="R354" s="644"/>
      <c r="S354" s="640"/>
    </row>
    <row r="355" spans="3:19" s="646" customFormat="1" x14ac:dyDescent="0.35">
      <c r="C355" s="643"/>
      <c r="D355" s="621"/>
      <c r="E355" s="644"/>
      <c r="F355" s="644"/>
      <c r="G355" s="644"/>
      <c r="H355" s="644"/>
      <c r="I355" s="644"/>
      <c r="J355" s="645"/>
      <c r="K355" s="645"/>
      <c r="L355" s="645"/>
      <c r="M355" s="645"/>
      <c r="N355" s="644"/>
      <c r="O355" s="644"/>
      <c r="P355" s="644"/>
      <c r="Q355" s="621"/>
      <c r="R355" s="644"/>
      <c r="S355" s="640"/>
    </row>
    <row r="356" spans="3:19" s="646" customFormat="1" x14ac:dyDescent="0.35">
      <c r="C356" s="643"/>
      <c r="D356" s="621"/>
      <c r="E356" s="644"/>
      <c r="F356" s="644"/>
      <c r="G356" s="644"/>
      <c r="H356" s="644"/>
      <c r="I356" s="644"/>
      <c r="J356" s="645"/>
      <c r="K356" s="645"/>
      <c r="L356" s="645"/>
      <c r="M356" s="645"/>
      <c r="N356" s="644"/>
      <c r="O356" s="644"/>
      <c r="P356" s="644"/>
      <c r="Q356" s="621"/>
      <c r="R356" s="644"/>
      <c r="S356" s="640"/>
    </row>
    <row r="357" spans="3:19" s="646" customFormat="1" x14ac:dyDescent="0.35">
      <c r="C357" s="643"/>
      <c r="D357" s="621"/>
      <c r="E357" s="644"/>
      <c r="F357" s="644"/>
      <c r="G357" s="644"/>
      <c r="H357" s="644"/>
      <c r="I357" s="644"/>
      <c r="J357" s="645"/>
      <c r="K357" s="645"/>
      <c r="L357" s="645"/>
      <c r="M357" s="645"/>
      <c r="N357" s="644"/>
      <c r="O357" s="644"/>
      <c r="P357" s="644"/>
      <c r="Q357" s="621"/>
      <c r="R357" s="644"/>
      <c r="S357" s="640"/>
    </row>
    <row r="358" spans="3:19" s="646" customFormat="1" x14ac:dyDescent="0.35">
      <c r="C358" s="643"/>
      <c r="D358" s="621"/>
      <c r="E358" s="644"/>
      <c r="F358" s="644"/>
      <c r="G358" s="644"/>
      <c r="H358" s="644"/>
      <c r="I358" s="644"/>
      <c r="J358" s="645"/>
      <c r="K358" s="645"/>
      <c r="L358" s="645"/>
      <c r="M358" s="645"/>
      <c r="N358" s="644"/>
      <c r="O358" s="644"/>
      <c r="P358" s="644"/>
      <c r="Q358" s="621"/>
      <c r="R358" s="644"/>
      <c r="S358" s="640"/>
    </row>
    <row r="359" spans="3:19" s="646" customFormat="1" x14ac:dyDescent="0.35">
      <c r="C359" s="643"/>
      <c r="D359" s="621"/>
      <c r="E359" s="644"/>
      <c r="F359" s="644"/>
      <c r="G359" s="644"/>
      <c r="H359" s="644"/>
      <c r="I359" s="644"/>
      <c r="J359" s="645"/>
      <c r="K359" s="645"/>
      <c r="L359" s="645"/>
      <c r="M359" s="645"/>
      <c r="N359" s="644"/>
      <c r="O359" s="644"/>
      <c r="P359" s="644"/>
      <c r="Q359" s="621"/>
      <c r="R359" s="644"/>
      <c r="S359" s="640"/>
    </row>
    <row r="360" spans="3:19" s="646" customFormat="1" x14ac:dyDescent="0.35">
      <c r="C360" s="643"/>
      <c r="D360" s="621"/>
      <c r="E360" s="644"/>
      <c r="F360" s="644"/>
      <c r="G360" s="644"/>
      <c r="H360" s="644"/>
      <c r="I360" s="644"/>
      <c r="J360" s="645"/>
      <c r="K360" s="645"/>
      <c r="L360" s="645"/>
      <c r="M360" s="645"/>
      <c r="N360" s="644"/>
      <c r="O360" s="644"/>
      <c r="P360" s="644"/>
      <c r="Q360" s="621"/>
      <c r="R360" s="644"/>
      <c r="S360" s="640"/>
    </row>
    <row r="361" spans="3:19" s="646" customFormat="1" x14ac:dyDescent="0.35">
      <c r="C361" s="643"/>
      <c r="D361" s="621"/>
      <c r="E361" s="644"/>
      <c r="F361" s="644"/>
      <c r="G361" s="644"/>
      <c r="H361" s="644"/>
      <c r="I361" s="644"/>
      <c r="J361" s="645"/>
      <c r="K361" s="645"/>
      <c r="L361" s="645"/>
      <c r="M361" s="645"/>
      <c r="N361" s="644"/>
      <c r="O361" s="644"/>
      <c r="P361" s="644"/>
      <c r="Q361" s="621"/>
      <c r="R361" s="644"/>
      <c r="S361" s="640"/>
    </row>
    <row r="362" spans="3:19" s="646" customFormat="1" x14ac:dyDescent="0.35">
      <c r="C362" s="643"/>
      <c r="D362" s="621"/>
      <c r="E362" s="644"/>
      <c r="F362" s="644"/>
      <c r="G362" s="644"/>
      <c r="H362" s="644"/>
      <c r="I362" s="644"/>
      <c r="J362" s="645"/>
      <c r="K362" s="645"/>
      <c r="L362" s="645"/>
      <c r="M362" s="645"/>
      <c r="N362" s="644"/>
      <c r="O362" s="644"/>
      <c r="P362" s="644"/>
      <c r="Q362" s="621"/>
      <c r="R362" s="644"/>
      <c r="S362" s="640"/>
    </row>
    <row r="363" spans="3:19" s="646" customFormat="1" x14ac:dyDescent="0.35">
      <c r="C363" s="643"/>
      <c r="D363" s="621"/>
      <c r="E363" s="644"/>
      <c r="F363" s="644"/>
      <c r="G363" s="644"/>
      <c r="H363" s="644"/>
      <c r="I363" s="644"/>
      <c r="J363" s="645"/>
      <c r="K363" s="645"/>
      <c r="L363" s="645"/>
      <c r="M363" s="645"/>
      <c r="N363" s="644"/>
      <c r="O363" s="644"/>
      <c r="P363" s="644"/>
      <c r="Q363" s="621"/>
      <c r="R363" s="644"/>
      <c r="S363" s="640"/>
    </row>
    <row r="364" spans="3:19" s="646" customFormat="1" x14ac:dyDescent="0.35">
      <c r="C364" s="643"/>
      <c r="D364" s="621"/>
      <c r="E364" s="644"/>
      <c r="F364" s="644"/>
      <c r="G364" s="644"/>
      <c r="H364" s="644"/>
      <c r="I364" s="644"/>
      <c r="J364" s="645"/>
      <c r="K364" s="645"/>
      <c r="L364" s="645"/>
      <c r="M364" s="645"/>
      <c r="N364" s="644"/>
      <c r="O364" s="644"/>
      <c r="P364" s="644"/>
      <c r="Q364" s="621"/>
      <c r="R364" s="644"/>
      <c r="S364" s="640"/>
    </row>
    <row r="365" spans="3:19" s="646" customFormat="1" x14ac:dyDescent="0.35">
      <c r="C365" s="643"/>
      <c r="D365" s="621"/>
      <c r="E365" s="644"/>
      <c r="F365" s="644"/>
      <c r="G365" s="644"/>
      <c r="H365" s="644"/>
      <c r="I365" s="644"/>
      <c r="J365" s="645"/>
      <c r="K365" s="645"/>
      <c r="L365" s="645"/>
      <c r="M365" s="645"/>
      <c r="N365" s="644"/>
      <c r="O365" s="644"/>
      <c r="P365" s="644"/>
      <c r="Q365" s="621"/>
      <c r="R365" s="644"/>
      <c r="S365" s="640"/>
    </row>
    <row r="366" spans="3:19" s="646" customFormat="1" x14ac:dyDescent="0.35">
      <c r="C366" s="643"/>
      <c r="D366" s="621"/>
      <c r="E366" s="644"/>
      <c r="F366" s="644"/>
      <c r="G366" s="644"/>
      <c r="H366" s="644"/>
      <c r="I366" s="644"/>
      <c r="J366" s="645"/>
      <c r="K366" s="645"/>
      <c r="L366" s="645"/>
      <c r="M366" s="645"/>
      <c r="N366" s="644"/>
      <c r="O366" s="644"/>
      <c r="P366" s="644"/>
      <c r="Q366" s="621"/>
      <c r="R366" s="644"/>
      <c r="S366" s="640"/>
    </row>
    <row r="367" spans="3:19" s="646" customFormat="1" x14ac:dyDescent="0.35">
      <c r="C367" s="643"/>
      <c r="D367" s="621"/>
      <c r="E367" s="644"/>
      <c r="F367" s="644"/>
      <c r="G367" s="644"/>
      <c r="H367" s="644"/>
      <c r="I367" s="644"/>
      <c r="J367" s="645"/>
      <c r="K367" s="645"/>
      <c r="L367" s="645"/>
      <c r="M367" s="645"/>
      <c r="N367" s="644"/>
      <c r="O367" s="644"/>
      <c r="P367" s="644"/>
      <c r="Q367" s="621"/>
      <c r="R367" s="644"/>
      <c r="S367" s="640"/>
    </row>
    <row r="368" spans="3:19" s="646" customFormat="1" x14ac:dyDescent="0.35">
      <c r="C368" s="643"/>
      <c r="D368" s="621"/>
      <c r="E368" s="644"/>
      <c r="F368" s="644"/>
      <c r="G368" s="644"/>
      <c r="H368" s="644"/>
      <c r="I368" s="644"/>
      <c r="J368" s="645"/>
      <c r="K368" s="645"/>
      <c r="L368" s="645"/>
      <c r="M368" s="645"/>
      <c r="N368" s="644"/>
      <c r="O368" s="644"/>
      <c r="P368" s="644"/>
      <c r="Q368" s="621"/>
      <c r="R368" s="644"/>
      <c r="S368" s="640"/>
    </row>
    <row r="369" spans="3:19" s="646" customFormat="1" x14ac:dyDescent="0.35">
      <c r="C369" s="643"/>
      <c r="D369" s="621"/>
      <c r="E369" s="644"/>
      <c r="F369" s="644"/>
      <c r="G369" s="644"/>
      <c r="H369" s="644"/>
      <c r="I369" s="644"/>
      <c r="J369" s="645"/>
      <c r="K369" s="645"/>
      <c r="L369" s="645"/>
      <c r="M369" s="645"/>
      <c r="N369" s="644"/>
      <c r="O369" s="644"/>
      <c r="P369" s="644"/>
      <c r="Q369" s="621"/>
      <c r="R369" s="644"/>
      <c r="S369" s="640"/>
    </row>
    <row r="370" spans="3:19" s="646" customFormat="1" x14ac:dyDescent="0.35">
      <c r="C370" s="643"/>
      <c r="D370" s="621"/>
      <c r="E370" s="644"/>
      <c r="F370" s="644"/>
      <c r="G370" s="644"/>
      <c r="H370" s="644"/>
      <c r="I370" s="644"/>
      <c r="J370" s="645"/>
      <c r="K370" s="645"/>
      <c r="L370" s="645"/>
      <c r="M370" s="645"/>
      <c r="N370" s="644"/>
      <c r="O370" s="644"/>
      <c r="P370" s="644"/>
      <c r="Q370" s="621"/>
      <c r="R370" s="644"/>
      <c r="S370" s="640"/>
    </row>
    <row r="371" spans="3:19" s="646" customFormat="1" x14ac:dyDescent="0.35">
      <c r="C371" s="643"/>
      <c r="D371" s="621"/>
      <c r="E371" s="644"/>
      <c r="F371" s="644"/>
      <c r="G371" s="644"/>
      <c r="H371" s="644"/>
      <c r="I371" s="644"/>
      <c r="J371" s="645"/>
      <c r="K371" s="645"/>
      <c r="L371" s="645"/>
      <c r="M371" s="645"/>
      <c r="N371" s="644"/>
      <c r="O371" s="644"/>
      <c r="P371" s="644"/>
      <c r="Q371" s="621"/>
      <c r="R371" s="644"/>
      <c r="S371" s="640"/>
    </row>
    <row r="372" spans="3:19" s="646" customFormat="1" x14ac:dyDescent="0.35">
      <c r="C372" s="643"/>
      <c r="D372" s="621"/>
      <c r="E372" s="644"/>
      <c r="F372" s="644"/>
      <c r="G372" s="644"/>
      <c r="H372" s="644"/>
      <c r="I372" s="644"/>
      <c r="J372" s="645"/>
      <c r="K372" s="645"/>
      <c r="L372" s="645"/>
      <c r="M372" s="645"/>
      <c r="N372" s="644"/>
      <c r="O372" s="644"/>
      <c r="P372" s="644"/>
      <c r="Q372" s="621"/>
      <c r="R372" s="644"/>
      <c r="S372" s="640"/>
    </row>
    <row r="373" spans="3:19" s="646" customFormat="1" x14ac:dyDescent="0.35">
      <c r="C373" s="643"/>
      <c r="D373" s="621"/>
      <c r="E373" s="644"/>
      <c r="F373" s="644"/>
      <c r="G373" s="644"/>
      <c r="H373" s="644"/>
      <c r="I373" s="644"/>
      <c r="J373" s="645"/>
      <c r="K373" s="645"/>
      <c r="L373" s="645"/>
      <c r="M373" s="645"/>
      <c r="N373" s="644"/>
      <c r="O373" s="644"/>
      <c r="P373" s="644"/>
      <c r="Q373" s="621"/>
      <c r="R373" s="644"/>
      <c r="S373" s="640"/>
    </row>
    <row r="374" spans="3:19" s="646" customFormat="1" x14ac:dyDescent="0.35">
      <c r="C374" s="643"/>
      <c r="D374" s="621"/>
      <c r="E374" s="644"/>
      <c r="F374" s="644"/>
      <c r="G374" s="644"/>
      <c r="H374" s="644"/>
      <c r="I374" s="644"/>
      <c r="J374" s="645"/>
      <c r="K374" s="645"/>
      <c r="L374" s="645"/>
      <c r="M374" s="645"/>
      <c r="N374" s="644"/>
      <c r="O374" s="644"/>
      <c r="P374" s="644"/>
      <c r="Q374" s="621"/>
      <c r="R374" s="644"/>
      <c r="S374" s="640"/>
    </row>
    <row r="375" spans="3:19" s="646" customFormat="1" x14ac:dyDescent="0.35">
      <c r="C375" s="643"/>
      <c r="D375" s="621"/>
      <c r="E375" s="644"/>
      <c r="F375" s="644"/>
      <c r="G375" s="644"/>
      <c r="H375" s="644"/>
      <c r="I375" s="644"/>
      <c r="J375" s="645"/>
      <c r="K375" s="645"/>
      <c r="L375" s="645"/>
      <c r="M375" s="645"/>
      <c r="N375" s="644"/>
      <c r="O375" s="644"/>
      <c r="P375" s="644"/>
      <c r="Q375" s="621"/>
      <c r="R375" s="644"/>
      <c r="S375" s="640"/>
    </row>
    <row r="376" spans="3:19" s="646" customFormat="1" x14ac:dyDescent="0.35">
      <c r="C376" s="643"/>
      <c r="D376" s="621"/>
      <c r="E376" s="644"/>
      <c r="F376" s="644"/>
      <c r="G376" s="644"/>
      <c r="H376" s="644"/>
      <c r="I376" s="644"/>
      <c r="J376" s="645"/>
      <c r="K376" s="645"/>
      <c r="L376" s="645"/>
      <c r="M376" s="645"/>
      <c r="N376" s="644"/>
      <c r="O376" s="644"/>
      <c r="P376" s="644"/>
      <c r="Q376" s="621"/>
      <c r="R376" s="644"/>
      <c r="S376" s="640"/>
    </row>
    <row r="377" spans="3:19" s="646" customFormat="1" x14ac:dyDescent="0.35">
      <c r="C377" s="643"/>
      <c r="D377" s="621"/>
      <c r="E377" s="644"/>
      <c r="F377" s="644"/>
      <c r="G377" s="644"/>
      <c r="H377" s="644"/>
      <c r="I377" s="644"/>
      <c r="J377" s="645"/>
      <c r="K377" s="645"/>
      <c r="L377" s="645"/>
      <c r="M377" s="645"/>
      <c r="N377" s="644"/>
      <c r="O377" s="644"/>
      <c r="P377" s="644"/>
      <c r="Q377" s="621"/>
      <c r="R377" s="644"/>
      <c r="S377" s="640"/>
    </row>
    <row r="378" spans="3:19" s="646" customFormat="1" x14ac:dyDescent="0.35">
      <c r="C378" s="643"/>
      <c r="D378" s="621"/>
      <c r="E378" s="644"/>
      <c r="F378" s="644"/>
      <c r="G378" s="644"/>
      <c r="H378" s="644"/>
      <c r="I378" s="644"/>
      <c r="J378" s="645"/>
      <c r="K378" s="645"/>
      <c r="L378" s="645"/>
      <c r="M378" s="645"/>
      <c r="N378" s="644"/>
      <c r="O378" s="644"/>
      <c r="P378" s="644"/>
      <c r="Q378" s="621"/>
      <c r="R378" s="644"/>
      <c r="S378" s="640"/>
    </row>
    <row r="379" spans="3:19" s="646" customFormat="1" x14ac:dyDescent="0.35">
      <c r="C379" s="643"/>
      <c r="D379" s="621"/>
      <c r="E379" s="644"/>
      <c r="F379" s="644"/>
      <c r="G379" s="644"/>
      <c r="H379" s="644"/>
      <c r="I379" s="644"/>
      <c r="J379" s="645"/>
      <c r="K379" s="645"/>
      <c r="L379" s="645"/>
      <c r="M379" s="645"/>
      <c r="N379" s="644"/>
      <c r="O379" s="644"/>
      <c r="P379" s="644"/>
      <c r="Q379" s="621"/>
      <c r="R379" s="644"/>
      <c r="S379" s="640"/>
    </row>
    <row r="380" spans="3:19" s="646" customFormat="1" x14ac:dyDescent="0.35">
      <c r="C380" s="643"/>
      <c r="D380" s="621"/>
      <c r="E380" s="644"/>
      <c r="F380" s="644"/>
      <c r="G380" s="644"/>
      <c r="H380" s="644"/>
      <c r="I380" s="644"/>
      <c r="J380" s="645"/>
      <c r="K380" s="645"/>
      <c r="L380" s="645"/>
      <c r="M380" s="645"/>
      <c r="N380" s="644"/>
      <c r="O380" s="644"/>
      <c r="P380" s="644"/>
      <c r="Q380" s="621"/>
      <c r="R380" s="644"/>
      <c r="S380" s="640"/>
    </row>
    <row r="381" spans="3:19" s="646" customFormat="1" x14ac:dyDescent="0.35">
      <c r="C381" s="643"/>
      <c r="D381" s="621"/>
      <c r="E381" s="644"/>
      <c r="F381" s="644"/>
      <c r="G381" s="644"/>
      <c r="H381" s="644"/>
      <c r="I381" s="644"/>
      <c r="J381" s="645"/>
      <c r="K381" s="645"/>
      <c r="L381" s="645"/>
      <c r="M381" s="645"/>
      <c r="N381" s="644"/>
      <c r="O381" s="644"/>
      <c r="P381" s="644"/>
      <c r="Q381" s="621"/>
      <c r="R381" s="644"/>
      <c r="S381" s="640"/>
    </row>
    <row r="382" spans="3:19" s="646" customFormat="1" x14ac:dyDescent="0.35">
      <c r="C382" s="643"/>
      <c r="D382" s="621"/>
      <c r="E382" s="644"/>
      <c r="F382" s="644"/>
      <c r="G382" s="644"/>
      <c r="H382" s="644"/>
      <c r="I382" s="644"/>
      <c r="J382" s="645"/>
      <c r="K382" s="645"/>
      <c r="L382" s="645"/>
      <c r="M382" s="645"/>
      <c r="N382" s="644"/>
      <c r="O382" s="644"/>
      <c r="P382" s="644"/>
      <c r="Q382" s="621"/>
      <c r="R382" s="644"/>
      <c r="S382" s="640"/>
    </row>
    <row r="383" spans="3:19" s="646" customFormat="1" x14ac:dyDescent="0.35">
      <c r="C383" s="643"/>
      <c r="D383" s="621"/>
      <c r="E383" s="644"/>
      <c r="F383" s="644"/>
      <c r="G383" s="644"/>
      <c r="H383" s="644"/>
      <c r="I383" s="644"/>
      <c r="J383" s="645"/>
      <c r="K383" s="645"/>
      <c r="L383" s="645"/>
      <c r="M383" s="645"/>
      <c r="N383" s="644"/>
      <c r="O383" s="644"/>
      <c r="P383" s="644"/>
      <c r="Q383" s="621"/>
      <c r="R383" s="644"/>
      <c r="S383" s="640"/>
    </row>
    <row r="384" spans="3:19" s="646" customFormat="1" x14ac:dyDescent="0.35">
      <c r="C384" s="643"/>
      <c r="D384" s="621"/>
      <c r="E384" s="644"/>
      <c r="F384" s="644"/>
      <c r="G384" s="644"/>
      <c r="H384" s="644"/>
      <c r="I384" s="644"/>
      <c r="J384" s="645"/>
      <c r="K384" s="645"/>
      <c r="L384" s="645"/>
      <c r="M384" s="645"/>
      <c r="N384" s="644"/>
      <c r="O384" s="644"/>
      <c r="P384" s="644"/>
      <c r="Q384" s="621"/>
      <c r="R384" s="644"/>
      <c r="S384" s="640"/>
    </row>
    <row r="385" spans="3:19" s="646" customFormat="1" x14ac:dyDescent="0.35">
      <c r="C385" s="643"/>
      <c r="D385" s="621"/>
      <c r="E385" s="644"/>
      <c r="F385" s="644"/>
      <c r="G385" s="644"/>
      <c r="H385" s="644"/>
      <c r="I385" s="644"/>
      <c r="J385" s="645"/>
      <c r="K385" s="645"/>
      <c r="L385" s="645"/>
      <c r="M385" s="645"/>
      <c r="N385" s="644"/>
      <c r="O385" s="644"/>
      <c r="P385" s="644"/>
      <c r="Q385" s="621"/>
      <c r="R385" s="644"/>
      <c r="S385" s="640"/>
    </row>
    <row r="386" spans="3:19" s="646" customFormat="1" x14ac:dyDescent="0.35">
      <c r="C386" s="643"/>
      <c r="D386" s="621"/>
      <c r="E386" s="644"/>
      <c r="F386" s="644"/>
      <c r="G386" s="644"/>
      <c r="H386" s="644"/>
      <c r="I386" s="644"/>
      <c r="J386" s="645"/>
      <c r="K386" s="645"/>
      <c r="L386" s="645"/>
      <c r="M386" s="645"/>
      <c r="N386" s="644"/>
      <c r="O386" s="644"/>
      <c r="P386" s="644"/>
      <c r="Q386" s="621"/>
      <c r="R386" s="644"/>
      <c r="S386" s="640"/>
    </row>
    <row r="387" spans="3:19" s="646" customFormat="1" x14ac:dyDescent="0.35">
      <c r="C387" s="643"/>
      <c r="D387" s="621"/>
      <c r="E387" s="644"/>
      <c r="F387" s="644"/>
      <c r="G387" s="644"/>
      <c r="H387" s="644"/>
      <c r="I387" s="644"/>
      <c r="J387" s="645"/>
      <c r="K387" s="645"/>
      <c r="L387" s="645"/>
      <c r="M387" s="645"/>
      <c r="N387" s="644"/>
      <c r="O387" s="644"/>
      <c r="P387" s="644"/>
      <c r="Q387" s="621"/>
      <c r="R387" s="644"/>
      <c r="S387" s="640"/>
    </row>
    <row r="388" spans="3:19" s="646" customFormat="1" x14ac:dyDescent="0.35">
      <c r="C388" s="643"/>
      <c r="D388" s="621"/>
      <c r="E388" s="644"/>
      <c r="F388" s="644"/>
      <c r="G388" s="644"/>
      <c r="H388" s="644"/>
      <c r="I388" s="644"/>
      <c r="J388" s="645"/>
      <c r="K388" s="645"/>
      <c r="L388" s="645"/>
      <c r="M388" s="645"/>
      <c r="N388" s="644"/>
      <c r="O388" s="644"/>
      <c r="P388" s="644"/>
      <c r="Q388" s="621"/>
      <c r="R388" s="644"/>
      <c r="S388" s="640"/>
    </row>
    <row r="389" spans="3:19" s="646" customFormat="1" x14ac:dyDescent="0.35">
      <c r="C389" s="643"/>
      <c r="D389" s="621"/>
      <c r="E389" s="644"/>
      <c r="F389" s="644"/>
      <c r="G389" s="644"/>
      <c r="H389" s="644"/>
      <c r="I389" s="644"/>
      <c r="J389" s="645"/>
      <c r="K389" s="645"/>
      <c r="L389" s="645"/>
      <c r="M389" s="645"/>
      <c r="N389" s="644"/>
      <c r="O389" s="644"/>
      <c r="P389" s="644"/>
      <c r="Q389" s="621"/>
      <c r="R389" s="644"/>
      <c r="S389" s="640"/>
    </row>
    <row r="390" spans="3:19" s="646" customFormat="1" x14ac:dyDescent="0.35">
      <c r="C390" s="643"/>
      <c r="D390" s="621"/>
      <c r="E390" s="644"/>
      <c r="F390" s="644"/>
      <c r="G390" s="644"/>
      <c r="H390" s="644"/>
      <c r="I390" s="644"/>
      <c r="J390" s="645"/>
      <c r="K390" s="645"/>
      <c r="L390" s="645"/>
      <c r="M390" s="645"/>
      <c r="N390" s="644"/>
      <c r="O390" s="644"/>
      <c r="P390" s="644"/>
      <c r="Q390" s="621"/>
      <c r="R390" s="644"/>
      <c r="S390" s="640"/>
    </row>
    <row r="391" spans="3:19" s="646" customFormat="1" x14ac:dyDescent="0.35">
      <c r="C391" s="643"/>
      <c r="D391" s="621"/>
      <c r="E391" s="644"/>
      <c r="F391" s="644"/>
      <c r="G391" s="644"/>
      <c r="H391" s="644"/>
      <c r="I391" s="644"/>
      <c r="J391" s="645"/>
      <c r="K391" s="645"/>
      <c r="L391" s="645"/>
      <c r="M391" s="645"/>
      <c r="N391" s="644"/>
      <c r="O391" s="644"/>
      <c r="P391" s="644"/>
      <c r="Q391" s="621"/>
      <c r="R391" s="644"/>
      <c r="S391" s="640"/>
    </row>
    <row r="392" spans="3:19" s="646" customFormat="1" x14ac:dyDescent="0.35">
      <c r="C392" s="643"/>
      <c r="D392" s="621"/>
      <c r="E392" s="644"/>
      <c r="F392" s="644"/>
      <c r="G392" s="644"/>
      <c r="H392" s="644"/>
      <c r="I392" s="644"/>
      <c r="J392" s="645"/>
      <c r="K392" s="645"/>
      <c r="L392" s="645"/>
      <c r="M392" s="645"/>
      <c r="N392" s="644"/>
      <c r="O392" s="644"/>
      <c r="P392" s="644"/>
      <c r="Q392" s="621"/>
      <c r="R392" s="644"/>
      <c r="S392" s="640"/>
    </row>
    <row r="393" spans="3:19" s="646" customFormat="1" x14ac:dyDescent="0.35">
      <c r="C393" s="643"/>
      <c r="D393" s="621"/>
      <c r="E393" s="644"/>
      <c r="F393" s="644"/>
      <c r="G393" s="644"/>
      <c r="H393" s="644"/>
      <c r="I393" s="644"/>
      <c r="J393" s="645"/>
      <c r="K393" s="645"/>
      <c r="L393" s="645"/>
      <c r="M393" s="645"/>
      <c r="N393" s="644"/>
      <c r="O393" s="644"/>
      <c r="P393" s="644"/>
      <c r="Q393" s="621"/>
      <c r="R393" s="644"/>
      <c r="S393" s="640"/>
    </row>
    <row r="394" spans="3:19" s="646" customFormat="1" x14ac:dyDescent="0.35">
      <c r="C394" s="643"/>
      <c r="D394" s="621"/>
      <c r="E394" s="644"/>
      <c r="F394" s="644"/>
      <c r="G394" s="644"/>
      <c r="H394" s="644"/>
      <c r="I394" s="644"/>
      <c r="J394" s="645"/>
      <c r="K394" s="645"/>
      <c r="L394" s="645"/>
      <c r="M394" s="645"/>
      <c r="N394" s="644"/>
      <c r="O394" s="644"/>
      <c r="P394" s="644"/>
      <c r="Q394" s="621"/>
      <c r="R394" s="644"/>
      <c r="S394" s="640"/>
    </row>
    <row r="395" spans="3:19" s="646" customFormat="1" x14ac:dyDescent="0.35">
      <c r="C395" s="643"/>
      <c r="D395" s="621"/>
      <c r="E395" s="644"/>
      <c r="F395" s="644"/>
      <c r="G395" s="644"/>
      <c r="H395" s="644"/>
      <c r="I395" s="644"/>
      <c r="J395" s="645"/>
      <c r="K395" s="645"/>
      <c r="L395" s="645"/>
      <c r="M395" s="645"/>
      <c r="N395" s="644"/>
      <c r="O395" s="644"/>
      <c r="P395" s="644"/>
      <c r="Q395" s="621"/>
      <c r="R395" s="644"/>
      <c r="S395" s="640"/>
    </row>
    <row r="396" spans="3:19" s="646" customFormat="1" x14ac:dyDescent="0.35">
      <c r="C396" s="643"/>
      <c r="D396" s="621"/>
      <c r="E396" s="644"/>
      <c r="F396" s="644"/>
      <c r="G396" s="644"/>
      <c r="H396" s="644"/>
      <c r="I396" s="644"/>
      <c r="J396" s="645"/>
      <c r="K396" s="645"/>
      <c r="L396" s="645"/>
      <c r="M396" s="645"/>
      <c r="N396" s="644"/>
      <c r="O396" s="644"/>
      <c r="P396" s="644"/>
      <c r="Q396" s="621"/>
      <c r="R396" s="644"/>
      <c r="S396" s="640"/>
    </row>
    <row r="397" spans="3:19" s="646" customFormat="1" x14ac:dyDescent="0.35">
      <c r="C397" s="643"/>
      <c r="D397" s="621"/>
      <c r="E397" s="644"/>
      <c r="F397" s="644"/>
      <c r="G397" s="644"/>
      <c r="H397" s="644"/>
      <c r="I397" s="644"/>
      <c r="J397" s="645"/>
      <c r="K397" s="645"/>
      <c r="L397" s="645"/>
      <c r="M397" s="645"/>
      <c r="N397" s="644"/>
      <c r="O397" s="644"/>
      <c r="P397" s="644"/>
      <c r="Q397" s="621"/>
      <c r="R397" s="644"/>
      <c r="S397" s="640"/>
    </row>
    <row r="398" spans="3:19" s="646" customFormat="1" x14ac:dyDescent="0.35">
      <c r="C398" s="643"/>
      <c r="D398" s="621"/>
      <c r="E398" s="644"/>
      <c r="F398" s="644"/>
      <c r="G398" s="644"/>
      <c r="H398" s="644"/>
      <c r="I398" s="644"/>
      <c r="J398" s="645"/>
      <c r="K398" s="645"/>
      <c r="L398" s="645"/>
      <c r="M398" s="645"/>
      <c r="N398" s="644"/>
      <c r="O398" s="644"/>
      <c r="P398" s="644"/>
      <c r="Q398" s="621"/>
      <c r="R398" s="644"/>
      <c r="S398" s="640"/>
    </row>
    <row r="399" spans="3:19" s="646" customFormat="1" x14ac:dyDescent="0.35">
      <c r="C399" s="643"/>
      <c r="D399" s="621"/>
      <c r="E399" s="644"/>
      <c r="F399" s="644"/>
      <c r="G399" s="644"/>
      <c r="H399" s="644"/>
      <c r="I399" s="644"/>
      <c r="J399" s="645"/>
      <c r="K399" s="645"/>
      <c r="L399" s="645"/>
      <c r="M399" s="645"/>
      <c r="N399" s="644"/>
      <c r="O399" s="644"/>
      <c r="P399" s="644"/>
      <c r="Q399" s="621"/>
      <c r="R399" s="644"/>
      <c r="S399" s="640"/>
    </row>
    <row r="400" spans="3:19" s="646" customFormat="1" x14ac:dyDescent="0.35">
      <c r="C400" s="643"/>
      <c r="D400" s="621"/>
      <c r="E400" s="644"/>
      <c r="F400" s="644"/>
      <c r="G400" s="644"/>
      <c r="H400" s="644"/>
      <c r="I400" s="644"/>
      <c r="J400" s="645"/>
      <c r="K400" s="645"/>
      <c r="L400" s="645"/>
      <c r="M400" s="645"/>
      <c r="N400" s="644"/>
      <c r="O400" s="644"/>
      <c r="P400" s="644"/>
      <c r="Q400" s="621"/>
      <c r="R400" s="644"/>
      <c r="S400" s="640"/>
    </row>
    <row r="401" spans="3:19" s="646" customFormat="1" x14ac:dyDescent="0.35">
      <c r="C401" s="643"/>
      <c r="D401" s="621"/>
      <c r="E401" s="644"/>
      <c r="F401" s="644"/>
      <c r="G401" s="644"/>
      <c r="H401" s="644"/>
      <c r="I401" s="644"/>
      <c r="J401" s="645"/>
      <c r="K401" s="645"/>
      <c r="L401" s="645"/>
      <c r="M401" s="645"/>
      <c r="N401" s="644"/>
      <c r="O401" s="644"/>
      <c r="P401" s="644"/>
      <c r="Q401" s="621"/>
      <c r="R401" s="644"/>
      <c r="S401" s="640"/>
    </row>
    <row r="402" spans="3:19" s="646" customFormat="1" x14ac:dyDescent="0.35">
      <c r="C402" s="643"/>
      <c r="D402" s="621"/>
      <c r="E402" s="644"/>
      <c r="F402" s="644"/>
      <c r="G402" s="644"/>
      <c r="H402" s="644"/>
      <c r="I402" s="644"/>
      <c r="J402" s="645"/>
      <c r="K402" s="645"/>
      <c r="L402" s="645"/>
      <c r="M402" s="645"/>
      <c r="N402" s="644"/>
      <c r="O402" s="644"/>
      <c r="P402" s="644"/>
      <c r="Q402" s="621"/>
      <c r="R402" s="644"/>
      <c r="S402" s="640"/>
    </row>
    <row r="403" spans="3:19" s="646" customFormat="1" x14ac:dyDescent="0.35">
      <c r="C403" s="643"/>
      <c r="D403" s="621"/>
      <c r="E403" s="644"/>
      <c r="F403" s="644"/>
      <c r="G403" s="644"/>
      <c r="H403" s="644"/>
      <c r="I403" s="644"/>
      <c r="J403" s="645"/>
      <c r="K403" s="645"/>
      <c r="L403" s="645"/>
      <c r="M403" s="645"/>
      <c r="N403" s="644"/>
      <c r="O403" s="644"/>
      <c r="P403" s="644"/>
      <c r="Q403" s="621"/>
      <c r="R403" s="644"/>
      <c r="S403" s="640"/>
    </row>
    <row r="404" spans="3:19" s="646" customFormat="1" x14ac:dyDescent="0.35">
      <c r="C404" s="643"/>
      <c r="D404" s="621"/>
      <c r="E404" s="644"/>
      <c r="F404" s="644"/>
      <c r="G404" s="644"/>
      <c r="H404" s="644"/>
      <c r="I404" s="644"/>
      <c r="J404" s="645"/>
      <c r="K404" s="645"/>
      <c r="L404" s="645"/>
      <c r="M404" s="645"/>
      <c r="N404" s="644"/>
      <c r="O404" s="644"/>
      <c r="P404" s="644"/>
      <c r="Q404" s="621"/>
      <c r="R404" s="644"/>
      <c r="S404" s="640"/>
    </row>
    <row r="405" spans="3:19" s="646" customFormat="1" x14ac:dyDescent="0.35">
      <c r="C405" s="643"/>
      <c r="D405" s="621"/>
      <c r="E405" s="644"/>
      <c r="F405" s="644"/>
      <c r="G405" s="644"/>
      <c r="H405" s="644"/>
      <c r="I405" s="644"/>
      <c r="J405" s="645"/>
      <c r="K405" s="645"/>
      <c r="L405" s="645"/>
      <c r="M405" s="645"/>
      <c r="N405" s="644"/>
      <c r="O405" s="644"/>
      <c r="P405" s="644"/>
      <c r="Q405" s="621"/>
      <c r="R405" s="644"/>
      <c r="S405" s="640"/>
    </row>
    <row r="406" spans="3:19" s="646" customFormat="1" x14ac:dyDescent="0.35">
      <c r="C406" s="643"/>
      <c r="D406" s="621"/>
      <c r="E406" s="644"/>
      <c r="F406" s="644"/>
      <c r="G406" s="644"/>
      <c r="H406" s="644"/>
      <c r="I406" s="644"/>
      <c r="J406" s="645"/>
      <c r="K406" s="645"/>
      <c r="L406" s="645"/>
      <c r="M406" s="645"/>
      <c r="N406" s="644"/>
      <c r="O406" s="644"/>
      <c r="P406" s="644"/>
      <c r="Q406" s="621"/>
      <c r="R406" s="644"/>
      <c r="S406" s="640"/>
    </row>
    <row r="407" spans="3:19" s="646" customFormat="1" x14ac:dyDescent="0.35">
      <c r="C407" s="643"/>
      <c r="D407" s="621"/>
      <c r="E407" s="644"/>
      <c r="F407" s="644"/>
      <c r="G407" s="644"/>
      <c r="H407" s="644"/>
      <c r="I407" s="644"/>
      <c r="J407" s="645"/>
      <c r="K407" s="645"/>
      <c r="L407" s="645"/>
      <c r="M407" s="645"/>
      <c r="N407" s="644"/>
      <c r="O407" s="644"/>
      <c r="P407" s="644"/>
      <c r="Q407" s="621"/>
      <c r="R407" s="644"/>
      <c r="S407" s="640"/>
    </row>
    <row r="408" spans="3:19" s="646" customFormat="1" x14ac:dyDescent="0.35">
      <c r="C408" s="643"/>
      <c r="D408" s="621"/>
      <c r="E408" s="644"/>
      <c r="F408" s="644"/>
      <c r="G408" s="644"/>
      <c r="H408" s="644"/>
      <c r="I408" s="644"/>
      <c r="J408" s="645"/>
      <c r="K408" s="645"/>
      <c r="L408" s="645"/>
      <c r="M408" s="645"/>
      <c r="N408" s="644"/>
      <c r="O408" s="644"/>
      <c r="P408" s="644"/>
      <c r="Q408" s="621"/>
      <c r="R408" s="644"/>
      <c r="S408" s="640"/>
    </row>
    <row r="409" spans="3:19" s="646" customFormat="1" x14ac:dyDescent="0.35">
      <c r="C409" s="643"/>
      <c r="D409" s="621"/>
      <c r="E409" s="644"/>
      <c r="F409" s="644"/>
      <c r="G409" s="644"/>
      <c r="H409" s="644"/>
      <c r="I409" s="644"/>
      <c r="J409" s="645"/>
      <c r="K409" s="645"/>
      <c r="L409" s="645"/>
      <c r="M409" s="645"/>
      <c r="N409" s="644"/>
      <c r="O409" s="644"/>
      <c r="P409" s="644"/>
      <c r="Q409" s="621"/>
      <c r="R409" s="644"/>
      <c r="S409" s="640"/>
    </row>
    <row r="410" spans="3:19" s="646" customFormat="1" x14ac:dyDescent="0.35">
      <c r="C410" s="643"/>
      <c r="D410" s="621"/>
      <c r="E410" s="644"/>
      <c r="F410" s="644"/>
      <c r="G410" s="644"/>
      <c r="H410" s="644"/>
      <c r="I410" s="644"/>
      <c r="J410" s="645"/>
      <c r="K410" s="645"/>
      <c r="L410" s="645"/>
      <c r="M410" s="645"/>
      <c r="N410" s="644"/>
      <c r="O410" s="644"/>
      <c r="P410" s="644"/>
      <c r="Q410" s="621"/>
      <c r="R410" s="644"/>
      <c r="S410" s="640"/>
    </row>
    <row r="411" spans="3:19" s="646" customFormat="1" x14ac:dyDescent="0.35">
      <c r="C411" s="643"/>
      <c r="D411" s="621"/>
      <c r="E411" s="644"/>
      <c r="F411" s="644"/>
      <c r="G411" s="644"/>
      <c r="H411" s="644"/>
      <c r="I411" s="644"/>
      <c r="J411" s="645"/>
      <c r="K411" s="645"/>
      <c r="L411" s="645"/>
      <c r="M411" s="645"/>
      <c r="N411" s="644"/>
      <c r="O411" s="644"/>
      <c r="P411" s="644"/>
      <c r="Q411" s="621"/>
      <c r="R411" s="644"/>
      <c r="S411" s="640"/>
    </row>
    <row r="412" spans="3:19" s="646" customFormat="1" x14ac:dyDescent="0.35">
      <c r="C412" s="643"/>
      <c r="D412" s="621"/>
      <c r="E412" s="644"/>
      <c r="F412" s="644"/>
      <c r="G412" s="644"/>
      <c r="H412" s="644"/>
      <c r="I412" s="644"/>
      <c r="J412" s="645"/>
      <c r="K412" s="645"/>
      <c r="L412" s="645"/>
      <c r="M412" s="645"/>
      <c r="N412" s="644"/>
      <c r="O412" s="644"/>
      <c r="P412" s="644"/>
      <c r="Q412" s="621"/>
      <c r="R412" s="644"/>
      <c r="S412" s="640"/>
    </row>
    <row r="413" spans="3:19" s="646" customFormat="1" x14ac:dyDescent="0.35">
      <c r="C413" s="643"/>
      <c r="D413" s="621"/>
      <c r="E413" s="644"/>
      <c r="F413" s="644"/>
      <c r="G413" s="644"/>
      <c r="H413" s="644"/>
      <c r="I413" s="644"/>
      <c r="J413" s="645"/>
      <c r="K413" s="645"/>
      <c r="L413" s="645"/>
      <c r="M413" s="645"/>
      <c r="N413" s="644"/>
      <c r="O413" s="644"/>
      <c r="P413" s="644"/>
      <c r="Q413" s="621"/>
      <c r="R413" s="644"/>
      <c r="S413" s="640"/>
    </row>
    <row r="414" spans="3:19" s="646" customFormat="1" x14ac:dyDescent="0.35">
      <c r="C414" s="643"/>
      <c r="D414" s="621"/>
      <c r="E414" s="644"/>
      <c r="F414" s="644"/>
      <c r="G414" s="644"/>
      <c r="H414" s="644"/>
      <c r="I414" s="644"/>
      <c r="J414" s="645"/>
      <c r="K414" s="645"/>
      <c r="L414" s="645"/>
      <c r="M414" s="645"/>
      <c r="N414" s="644"/>
      <c r="O414" s="644"/>
      <c r="P414" s="644"/>
      <c r="Q414" s="621"/>
      <c r="R414" s="644"/>
      <c r="S414" s="640"/>
    </row>
    <row r="415" spans="3:19" s="646" customFormat="1" x14ac:dyDescent="0.35">
      <c r="C415" s="643"/>
      <c r="D415" s="621"/>
      <c r="E415" s="644"/>
      <c r="F415" s="644"/>
      <c r="G415" s="644"/>
      <c r="H415" s="644"/>
      <c r="I415" s="644"/>
      <c r="J415" s="645"/>
      <c r="K415" s="645"/>
      <c r="L415" s="645"/>
      <c r="M415" s="645"/>
      <c r="N415" s="644"/>
      <c r="O415" s="644"/>
      <c r="P415" s="644"/>
      <c r="Q415" s="621"/>
      <c r="R415" s="644"/>
      <c r="S415" s="640"/>
    </row>
    <row r="416" spans="3:19" s="646" customFormat="1" x14ac:dyDescent="0.35">
      <c r="C416" s="643"/>
      <c r="D416" s="621"/>
      <c r="E416" s="644"/>
      <c r="F416" s="644"/>
      <c r="G416" s="644"/>
      <c r="H416" s="644"/>
      <c r="I416" s="644"/>
      <c r="J416" s="645"/>
      <c r="K416" s="645"/>
      <c r="L416" s="645"/>
      <c r="M416" s="645"/>
      <c r="N416" s="644"/>
      <c r="O416" s="644"/>
      <c r="P416" s="644"/>
      <c r="Q416" s="621"/>
      <c r="R416" s="644"/>
      <c r="S416" s="640"/>
    </row>
    <row r="417" spans="3:19" s="646" customFormat="1" x14ac:dyDescent="0.35">
      <c r="C417" s="643"/>
      <c r="D417" s="621"/>
      <c r="E417" s="644"/>
      <c r="F417" s="644"/>
      <c r="G417" s="644"/>
      <c r="H417" s="644"/>
      <c r="I417" s="644"/>
      <c r="J417" s="645"/>
      <c r="K417" s="645"/>
      <c r="L417" s="645"/>
      <c r="M417" s="645"/>
      <c r="N417" s="644"/>
      <c r="O417" s="644"/>
      <c r="P417" s="644"/>
      <c r="Q417" s="621"/>
      <c r="R417" s="644"/>
      <c r="S417" s="640"/>
    </row>
    <row r="418" spans="3:19" s="646" customFormat="1" x14ac:dyDescent="0.35">
      <c r="C418" s="643"/>
      <c r="D418" s="621"/>
      <c r="E418" s="644"/>
      <c r="F418" s="644"/>
      <c r="G418" s="644"/>
      <c r="H418" s="644"/>
      <c r="I418" s="644"/>
      <c r="J418" s="645"/>
      <c r="K418" s="645"/>
      <c r="L418" s="645"/>
      <c r="M418" s="645"/>
      <c r="N418" s="644"/>
      <c r="O418" s="644"/>
      <c r="P418" s="644"/>
      <c r="Q418" s="621"/>
      <c r="R418" s="644"/>
      <c r="S418" s="640"/>
    </row>
    <row r="419" spans="3:19" s="646" customFormat="1" x14ac:dyDescent="0.35">
      <c r="C419" s="643"/>
      <c r="D419" s="621"/>
      <c r="E419" s="644"/>
      <c r="F419" s="644"/>
      <c r="G419" s="644"/>
      <c r="H419" s="644"/>
      <c r="I419" s="644"/>
      <c r="J419" s="645"/>
      <c r="K419" s="645"/>
      <c r="L419" s="645"/>
      <c r="M419" s="645"/>
      <c r="N419" s="644"/>
      <c r="O419" s="644"/>
      <c r="P419" s="644"/>
      <c r="Q419" s="621"/>
      <c r="R419" s="644"/>
      <c r="S419" s="640"/>
    </row>
    <row r="420" spans="3:19" s="646" customFormat="1" x14ac:dyDescent="0.35">
      <c r="C420" s="643"/>
      <c r="D420" s="621"/>
      <c r="E420" s="644"/>
      <c r="F420" s="644"/>
      <c r="G420" s="644"/>
      <c r="H420" s="644"/>
      <c r="I420" s="644"/>
      <c r="J420" s="645"/>
      <c r="K420" s="645"/>
      <c r="L420" s="645"/>
      <c r="M420" s="645"/>
      <c r="N420" s="644"/>
      <c r="O420" s="644"/>
      <c r="P420" s="644"/>
      <c r="Q420" s="621"/>
      <c r="R420" s="644"/>
      <c r="S420" s="640"/>
    </row>
    <row r="421" spans="3:19" s="646" customFormat="1" x14ac:dyDescent="0.35">
      <c r="C421" s="643"/>
      <c r="D421" s="621"/>
      <c r="E421" s="644"/>
      <c r="F421" s="644"/>
      <c r="G421" s="644"/>
      <c r="H421" s="644"/>
      <c r="I421" s="644"/>
      <c r="J421" s="645"/>
      <c r="K421" s="645"/>
      <c r="L421" s="645"/>
      <c r="M421" s="645"/>
      <c r="N421" s="644"/>
      <c r="O421" s="644"/>
      <c r="P421" s="644"/>
      <c r="Q421" s="621"/>
      <c r="R421" s="644"/>
      <c r="S421" s="640"/>
    </row>
    <row r="422" spans="3:19" s="646" customFormat="1" x14ac:dyDescent="0.35">
      <c r="C422" s="643"/>
      <c r="D422" s="621"/>
      <c r="E422" s="644"/>
      <c r="F422" s="644"/>
      <c r="G422" s="644"/>
      <c r="H422" s="644"/>
      <c r="I422" s="644"/>
      <c r="J422" s="645"/>
      <c r="K422" s="645"/>
      <c r="L422" s="645"/>
      <c r="M422" s="645"/>
      <c r="N422" s="644"/>
      <c r="O422" s="644"/>
      <c r="P422" s="644"/>
      <c r="Q422" s="621"/>
      <c r="R422" s="644"/>
      <c r="S422" s="640"/>
    </row>
    <row r="423" spans="3:19" s="646" customFormat="1" x14ac:dyDescent="0.35">
      <c r="C423" s="643"/>
      <c r="D423" s="621"/>
      <c r="E423" s="644"/>
      <c r="F423" s="644"/>
      <c r="G423" s="644"/>
      <c r="H423" s="644"/>
      <c r="I423" s="644"/>
      <c r="J423" s="645"/>
      <c r="K423" s="645"/>
      <c r="L423" s="645"/>
      <c r="M423" s="645"/>
      <c r="N423" s="644"/>
      <c r="O423" s="644"/>
      <c r="P423" s="644"/>
      <c r="Q423" s="621"/>
      <c r="R423" s="644"/>
      <c r="S423" s="640"/>
    </row>
    <row r="424" spans="3:19" s="646" customFormat="1" x14ac:dyDescent="0.35">
      <c r="C424" s="643"/>
      <c r="D424" s="621"/>
      <c r="E424" s="644"/>
      <c r="F424" s="644"/>
      <c r="G424" s="644"/>
      <c r="H424" s="644"/>
      <c r="I424" s="644"/>
      <c r="J424" s="645"/>
      <c r="K424" s="645"/>
      <c r="L424" s="645"/>
      <c r="M424" s="645"/>
      <c r="N424" s="644"/>
      <c r="O424" s="644"/>
      <c r="P424" s="644"/>
      <c r="Q424" s="621"/>
      <c r="R424" s="644"/>
      <c r="S424" s="640"/>
    </row>
    <row r="425" spans="3:19" s="646" customFormat="1" x14ac:dyDescent="0.35">
      <c r="C425" s="643"/>
      <c r="D425" s="621"/>
      <c r="E425" s="644"/>
      <c r="F425" s="644"/>
      <c r="G425" s="644"/>
      <c r="H425" s="644"/>
      <c r="I425" s="644"/>
      <c r="J425" s="645"/>
      <c r="K425" s="645"/>
      <c r="L425" s="645"/>
      <c r="M425" s="645"/>
      <c r="N425" s="644"/>
      <c r="O425" s="644"/>
      <c r="P425" s="644"/>
      <c r="Q425" s="621"/>
      <c r="R425" s="644"/>
      <c r="S425" s="640"/>
    </row>
    <row r="426" spans="3:19" s="646" customFormat="1" x14ac:dyDescent="0.35">
      <c r="C426" s="643"/>
      <c r="D426" s="621"/>
      <c r="E426" s="644"/>
      <c r="F426" s="644"/>
      <c r="G426" s="644"/>
      <c r="H426" s="644"/>
      <c r="I426" s="644"/>
      <c r="J426" s="645"/>
      <c r="K426" s="645"/>
      <c r="L426" s="645"/>
      <c r="M426" s="645"/>
      <c r="N426" s="644"/>
      <c r="O426" s="644"/>
      <c r="P426" s="644"/>
      <c r="Q426" s="621"/>
      <c r="R426" s="644"/>
      <c r="S426" s="640"/>
    </row>
    <row r="427" spans="3:19" s="646" customFormat="1" x14ac:dyDescent="0.35">
      <c r="C427" s="643"/>
      <c r="D427" s="621"/>
      <c r="E427" s="644"/>
      <c r="F427" s="644"/>
      <c r="G427" s="644"/>
      <c r="H427" s="644"/>
      <c r="I427" s="644"/>
      <c r="J427" s="645"/>
      <c r="K427" s="645"/>
      <c r="L427" s="645"/>
      <c r="M427" s="645"/>
      <c r="N427" s="644"/>
      <c r="O427" s="644"/>
      <c r="P427" s="644"/>
      <c r="Q427" s="621"/>
      <c r="R427" s="644"/>
      <c r="S427" s="640"/>
    </row>
    <row r="428" spans="3:19" s="646" customFormat="1" x14ac:dyDescent="0.35">
      <c r="C428" s="643"/>
      <c r="D428" s="621"/>
      <c r="E428" s="644"/>
      <c r="F428" s="644"/>
      <c r="G428" s="644"/>
      <c r="H428" s="644"/>
      <c r="I428" s="644"/>
      <c r="J428" s="645"/>
      <c r="K428" s="645"/>
      <c r="L428" s="645"/>
      <c r="M428" s="645"/>
      <c r="N428" s="644"/>
      <c r="O428" s="644"/>
      <c r="P428" s="644"/>
      <c r="Q428" s="621"/>
      <c r="R428" s="644"/>
      <c r="S428" s="640"/>
    </row>
    <row r="429" spans="3:19" s="646" customFormat="1" x14ac:dyDescent="0.35">
      <c r="C429" s="643"/>
      <c r="D429" s="621"/>
      <c r="E429" s="644"/>
      <c r="F429" s="644"/>
      <c r="G429" s="644"/>
      <c r="H429" s="644"/>
      <c r="I429" s="644"/>
      <c r="J429" s="645"/>
      <c r="K429" s="645"/>
      <c r="L429" s="645"/>
      <c r="M429" s="645"/>
      <c r="N429" s="644"/>
      <c r="O429" s="644"/>
      <c r="P429" s="644"/>
      <c r="Q429" s="621"/>
      <c r="R429" s="644"/>
      <c r="S429" s="640"/>
    </row>
    <row r="430" spans="3:19" s="646" customFormat="1" x14ac:dyDescent="0.35">
      <c r="C430" s="643"/>
      <c r="D430" s="621"/>
      <c r="E430" s="644"/>
      <c r="F430" s="644"/>
      <c r="G430" s="644"/>
      <c r="H430" s="644"/>
      <c r="I430" s="644"/>
      <c r="J430" s="645"/>
      <c r="K430" s="645"/>
      <c r="L430" s="645"/>
      <c r="M430" s="645"/>
      <c r="N430" s="644"/>
      <c r="O430" s="644"/>
      <c r="P430" s="644"/>
      <c r="Q430" s="621"/>
      <c r="R430" s="644"/>
      <c r="S430" s="640"/>
    </row>
    <row r="431" spans="3:19" s="646" customFormat="1" x14ac:dyDescent="0.35">
      <c r="C431" s="643"/>
      <c r="D431" s="621"/>
      <c r="E431" s="644"/>
      <c r="F431" s="644"/>
      <c r="G431" s="644"/>
      <c r="H431" s="644"/>
      <c r="I431" s="644"/>
      <c r="J431" s="645"/>
      <c r="K431" s="645"/>
      <c r="L431" s="645"/>
      <c r="M431" s="645"/>
      <c r="N431" s="644"/>
      <c r="O431" s="644"/>
      <c r="P431" s="644"/>
      <c r="Q431" s="621"/>
      <c r="R431" s="644"/>
      <c r="S431" s="640"/>
    </row>
    <row r="432" spans="3:19" s="646" customFormat="1" x14ac:dyDescent="0.35">
      <c r="C432" s="643"/>
      <c r="D432" s="621"/>
      <c r="E432" s="644"/>
      <c r="F432" s="644"/>
      <c r="G432" s="644"/>
      <c r="H432" s="644"/>
      <c r="I432" s="644"/>
      <c r="J432" s="645"/>
      <c r="K432" s="645"/>
      <c r="L432" s="645"/>
      <c r="M432" s="645"/>
      <c r="N432" s="644"/>
      <c r="O432" s="644"/>
      <c r="P432" s="644"/>
      <c r="Q432" s="621"/>
      <c r="R432" s="644"/>
      <c r="S432" s="640"/>
    </row>
    <row r="433" spans="3:19" s="646" customFormat="1" x14ac:dyDescent="0.35">
      <c r="C433" s="643"/>
      <c r="D433" s="621"/>
      <c r="E433" s="644"/>
      <c r="F433" s="644"/>
      <c r="G433" s="644"/>
      <c r="H433" s="644"/>
      <c r="I433" s="644"/>
      <c r="J433" s="645"/>
      <c r="K433" s="645"/>
      <c r="L433" s="645"/>
      <c r="M433" s="645"/>
      <c r="N433" s="644"/>
      <c r="O433" s="644"/>
      <c r="P433" s="644"/>
      <c r="Q433" s="621"/>
      <c r="R433" s="644"/>
      <c r="S433" s="640"/>
    </row>
    <row r="434" spans="3:19" s="646" customFormat="1" x14ac:dyDescent="0.35">
      <c r="C434" s="643"/>
      <c r="D434" s="621"/>
      <c r="E434" s="644"/>
      <c r="F434" s="644"/>
      <c r="G434" s="644"/>
      <c r="H434" s="644"/>
      <c r="I434" s="644"/>
      <c r="J434" s="645"/>
      <c r="K434" s="645"/>
      <c r="L434" s="645"/>
      <c r="M434" s="645"/>
      <c r="N434" s="644"/>
      <c r="O434" s="644"/>
      <c r="P434" s="644"/>
      <c r="Q434" s="621"/>
      <c r="R434" s="644"/>
      <c r="S434" s="640"/>
    </row>
    <row r="435" spans="3:19" s="646" customFormat="1" x14ac:dyDescent="0.35">
      <c r="C435" s="643"/>
      <c r="D435" s="621"/>
      <c r="E435" s="644"/>
      <c r="F435" s="644"/>
      <c r="G435" s="644"/>
      <c r="H435" s="644"/>
      <c r="I435" s="644"/>
      <c r="J435" s="645"/>
      <c r="K435" s="645"/>
      <c r="L435" s="645"/>
      <c r="M435" s="645"/>
      <c r="N435" s="644"/>
      <c r="O435" s="644"/>
      <c r="P435" s="644"/>
      <c r="Q435" s="621"/>
      <c r="R435" s="644"/>
      <c r="S435" s="640"/>
    </row>
    <row r="436" spans="3:19" s="646" customFormat="1" x14ac:dyDescent="0.35">
      <c r="C436" s="643"/>
      <c r="D436" s="621"/>
      <c r="E436" s="644"/>
      <c r="F436" s="644"/>
      <c r="G436" s="644"/>
      <c r="H436" s="644"/>
      <c r="I436" s="644"/>
      <c r="J436" s="645"/>
      <c r="K436" s="645"/>
      <c r="L436" s="645"/>
      <c r="M436" s="645"/>
      <c r="N436" s="644"/>
      <c r="O436" s="644"/>
      <c r="P436" s="644"/>
      <c r="Q436" s="621"/>
      <c r="R436" s="644"/>
      <c r="S436" s="640"/>
    </row>
    <row r="437" spans="3:19" s="646" customFormat="1" x14ac:dyDescent="0.35">
      <c r="C437" s="643"/>
      <c r="D437" s="621"/>
      <c r="E437" s="644"/>
      <c r="F437" s="644"/>
      <c r="G437" s="644"/>
      <c r="H437" s="644"/>
      <c r="I437" s="644"/>
      <c r="J437" s="645"/>
      <c r="K437" s="645"/>
      <c r="L437" s="645"/>
      <c r="M437" s="645"/>
      <c r="N437" s="644"/>
      <c r="O437" s="644"/>
      <c r="P437" s="644"/>
      <c r="Q437" s="621"/>
      <c r="R437" s="644"/>
      <c r="S437" s="640"/>
    </row>
    <row r="438" spans="3:19" s="646" customFormat="1" x14ac:dyDescent="0.35">
      <c r="C438" s="643"/>
      <c r="D438" s="621"/>
      <c r="E438" s="644"/>
      <c r="F438" s="644"/>
      <c r="G438" s="644"/>
      <c r="H438" s="644"/>
      <c r="I438" s="644"/>
      <c r="J438" s="645"/>
      <c r="K438" s="645"/>
      <c r="L438" s="645"/>
      <c r="M438" s="645"/>
      <c r="N438" s="644"/>
      <c r="O438" s="644"/>
      <c r="P438" s="644"/>
      <c r="Q438" s="621"/>
      <c r="R438" s="644"/>
      <c r="S438" s="640"/>
    </row>
    <row r="439" spans="3:19" s="646" customFormat="1" x14ac:dyDescent="0.35">
      <c r="C439" s="643"/>
      <c r="D439" s="621"/>
      <c r="E439" s="644"/>
      <c r="F439" s="644"/>
      <c r="G439" s="644"/>
      <c r="H439" s="644"/>
      <c r="I439" s="644"/>
      <c r="J439" s="645"/>
      <c r="K439" s="645"/>
      <c r="L439" s="645"/>
      <c r="M439" s="645"/>
      <c r="N439" s="644"/>
      <c r="O439" s="644"/>
      <c r="P439" s="644"/>
      <c r="Q439" s="621"/>
      <c r="R439" s="644"/>
      <c r="S439" s="640"/>
    </row>
    <row r="440" spans="3:19" s="646" customFormat="1" x14ac:dyDescent="0.35">
      <c r="C440" s="643"/>
      <c r="D440" s="621"/>
      <c r="E440" s="644"/>
      <c r="F440" s="644"/>
      <c r="G440" s="644"/>
      <c r="H440" s="644"/>
      <c r="I440" s="644"/>
      <c r="J440" s="645"/>
      <c r="K440" s="645"/>
      <c r="L440" s="645"/>
      <c r="M440" s="645"/>
      <c r="N440" s="644"/>
      <c r="O440" s="644"/>
      <c r="P440" s="644"/>
      <c r="Q440" s="621"/>
      <c r="R440" s="644"/>
      <c r="S440" s="640"/>
    </row>
    <row r="441" spans="3:19" s="646" customFormat="1" x14ac:dyDescent="0.35">
      <c r="C441" s="643"/>
      <c r="D441" s="621"/>
      <c r="E441" s="644"/>
      <c r="F441" s="644"/>
      <c r="G441" s="644"/>
      <c r="H441" s="644"/>
      <c r="I441" s="644"/>
      <c r="J441" s="645"/>
      <c r="K441" s="645"/>
      <c r="L441" s="645"/>
      <c r="M441" s="645"/>
      <c r="N441" s="644"/>
      <c r="O441" s="644"/>
      <c r="P441" s="644"/>
      <c r="Q441" s="621"/>
      <c r="R441" s="644"/>
      <c r="S441" s="640"/>
    </row>
    <row r="442" spans="3:19" s="646" customFormat="1" x14ac:dyDescent="0.35">
      <c r="C442" s="643"/>
      <c r="D442" s="621"/>
      <c r="E442" s="644"/>
      <c r="F442" s="644"/>
      <c r="G442" s="644"/>
      <c r="H442" s="644"/>
      <c r="I442" s="644"/>
      <c r="J442" s="645"/>
      <c r="K442" s="645"/>
      <c r="L442" s="645"/>
      <c r="M442" s="645"/>
      <c r="N442" s="644"/>
      <c r="O442" s="644"/>
      <c r="P442" s="644"/>
      <c r="Q442" s="621"/>
      <c r="R442" s="644"/>
      <c r="S442" s="640"/>
    </row>
    <row r="443" spans="3:19" s="646" customFormat="1" x14ac:dyDescent="0.35">
      <c r="C443" s="643"/>
      <c r="D443" s="621"/>
      <c r="E443" s="644"/>
      <c r="F443" s="644"/>
      <c r="G443" s="644"/>
      <c r="H443" s="644"/>
      <c r="I443" s="644"/>
      <c r="J443" s="645"/>
      <c r="K443" s="645"/>
      <c r="L443" s="645"/>
      <c r="M443" s="645"/>
      <c r="N443" s="644"/>
      <c r="O443" s="644"/>
      <c r="P443" s="644"/>
      <c r="Q443" s="621"/>
      <c r="R443" s="644"/>
      <c r="S443" s="640"/>
    </row>
    <row r="444" spans="3:19" s="646" customFormat="1" x14ac:dyDescent="0.35">
      <c r="C444" s="643"/>
      <c r="D444" s="621"/>
      <c r="E444" s="644"/>
      <c r="F444" s="644"/>
      <c r="G444" s="644"/>
      <c r="H444" s="644"/>
      <c r="I444" s="644"/>
      <c r="J444" s="645"/>
      <c r="K444" s="645"/>
      <c r="L444" s="645"/>
      <c r="M444" s="645"/>
      <c r="N444" s="644"/>
      <c r="O444" s="644"/>
      <c r="P444" s="644"/>
      <c r="Q444" s="621"/>
      <c r="R444" s="644"/>
      <c r="S444" s="640"/>
    </row>
    <row r="445" spans="3:19" s="646" customFormat="1" x14ac:dyDescent="0.35">
      <c r="C445" s="643"/>
      <c r="D445" s="621"/>
      <c r="E445" s="644"/>
      <c r="F445" s="644"/>
      <c r="G445" s="644"/>
      <c r="H445" s="644"/>
      <c r="I445" s="644"/>
      <c r="J445" s="645"/>
      <c r="K445" s="645"/>
      <c r="L445" s="645"/>
      <c r="M445" s="645"/>
      <c r="N445" s="644"/>
      <c r="O445" s="644"/>
      <c r="P445" s="644"/>
      <c r="Q445" s="621"/>
      <c r="R445" s="644"/>
      <c r="S445" s="640"/>
    </row>
    <row r="446" spans="3:19" s="646" customFormat="1" x14ac:dyDescent="0.35">
      <c r="C446" s="643"/>
      <c r="D446" s="621"/>
      <c r="E446" s="644"/>
      <c r="F446" s="644"/>
      <c r="G446" s="644"/>
      <c r="H446" s="644"/>
      <c r="I446" s="644"/>
      <c r="J446" s="645"/>
      <c r="K446" s="645"/>
      <c r="L446" s="645"/>
      <c r="M446" s="645"/>
      <c r="N446" s="644"/>
      <c r="O446" s="644"/>
      <c r="P446" s="644"/>
      <c r="Q446" s="621"/>
      <c r="R446" s="644"/>
      <c r="S446" s="640"/>
    </row>
    <row r="447" spans="3:19" s="646" customFormat="1" x14ac:dyDescent="0.35">
      <c r="C447" s="643"/>
      <c r="D447" s="621"/>
      <c r="E447" s="644"/>
      <c r="F447" s="644"/>
      <c r="G447" s="644"/>
      <c r="H447" s="644"/>
      <c r="I447" s="644"/>
      <c r="J447" s="645"/>
      <c r="K447" s="645"/>
      <c r="L447" s="645"/>
      <c r="M447" s="645"/>
      <c r="N447" s="644"/>
      <c r="O447" s="644"/>
      <c r="P447" s="644"/>
      <c r="Q447" s="621"/>
      <c r="R447" s="644"/>
      <c r="S447" s="640"/>
    </row>
    <row r="448" spans="3:19" s="646" customFormat="1" x14ac:dyDescent="0.35">
      <c r="C448" s="643"/>
      <c r="D448" s="621"/>
      <c r="E448" s="644"/>
      <c r="F448" s="644"/>
      <c r="G448" s="644"/>
      <c r="H448" s="644"/>
      <c r="I448" s="644"/>
      <c r="J448" s="645"/>
      <c r="K448" s="645"/>
      <c r="L448" s="645"/>
      <c r="M448" s="645"/>
      <c r="N448" s="644"/>
      <c r="O448" s="644"/>
      <c r="P448" s="644"/>
      <c r="Q448" s="621"/>
      <c r="R448" s="644"/>
      <c r="S448" s="640"/>
    </row>
    <row r="449" spans="3:19" s="646" customFormat="1" x14ac:dyDescent="0.35">
      <c r="C449" s="643"/>
      <c r="D449" s="621"/>
      <c r="E449" s="644"/>
      <c r="F449" s="644"/>
      <c r="G449" s="644"/>
      <c r="H449" s="644"/>
      <c r="I449" s="644"/>
      <c r="J449" s="645"/>
      <c r="K449" s="645"/>
      <c r="L449" s="645"/>
      <c r="M449" s="645"/>
      <c r="N449" s="644"/>
      <c r="O449" s="644"/>
      <c r="P449" s="644"/>
      <c r="Q449" s="621"/>
      <c r="R449" s="644"/>
      <c r="S449" s="640"/>
    </row>
    <row r="450" spans="3:19" s="646" customFormat="1" x14ac:dyDescent="0.35">
      <c r="C450" s="643"/>
      <c r="D450" s="621"/>
      <c r="E450" s="644"/>
      <c r="F450" s="644"/>
      <c r="G450" s="644"/>
      <c r="H450" s="644"/>
      <c r="I450" s="644"/>
      <c r="J450" s="645"/>
      <c r="K450" s="645"/>
      <c r="L450" s="645"/>
      <c r="M450" s="645"/>
      <c r="N450" s="644"/>
      <c r="O450" s="644"/>
      <c r="P450" s="644"/>
      <c r="Q450" s="621"/>
      <c r="R450" s="644"/>
      <c r="S450" s="640"/>
    </row>
    <row r="451" spans="3:19" s="646" customFormat="1" x14ac:dyDescent="0.35">
      <c r="C451" s="643"/>
      <c r="D451" s="621"/>
      <c r="E451" s="644"/>
      <c r="F451" s="644"/>
      <c r="G451" s="644"/>
      <c r="H451" s="644"/>
      <c r="I451" s="644"/>
      <c r="J451" s="645"/>
      <c r="K451" s="645"/>
      <c r="L451" s="645"/>
      <c r="M451" s="645"/>
      <c r="N451" s="644"/>
      <c r="O451" s="644"/>
      <c r="P451" s="644"/>
      <c r="Q451" s="621"/>
      <c r="R451" s="644"/>
      <c r="S451" s="640"/>
    </row>
    <row r="452" spans="3:19" s="646" customFormat="1" x14ac:dyDescent="0.35">
      <c r="C452" s="643"/>
      <c r="D452" s="621"/>
      <c r="E452" s="644"/>
      <c r="F452" s="644"/>
      <c r="G452" s="644"/>
      <c r="H452" s="644"/>
      <c r="I452" s="644"/>
      <c r="J452" s="645"/>
      <c r="K452" s="645"/>
      <c r="L452" s="645"/>
      <c r="M452" s="645"/>
      <c r="N452" s="644"/>
      <c r="O452" s="644"/>
      <c r="P452" s="644"/>
      <c r="Q452" s="621"/>
      <c r="R452" s="644"/>
      <c r="S452" s="640"/>
    </row>
    <row r="453" spans="3:19" s="646" customFormat="1" x14ac:dyDescent="0.35">
      <c r="C453" s="643"/>
      <c r="D453" s="621"/>
      <c r="E453" s="644"/>
      <c r="F453" s="644"/>
      <c r="G453" s="644"/>
      <c r="H453" s="644"/>
      <c r="I453" s="644"/>
      <c r="J453" s="645"/>
      <c r="K453" s="645"/>
      <c r="L453" s="645"/>
      <c r="M453" s="645"/>
      <c r="N453" s="644"/>
      <c r="O453" s="644"/>
      <c r="P453" s="644"/>
      <c r="Q453" s="621"/>
      <c r="R453" s="644"/>
      <c r="S453" s="640"/>
    </row>
    <row r="454" spans="3:19" s="646" customFormat="1" x14ac:dyDescent="0.35">
      <c r="C454" s="643"/>
      <c r="D454" s="621"/>
      <c r="E454" s="644"/>
      <c r="F454" s="644"/>
      <c r="G454" s="644"/>
      <c r="H454" s="644"/>
      <c r="I454" s="644"/>
      <c r="J454" s="645"/>
      <c r="K454" s="645"/>
      <c r="L454" s="645"/>
      <c r="M454" s="645"/>
      <c r="N454" s="644"/>
      <c r="O454" s="644"/>
      <c r="P454" s="644"/>
      <c r="Q454" s="621"/>
      <c r="R454" s="644"/>
      <c r="S454" s="640"/>
    </row>
    <row r="455" spans="3:19" s="646" customFormat="1" x14ac:dyDescent="0.35">
      <c r="C455" s="643"/>
      <c r="D455" s="621"/>
      <c r="E455" s="644"/>
      <c r="F455" s="644"/>
      <c r="G455" s="644"/>
      <c r="H455" s="644"/>
      <c r="I455" s="644"/>
      <c r="J455" s="645"/>
      <c r="K455" s="645"/>
      <c r="L455" s="645"/>
      <c r="M455" s="645"/>
      <c r="N455" s="644"/>
      <c r="O455" s="644"/>
      <c r="P455" s="644"/>
      <c r="Q455" s="621"/>
      <c r="R455" s="644"/>
      <c r="S455" s="640"/>
    </row>
    <row r="456" spans="3:19" s="646" customFormat="1" x14ac:dyDescent="0.35">
      <c r="C456" s="643"/>
      <c r="D456" s="621"/>
      <c r="E456" s="644"/>
      <c r="F456" s="644"/>
      <c r="G456" s="644"/>
      <c r="H456" s="644"/>
      <c r="I456" s="644"/>
      <c r="J456" s="645"/>
      <c r="K456" s="645"/>
      <c r="L456" s="645"/>
      <c r="M456" s="645"/>
      <c r="N456" s="644"/>
      <c r="O456" s="644"/>
      <c r="P456" s="644"/>
      <c r="Q456" s="621"/>
      <c r="R456" s="644"/>
      <c r="S456" s="640"/>
    </row>
    <row r="457" spans="3:19" s="646" customFormat="1" x14ac:dyDescent="0.35">
      <c r="C457" s="643"/>
      <c r="D457" s="621"/>
      <c r="E457" s="644"/>
      <c r="F457" s="644"/>
      <c r="G457" s="644"/>
      <c r="H457" s="644"/>
      <c r="I457" s="644"/>
      <c r="J457" s="645"/>
      <c r="K457" s="645"/>
      <c r="L457" s="645"/>
      <c r="M457" s="645"/>
      <c r="N457" s="644"/>
      <c r="O457" s="644"/>
      <c r="P457" s="644"/>
      <c r="Q457" s="621"/>
      <c r="R457" s="644"/>
      <c r="S457" s="640"/>
    </row>
    <row r="458" spans="3:19" s="646" customFormat="1" x14ac:dyDescent="0.35">
      <c r="C458" s="643"/>
      <c r="D458" s="621"/>
      <c r="E458" s="644"/>
      <c r="F458" s="644"/>
      <c r="G458" s="644"/>
      <c r="H458" s="644"/>
      <c r="I458" s="644"/>
      <c r="J458" s="645"/>
      <c r="K458" s="645"/>
      <c r="L458" s="645"/>
      <c r="M458" s="645"/>
      <c r="N458" s="644"/>
      <c r="O458" s="644"/>
      <c r="P458" s="644"/>
      <c r="Q458" s="621"/>
      <c r="R458" s="644"/>
      <c r="S458" s="640"/>
    </row>
    <row r="459" spans="3:19" s="646" customFormat="1" x14ac:dyDescent="0.35">
      <c r="C459" s="643"/>
      <c r="D459" s="621"/>
      <c r="E459" s="644"/>
      <c r="F459" s="644"/>
      <c r="G459" s="644"/>
      <c r="H459" s="644"/>
      <c r="I459" s="644"/>
      <c r="J459" s="645"/>
      <c r="K459" s="645"/>
      <c r="L459" s="645"/>
      <c r="M459" s="645"/>
      <c r="N459" s="644"/>
      <c r="O459" s="644"/>
      <c r="P459" s="644"/>
      <c r="Q459" s="621"/>
      <c r="R459" s="644"/>
      <c r="S459" s="640"/>
    </row>
    <row r="460" spans="3:19" s="646" customFormat="1" x14ac:dyDescent="0.35">
      <c r="C460" s="643"/>
      <c r="D460" s="621"/>
      <c r="E460" s="644"/>
      <c r="F460" s="644"/>
      <c r="G460" s="644"/>
      <c r="H460" s="644"/>
      <c r="I460" s="644"/>
      <c r="J460" s="645"/>
      <c r="K460" s="645"/>
      <c r="L460" s="645"/>
      <c r="M460" s="645"/>
      <c r="N460" s="644"/>
      <c r="O460" s="644"/>
      <c r="P460" s="644"/>
      <c r="Q460" s="621"/>
      <c r="R460" s="644"/>
      <c r="S460" s="640"/>
    </row>
    <row r="461" spans="3:19" s="646" customFormat="1" x14ac:dyDescent="0.35">
      <c r="C461" s="643"/>
      <c r="D461" s="621"/>
      <c r="E461" s="644"/>
      <c r="F461" s="644"/>
      <c r="G461" s="644"/>
      <c r="H461" s="644"/>
      <c r="I461" s="644"/>
      <c r="J461" s="645"/>
      <c r="K461" s="645"/>
      <c r="L461" s="645"/>
      <c r="M461" s="645"/>
      <c r="N461" s="644"/>
      <c r="O461" s="644"/>
      <c r="P461" s="644"/>
      <c r="Q461" s="621"/>
      <c r="R461" s="644"/>
      <c r="S461" s="640"/>
    </row>
    <row r="462" spans="3:19" s="646" customFormat="1" x14ac:dyDescent="0.35">
      <c r="C462" s="643"/>
      <c r="D462" s="621"/>
      <c r="E462" s="644"/>
      <c r="F462" s="644"/>
      <c r="G462" s="644"/>
      <c r="H462" s="644"/>
      <c r="I462" s="644"/>
      <c r="J462" s="645"/>
      <c r="K462" s="645"/>
      <c r="L462" s="645"/>
      <c r="M462" s="645"/>
      <c r="N462" s="644"/>
      <c r="O462" s="644"/>
      <c r="P462" s="644"/>
      <c r="Q462" s="621"/>
      <c r="R462" s="644"/>
      <c r="S462" s="640"/>
    </row>
    <row r="463" spans="3:19" s="646" customFormat="1" x14ac:dyDescent="0.35">
      <c r="C463" s="643"/>
      <c r="D463" s="621"/>
      <c r="E463" s="644"/>
      <c r="F463" s="644"/>
      <c r="G463" s="644"/>
      <c r="H463" s="644"/>
      <c r="I463" s="644"/>
      <c r="J463" s="645"/>
      <c r="K463" s="645"/>
      <c r="L463" s="645"/>
      <c r="M463" s="645"/>
      <c r="N463" s="644"/>
      <c r="O463" s="644"/>
      <c r="P463" s="644"/>
      <c r="Q463" s="621"/>
      <c r="R463" s="644"/>
      <c r="S463" s="640"/>
    </row>
    <row r="464" spans="3:19" s="646" customFormat="1" x14ac:dyDescent="0.35">
      <c r="C464" s="643"/>
      <c r="D464" s="621"/>
      <c r="E464" s="644"/>
      <c r="F464" s="644"/>
      <c r="G464" s="644"/>
      <c r="H464" s="644"/>
      <c r="I464" s="644"/>
      <c r="J464" s="645"/>
      <c r="K464" s="645"/>
      <c r="L464" s="645"/>
      <c r="M464" s="645"/>
      <c r="N464" s="644"/>
      <c r="O464" s="644"/>
      <c r="P464" s="644"/>
      <c r="Q464" s="621"/>
      <c r="R464" s="644"/>
      <c r="S464" s="640"/>
    </row>
    <row r="465" spans="3:19" s="646" customFormat="1" x14ac:dyDescent="0.35">
      <c r="C465" s="643"/>
      <c r="D465" s="621"/>
      <c r="E465" s="644"/>
      <c r="F465" s="644"/>
      <c r="G465" s="644"/>
      <c r="H465" s="644"/>
      <c r="I465" s="644"/>
      <c r="J465" s="645"/>
      <c r="K465" s="645"/>
      <c r="L465" s="645"/>
      <c r="M465" s="645"/>
      <c r="N465" s="644"/>
      <c r="O465" s="644"/>
      <c r="P465" s="644"/>
      <c r="Q465" s="621"/>
      <c r="R465" s="644"/>
      <c r="S465" s="640"/>
    </row>
    <row r="466" spans="3:19" s="646" customFormat="1" x14ac:dyDescent="0.35">
      <c r="C466" s="643"/>
      <c r="D466" s="621"/>
      <c r="E466" s="644"/>
      <c r="F466" s="644"/>
      <c r="G466" s="644"/>
      <c r="H466" s="644"/>
      <c r="I466" s="644"/>
      <c r="J466" s="645"/>
      <c r="K466" s="645"/>
      <c r="L466" s="645"/>
      <c r="M466" s="645"/>
      <c r="N466" s="644"/>
      <c r="O466" s="644"/>
      <c r="P466" s="644"/>
      <c r="Q466" s="621"/>
      <c r="R466" s="644"/>
      <c r="S466" s="640"/>
    </row>
    <row r="467" spans="3:19" s="646" customFormat="1" x14ac:dyDescent="0.35">
      <c r="C467" s="643"/>
      <c r="D467" s="621"/>
      <c r="E467" s="644"/>
      <c r="F467" s="644"/>
      <c r="G467" s="644"/>
      <c r="H467" s="644"/>
      <c r="I467" s="644"/>
      <c r="J467" s="645"/>
      <c r="K467" s="645"/>
      <c r="L467" s="645"/>
      <c r="M467" s="645"/>
      <c r="N467" s="644"/>
      <c r="O467" s="644"/>
      <c r="P467" s="644"/>
      <c r="Q467" s="621"/>
      <c r="R467" s="644"/>
      <c r="S467" s="640"/>
    </row>
    <row r="468" spans="3:19" s="646" customFormat="1" x14ac:dyDescent="0.35">
      <c r="C468" s="643"/>
      <c r="D468" s="621"/>
      <c r="E468" s="644"/>
      <c r="F468" s="644"/>
      <c r="G468" s="644"/>
      <c r="H468" s="644"/>
      <c r="I468" s="644"/>
      <c r="J468" s="645"/>
      <c r="K468" s="645"/>
      <c r="L468" s="645"/>
      <c r="M468" s="645"/>
      <c r="N468" s="644"/>
      <c r="O468" s="644"/>
      <c r="P468" s="644"/>
      <c r="Q468" s="621"/>
      <c r="R468" s="644"/>
      <c r="S468" s="640"/>
    </row>
    <row r="469" spans="3:19" s="646" customFormat="1" x14ac:dyDescent="0.35">
      <c r="C469" s="643"/>
      <c r="D469" s="621"/>
      <c r="E469" s="644"/>
      <c r="F469" s="644"/>
      <c r="G469" s="644"/>
      <c r="H469" s="644"/>
      <c r="I469" s="644"/>
      <c r="J469" s="645"/>
      <c r="K469" s="645"/>
      <c r="L469" s="645"/>
      <c r="M469" s="645"/>
      <c r="N469" s="644"/>
      <c r="O469" s="644"/>
      <c r="P469" s="644"/>
      <c r="Q469" s="621"/>
      <c r="R469" s="644"/>
      <c r="S469" s="640"/>
    </row>
    <row r="470" spans="3:19" s="646" customFormat="1" x14ac:dyDescent="0.35">
      <c r="C470" s="643"/>
      <c r="D470" s="621"/>
      <c r="E470" s="644"/>
      <c r="F470" s="644"/>
      <c r="G470" s="644"/>
      <c r="H470" s="644"/>
      <c r="I470" s="644"/>
      <c r="J470" s="645"/>
      <c r="K470" s="645"/>
      <c r="L470" s="645"/>
      <c r="M470" s="645"/>
      <c r="N470" s="644"/>
      <c r="O470" s="644"/>
      <c r="P470" s="644"/>
      <c r="Q470" s="621"/>
      <c r="R470" s="644"/>
      <c r="S470" s="640"/>
    </row>
    <row r="471" spans="3:19" s="646" customFormat="1" x14ac:dyDescent="0.35">
      <c r="C471" s="643"/>
      <c r="D471" s="621"/>
      <c r="E471" s="644"/>
      <c r="F471" s="644"/>
      <c r="G471" s="644"/>
      <c r="H471" s="644"/>
      <c r="I471" s="644"/>
      <c r="J471" s="645"/>
      <c r="K471" s="645"/>
      <c r="L471" s="645"/>
      <c r="M471" s="645"/>
      <c r="N471" s="644"/>
      <c r="O471" s="644"/>
      <c r="P471" s="644"/>
      <c r="Q471" s="621"/>
      <c r="R471" s="644"/>
      <c r="S471" s="640"/>
    </row>
    <row r="472" spans="3:19" s="646" customFormat="1" x14ac:dyDescent="0.35">
      <c r="C472" s="643"/>
      <c r="D472" s="621"/>
      <c r="E472" s="644"/>
      <c r="F472" s="644"/>
      <c r="G472" s="644"/>
      <c r="H472" s="644"/>
      <c r="I472" s="644"/>
      <c r="J472" s="645"/>
      <c r="K472" s="645"/>
      <c r="L472" s="645"/>
      <c r="M472" s="645"/>
      <c r="N472" s="644"/>
      <c r="O472" s="644"/>
      <c r="P472" s="644"/>
      <c r="Q472" s="621"/>
      <c r="R472" s="644"/>
      <c r="S472" s="640"/>
    </row>
    <row r="473" spans="3:19" s="646" customFormat="1" x14ac:dyDescent="0.35">
      <c r="C473" s="643"/>
      <c r="D473" s="621"/>
      <c r="E473" s="644"/>
      <c r="F473" s="644"/>
      <c r="G473" s="644"/>
      <c r="H473" s="644"/>
      <c r="I473" s="644"/>
      <c r="J473" s="645"/>
      <c r="K473" s="645"/>
      <c r="L473" s="645"/>
      <c r="M473" s="645"/>
      <c r="N473" s="644"/>
      <c r="O473" s="644"/>
      <c r="P473" s="644"/>
      <c r="Q473" s="621"/>
      <c r="R473" s="644"/>
      <c r="S473" s="640"/>
    </row>
    <row r="474" spans="3:19" s="646" customFormat="1" x14ac:dyDescent="0.35">
      <c r="C474" s="643"/>
      <c r="D474" s="621"/>
      <c r="E474" s="644"/>
      <c r="F474" s="644"/>
      <c r="G474" s="644"/>
      <c r="H474" s="644"/>
      <c r="I474" s="644"/>
      <c r="J474" s="645"/>
      <c r="K474" s="645"/>
      <c r="L474" s="645"/>
      <c r="M474" s="645"/>
      <c r="N474" s="644"/>
      <c r="O474" s="644"/>
      <c r="P474" s="644"/>
      <c r="Q474" s="621"/>
      <c r="R474" s="644"/>
      <c r="S474" s="640"/>
    </row>
    <row r="475" spans="3:19" s="646" customFormat="1" x14ac:dyDescent="0.35">
      <c r="C475" s="643"/>
      <c r="D475" s="621"/>
      <c r="E475" s="644"/>
      <c r="F475" s="644"/>
      <c r="G475" s="644"/>
      <c r="H475" s="644"/>
      <c r="I475" s="644"/>
      <c r="J475" s="645"/>
      <c r="K475" s="645"/>
      <c r="L475" s="645"/>
      <c r="M475" s="645"/>
      <c r="N475" s="644"/>
      <c r="O475" s="644"/>
      <c r="P475" s="644"/>
      <c r="Q475" s="621"/>
      <c r="R475" s="644"/>
      <c r="S475" s="640"/>
    </row>
    <row r="476" spans="3:19" s="646" customFormat="1" x14ac:dyDescent="0.35">
      <c r="C476" s="643"/>
      <c r="D476" s="621"/>
      <c r="E476" s="644"/>
      <c r="F476" s="644"/>
      <c r="G476" s="644"/>
      <c r="H476" s="644"/>
      <c r="I476" s="644"/>
      <c r="J476" s="645"/>
      <c r="K476" s="645"/>
      <c r="L476" s="645"/>
      <c r="M476" s="645"/>
      <c r="N476" s="644"/>
      <c r="O476" s="644"/>
      <c r="P476" s="644"/>
      <c r="Q476" s="621"/>
      <c r="R476" s="644"/>
      <c r="S476" s="640"/>
    </row>
    <row r="477" spans="3:19" s="646" customFormat="1" x14ac:dyDescent="0.35">
      <c r="C477" s="643"/>
      <c r="D477" s="621"/>
      <c r="E477" s="644"/>
      <c r="F477" s="644"/>
      <c r="G477" s="644"/>
      <c r="H477" s="644"/>
      <c r="I477" s="644"/>
      <c r="J477" s="645"/>
      <c r="K477" s="645"/>
      <c r="L477" s="645"/>
      <c r="M477" s="645"/>
      <c r="N477" s="644"/>
      <c r="O477" s="644"/>
      <c r="P477" s="644"/>
      <c r="Q477" s="621"/>
      <c r="R477" s="644"/>
      <c r="S477" s="640"/>
    </row>
    <row r="478" spans="3:19" s="646" customFormat="1" x14ac:dyDescent="0.35">
      <c r="C478" s="643"/>
      <c r="D478" s="621"/>
      <c r="E478" s="644"/>
      <c r="F478" s="644"/>
      <c r="G478" s="644"/>
      <c r="H478" s="644"/>
      <c r="I478" s="644"/>
      <c r="J478" s="645"/>
      <c r="K478" s="645"/>
      <c r="L478" s="645"/>
      <c r="M478" s="645"/>
      <c r="N478" s="644"/>
      <c r="O478" s="644"/>
      <c r="P478" s="644"/>
      <c r="Q478" s="621"/>
      <c r="R478" s="644"/>
      <c r="S478" s="640"/>
    </row>
    <row r="479" spans="3:19" s="646" customFormat="1" x14ac:dyDescent="0.35">
      <c r="C479" s="643"/>
      <c r="D479" s="621"/>
      <c r="E479" s="644"/>
      <c r="F479" s="644"/>
      <c r="G479" s="644"/>
      <c r="H479" s="644"/>
      <c r="I479" s="644"/>
      <c r="J479" s="645"/>
      <c r="K479" s="645"/>
      <c r="L479" s="645"/>
      <c r="M479" s="645"/>
      <c r="N479" s="644"/>
      <c r="O479" s="644"/>
      <c r="P479" s="644"/>
      <c r="Q479" s="621"/>
      <c r="R479" s="644"/>
      <c r="S479" s="640"/>
    </row>
    <row r="480" spans="3:19" s="646" customFormat="1" x14ac:dyDescent="0.35">
      <c r="C480" s="643"/>
      <c r="D480" s="621"/>
      <c r="E480" s="644"/>
      <c r="F480" s="644"/>
      <c r="G480" s="644"/>
      <c r="H480" s="644"/>
      <c r="I480" s="644"/>
      <c r="J480" s="645"/>
      <c r="K480" s="645"/>
      <c r="L480" s="645"/>
      <c r="M480" s="645"/>
      <c r="N480" s="644"/>
      <c r="O480" s="644"/>
      <c r="P480" s="644"/>
      <c r="Q480" s="621"/>
      <c r="R480" s="644"/>
      <c r="S480" s="640"/>
    </row>
    <row r="481" spans="3:19" s="646" customFormat="1" x14ac:dyDescent="0.35">
      <c r="C481" s="643"/>
      <c r="D481" s="621"/>
      <c r="E481" s="644"/>
      <c r="F481" s="644"/>
      <c r="G481" s="644"/>
      <c r="H481" s="644"/>
      <c r="I481" s="644"/>
      <c r="J481" s="645"/>
      <c r="K481" s="645"/>
      <c r="L481" s="645"/>
      <c r="M481" s="645"/>
      <c r="N481" s="644"/>
      <c r="O481" s="644"/>
      <c r="P481" s="644"/>
      <c r="Q481" s="621"/>
      <c r="R481" s="644"/>
      <c r="S481" s="640"/>
    </row>
    <row r="482" spans="3:19" s="646" customFormat="1" x14ac:dyDescent="0.35">
      <c r="C482" s="643"/>
      <c r="D482" s="621"/>
      <c r="E482" s="644"/>
      <c r="F482" s="644"/>
      <c r="G482" s="644"/>
      <c r="H482" s="644"/>
      <c r="I482" s="644"/>
      <c r="J482" s="645"/>
      <c r="K482" s="645"/>
      <c r="L482" s="645"/>
      <c r="M482" s="645"/>
      <c r="N482" s="644"/>
      <c r="O482" s="644"/>
      <c r="P482" s="644"/>
      <c r="Q482" s="621"/>
      <c r="R482" s="644"/>
      <c r="S482" s="640"/>
    </row>
    <row r="483" spans="3:19" s="646" customFormat="1" x14ac:dyDescent="0.35">
      <c r="C483" s="643"/>
      <c r="D483" s="621"/>
      <c r="E483" s="644"/>
      <c r="F483" s="644"/>
      <c r="G483" s="644"/>
      <c r="H483" s="644"/>
      <c r="I483" s="644"/>
      <c r="J483" s="645"/>
      <c r="K483" s="645"/>
      <c r="L483" s="645"/>
      <c r="M483" s="645"/>
      <c r="N483" s="644"/>
      <c r="O483" s="644"/>
      <c r="P483" s="644"/>
      <c r="Q483" s="621"/>
      <c r="R483" s="644"/>
      <c r="S483" s="640"/>
    </row>
    <row r="484" spans="3:19" s="646" customFormat="1" x14ac:dyDescent="0.35">
      <c r="C484" s="643"/>
      <c r="D484" s="621"/>
      <c r="E484" s="644"/>
      <c r="F484" s="644"/>
      <c r="G484" s="644"/>
      <c r="H484" s="644"/>
      <c r="I484" s="644"/>
      <c r="J484" s="645"/>
      <c r="K484" s="645"/>
      <c r="L484" s="645"/>
      <c r="M484" s="645"/>
      <c r="N484" s="644"/>
      <c r="O484" s="644"/>
      <c r="P484" s="644"/>
      <c r="Q484" s="621"/>
      <c r="R484" s="644"/>
      <c r="S484" s="640"/>
    </row>
    <row r="485" spans="3:19" s="646" customFormat="1" x14ac:dyDescent="0.35">
      <c r="C485" s="643"/>
      <c r="D485" s="621"/>
      <c r="E485" s="644"/>
      <c r="F485" s="644"/>
      <c r="G485" s="644"/>
      <c r="H485" s="644"/>
      <c r="I485" s="644"/>
      <c r="J485" s="645"/>
      <c r="K485" s="645"/>
      <c r="L485" s="645"/>
      <c r="M485" s="645"/>
      <c r="N485" s="644"/>
      <c r="O485" s="644"/>
      <c r="P485" s="644"/>
      <c r="Q485" s="621"/>
      <c r="R485" s="644"/>
      <c r="S485" s="640"/>
    </row>
    <row r="486" spans="3:19" s="646" customFormat="1" x14ac:dyDescent="0.35">
      <c r="C486" s="643"/>
      <c r="D486" s="621"/>
      <c r="E486" s="644"/>
      <c r="F486" s="644"/>
      <c r="G486" s="644"/>
      <c r="H486" s="644"/>
      <c r="I486" s="644"/>
      <c r="J486" s="645"/>
      <c r="K486" s="645"/>
      <c r="L486" s="645"/>
      <c r="M486" s="645"/>
      <c r="N486" s="644"/>
      <c r="O486" s="644"/>
      <c r="P486" s="644"/>
      <c r="Q486" s="621"/>
      <c r="R486" s="644"/>
      <c r="S486" s="640"/>
    </row>
    <row r="487" spans="3:19" s="646" customFormat="1" x14ac:dyDescent="0.35">
      <c r="C487" s="643"/>
      <c r="D487" s="621"/>
      <c r="E487" s="644"/>
      <c r="F487" s="644"/>
      <c r="G487" s="644"/>
      <c r="H487" s="644"/>
      <c r="I487" s="644"/>
      <c r="J487" s="645"/>
      <c r="K487" s="645"/>
      <c r="L487" s="645"/>
      <c r="M487" s="645"/>
      <c r="N487" s="644"/>
      <c r="O487" s="644"/>
      <c r="P487" s="644"/>
      <c r="Q487" s="621"/>
      <c r="R487" s="644"/>
      <c r="S487" s="640"/>
    </row>
    <row r="488" spans="3:19" s="646" customFormat="1" x14ac:dyDescent="0.35">
      <c r="C488" s="643"/>
      <c r="D488" s="621"/>
      <c r="E488" s="644"/>
      <c r="F488" s="644"/>
      <c r="G488" s="644"/>
      <c r="H488" s="644"/>
      <c r="I488" s="644"/>
      <c r="J488" s="645"/>
      <c r="K488" s="645"/>
      <c r="L488" s="645"/>
      <c r="M488" s="645"/>
      <c r="N488" s="644"/>
      <c r="O488" s="644"/>
      <c r="P488" s="644"/>
      <c r="Q488" s="621"/>
      <c r="R488" s="644"/>
      <c r="S488" s="640"/>
    </row>
    <row r="489" spans="3:19" s="646" customFormat="1" x14ac:dyDescent="0.35">
      <c r="C489" s="643"/>
      <c r="D489" s="621"/>
      <c r="E489" s="644"/>
      <c r="F489" s="644"/>
      <c r="G489" s="644"/>
      <c r="H489" s="644"/>
      <c r="I489" s="644"/>
      <c r="J489" s="645"/>
      <c r="K489" s="645"/>
      <c r="L489" s="645"/>
      <c r="M489" s="645"/>
      <c r="N489" s="644"/>
      <c r="O489" s="644"/>
      <c r="P489" s="644"/>
      <c r="Q489" s="621"/>
      <c r="R489" s="644"/>
      <c r="S489" s="640"/>
    </row>
    <row r="490" spans="3:19" s="646" customFormat="1" x14ac:dyDescent="0.35">
      <c r="C490" s="643"/>
      <c r="D490" s="621"/>
      <c r="E490" s="644"/>
      <c r="F490" s="644"/>
      <c r="G490" s="644"/>
      <c r="H490" s="644"/>
      <c r="I490" s="644"/>
      <c r="J490" s="645"/>
      <c r="K490" s="645"/>
      <c r="L490" s="645"/>
      <c r="M490" s="645"/>
      <c r="N490" s="644"/>
      <c r="O490" s="644"/>
      <c r="P490" s="644"/>
      <c r="Q490" s="621"/>
      <c r="R490" s="644"/>
      <c r="S490" s="640"/>
    </row>
    <row r="491" spans="3:19" s="646" customFormat="1" x14ac:dyDescent="0.35">
      <c r="C491" s="643"/>
      <c r="D491" s="621"/>
      <c r="E491" s="644"/>
      <c r="F491" s="644"/>
      <c r="G491" s="644"/>
      <c r="H491" s="644"/>
      <c r="I491" s="644"/>
      <c r="J491" s="645"/>
      <c r="K491" s="645"/>
      <c r="L491" s="645"/>
      <c r="M491" s="645"/>
      <c r="N491" s="644"/>
      <c r="O491" s="644"/>
      <c r="P491" s="644"/>
      <c r="Q491" s="621"/>
      <c r="R491" s="644"/>
      <c r="S491" s="640"/>
    </row>
    <row r="492" spans="3:19" s="646" customFormat="1" x14ac:dyDescent="0.35">
      <c r="C492" s="643"/>
      <c r="D492" s="621"/>
      <c r="E492" s="644"/>
      <c r="F492" s="644"/>
      <c r="G492" s="644"/>
      <c r="H492" s="644"/>
      <c r="I492" s="644"/>
      <c r="J492" s="645"/>
      <c r="K492" s="645"/>
      <c r="L492" s="645"/>
      <c r="M492" s="645"/>
      <c r="N492" s="644"/>
      <c r="O492" s="644"/>
      <c r="P492" s="644"/>
      <c r="Q492" s="621"/>
      <c r="R492" s="644"/>
      <c r="S492" s="640"/>
    </row>
    <row r="493" spans="3:19" s="646" customFormat="1" x14ac:dyDescent="0.35">
      <c r="C493" s="643"/>
      <c r="D493" s="621"/>
      <c r="E493" s="644"/>
      <c r="F493" s="644"/>
      <c r="G493" s="644"/>
      <c r="H493" s="644"/>
      <c r="I493" s="644"/>
      <c r="J493" s="645"/>
      <c r="K493" s="645"/>
      <c r="L493" s="645"/>
      <c r="M493" s="645"/>
      <c r="N493" s="644"/>
      <c r="O493" s="644"/>
      <c r="P493" s="644"/>
      <c r="Q493" s="621"/>
      <c r="R493" s="644"/>
      <c r="S493" s="640"/>
    </row>
    <row r="494" spans="3:19" s="646" customFormat="1" x14ac:dyDescent="0.35">
      <c r="C494" s="643"/>
      <c r="D494" s="621"/>
      <c r="E494" s="644"/>
      <c r="F494" s="644"/>
      <c r="G494" s="644"/>
      <c r="H494" s="644"/>
      <c r="I494" s="644"/>
      <c r="J494" s="645"/>
      <c r="K494" s="645"/>
      <c r="L494" s="645"/>
      <c r="M494" s="645"/>
      <c r="N494" s="644"/>
      <c r="O494" s="644"/>
      <c r="P494" s="644"/>
      <c r="Q494" s="621"/>
      <c r="R494" s="644"/>
      <c r="S494" s="640"/>
    </row>
    <row r="495" spans="3:19" s="646" customFormat="1" x14ac:dyDescent="0.35">
      <c r="C495" s="643"/>
      <c r="D495" s="621"/>
      <c r="E495" s="644"/>
      <c r="F495" s="644"/>
      <c r="G495" s="644"/>
      <c r="H495" s="644"/>
      <c r="I495" s="644"/>
      <c r="J495" s="645"/>
      <c r="K495" s="645"/>
      <c r="L495" s="645"/>
      <c r="M495" s="645"/>
      <c r="N495" s="644"/>
      <c r="O495" s="644"/>
      <c r="P495" s="644"/>
      <c r="Q495" s="621"/>
      <c r="R495" s="644"/>
      <c r="S495" s="640"/>
    </row>
    <row r="496" spans="3:19" s="646" customFormat="1" x14ac:dyDescent="0.35">
      <c r="C496" s="643"/>
      <c r="D496" s="621"/>
      <c r="E496" s="644"/>
      <c r="F496" s="644"/>
      <c r="G496" s="644"/>
      <c r="H496" s="644"/>
      <c r="I496" s="644"/>
      <c r="J496" s="645"/>
      <c r="K496" s="645"/>
      <c r="L496" s="645"/>
      <c r="M496" s="645"/>
      <c r="N496" s="644"/>
      <c r="O496" s="644"/>
      <c r="P496" s="644"/>
      <c r="Q496" s="621"/>
      <c r="R496" s="644"/>
      <c r="S496" s="640"/>
    </row>
    <row r="497" spans="3:19" s="646" customFormat="1" x14ac:dyDescent="0.35">
      <c r="C497" s="643"/>
      <c r="D497" s="621"/>
      <c r="E497" s="644"/>
      <c r="F497" s="644"/>
      <c r="G497" s="644"/>
      <c r="H497" s="644"/>
      <c r="I497" s="644"/>
      <c r="J497" s="645"/>
      <c r="K497" s="645"/>
      <c r="L497" s="645"/>
      <c r="M497" s="645"/>
      <c r="N497" s="644"/>
      <c r="O497" s="644"/>
      <c r="P497" s="644"/>
      <c r="Q497" s="621"/>
      <c r="R497" s="644"/>
      <c r="S497" s="640"/>
    </row>
    <row r="498" spans="3:19" s="646" customFormat="1" x14ac:dyDescent="0.35">
      <c r="C498" s="643"/>
      <c r="D498" s="621"/>
      <c r="E498" s="644"/>
      <c r="F498" s="644"/>
      <c r="G498" s="644"/>
      <c r="H498" s="644"/>
      <c r="I498" s="644"/>
      <c r="J498" s="645"/>
      <c r="K498" s="645"/>
      <c r="L498" s="645"/>
      <c r="M498" s="645"/>
      <c r="N498" s="644"/>
      <c r="O498" s="644"/>
      <c r="P498" s="644"/>
      <c r="Q498" s="621"/>
      <c r="R498" s="644"/>
      <c r="S498" s="640"/>
    </row>
    <row r="499" spans="3:19" s="646" customFormat="1" x14ac:dyDescent="0.35">
      <c r="C499" s="643"/>
      <c r="D499" s="621"/>
      <c r="E499" s="644"/>
      <c r="F499" s="644"/>
      <c r="G499" s="644"/>
      <c r="H499" s="644"/>
      <c r="I499" s="644"/>
      <c r="J499" s="645"/>
      <c r="K499" s="645"/>
      <c r="L499" s="645"/>
      <c r="M499" s="645"/>
      <c r="N499" s="644"/>
      <c r="O499" s="644"/>
      <c r="P499" s="644"/>
      <c r="Q499" s="621"/>
      <c r="R499" s="644"/>
      <c r="S499" s="640"/>
    </row>
    <row r="500" spans="3:19" s="646" customFormat="1" x14ac:dyDescent="0.35">
      <c r="C500" s="643"/>
      <c r="D500" s="621"/>
      <c r="E500" s="644"/>
      <c r="F500" s="644"/>
      <c r="G500" s="644"/>
      <c r="H500" s="644"/>
      <c r="I500" s="644"/>
      <c r="J500" s="645"/>
      <c r="K500" s="645"/>
      <c r="L500" s="645"/>
      <c r="M500" s="645"/>
      <c r="N500" s="644"/>
      <c r="O500" s="644"/>
      <c r="P500" s="644"/>
      <c r="Q500" s="621"/>
      <c r="R500" s="644"/>
      <c r="S500" s="640"/>
    </row>
    <row r="501" spans="3:19" s="646" customFormat="1" x14ac:dyDescent="0.35">
      <c r="C501" s="643"/>
      <c r="D501" s="621"/>
      <c r="E501" s="644"/>
      <c r="F501" s="644"/>
      <c r="G501" s="644"/>
      <c r="H501" s="644"/>
      <c r="I501" s="644"/>
      <c r="J501" s="645"/>
      <c r="K501" s="645"/>
      <c r="L501" s="645"/>
      <c r="M501" s="645"/>
      <c r="N501" s="644"/>
      <c r="O501" s="644"/>
      <c r="P501" s="644"/>
      <c r="Q501" s="621"/>
      <c r="R501" s="644"/>
      <c r="S501" s="640"/>
    </row>
    <row r="502" spans="3:19" s="646" customFormat="1" x14ac:dyDescent="0.35">
      <c r="C502" s="643"/>
      <c r="D502" s="621"/>
      <c r="E502" s="644"/>
      <c r="F502" s="644"/>
      <c r="G502" s="644"/>
      <c r="H502" s="644"/>
      <c r="I502" s="644"/>
      <c r="J502" s="645"/>
      <c r="K502" s="645"/>
      <c r="L502" s="645"/>
      <c r="M502" s="645"/>
      <c r="N502" s="644"/>
      <c r="O502" s="644"/>
      <c r="P502" s="644"/>
      <c r="Q502" s="621"/>
      <c r="R502" s="644"/>
      <c r="S502" s="640"/>
    </row>
    <row r="503" spans="3:19" s="646" customFormat="1" x14ac:dyDescent="0.35">
      <c r="C503" s="643"/>
      <c r="D503" s="621"/>
      <c r="E503" s="644"/>
      <c r="F503" s="644"/>
      <c r="G503" s="644"/>
      <c r="H503" s="644"/>
      <c r="I503" s="644"/>
      <c r="J503" s="645"/>
      <c r="K503" s="645"/>
      <c r="L503" s="645"/>
      <c r="M503" s="645"/>
      <c r="N503" s="644"/>
      <c r="O503" s="644"/>
      <c r="P503" s="644"/>
      <c r="Q503" s="621"/>
      <c r="R503" s="644"/>
      <c r="S503" s="640"/>
    </row>
    <row r="504" spans="3:19" s="646" customFormat="1" x14ac:dyDescent="0.35">
      <c r="C504" s="643"/>
      <c r="D504" s="621"/>
      <c r="E504" s="644"/>
      <c r="F504" s="644"/>
      <c r="G504" s="644"/>
      <c r="H504" s="644"/>
      <c r="I504" s="644"/>
      <c r="J504" s="645"/>
      <c r="K504" s="645"/>
      <c r="L504" s="645"/>
      <c r="M504" s="645"/>
      <c r="N504" s="644"/>
      <c r="O504" s="644"/>
      <c r="P504" s="644"/>
      <c r="Q504" s="621"/>
      <c r="R504" s="644"/>
      <c r="S504" s="640"/>
    </row>
    <row r="505" spans="3:19" s="646" customFormat="1" x14ac:dyDescent="0.35">
      <c r="C505" s="643"/>
      <c r="D505" s="621"/>
      <c r="E505" s="644"/>
      <c r="F505" s="644"/>
      <c r="G505" s="644"/>
      <c r="H505" s="644"/>
      <c r="I505" s="644"/>
      <c r="J505" s="645"/>
      <c r="K505" s="645"/>
      <c r="L505" s="645"/>
      <c r="M505" s="645"/>
      <c r="N505" s="644"/>
      <c r="O505" s="644"/>
      <c r="P505" s="644"/>
      <c r="Q505" s="621"/>
      <c r="R505" s="644"/>
      <c r="S505" s="640"/>
    </row>
    <row r="506" spans="3:19" s="646" customFormat="1" x14ac:dyDescent="0.35">
      <c r="C506" s="643"/>
      <c r="D506" s="621"/>
      <c r="E506" s="644"/>
      <c r="F506" s="644"/>
      <c r="G506" s="644"/>
      <c r="H506" s="644"/>
      <c r="I506" s="644"/>
      <c r="J506" s="645"/>
      <c r="K506" s="645"/>
      <c r="L506" s="645"/>
      <c r="M506" s="645"/>
      <c r="N506" s="644"/>
      <c r="O506" s="644"/>
      <c r="P506" s="644"/>
      <c r="Q506" s="621"/>
      <c r="R506" s="644"/>
      <c r="S506" s="640"/>
    </row>
    <row r="507" spans="3:19" s="646" customFormat="1" x14ac:dyDescent="0.35">
      <c r="C507" s="643"/>
      <c r="D507" s="621"/>
      <c r="E507" s="644"/>
      <c r="F507" s="644"/>
      <c r="G507" s="644"/>
      <c r="H507" s="644"/>
      <c r="I507" s="644"/>
      <c r="J507" s="645"/>
      <c r="K507" s="645"/>
      <c r="L507" s="645"/>
      <c r="M507" s="645"/>
      <c r="N507" s="644"/>
      <c r="O507" s="644"/>
      <c r="P507" s="644"/>
      <c r="Q507" s="621"/>
      <c r="R507" s="644"/>
      <c r="S507" s="640"/>
    </row>
    <row r="508" spans="3:19" s="646" customFormat="1" x14ac:dyDescent="0.35">
      <c r="C508" s="643"/>
      <c r="D508" s="621"/>
      <c r="E508" s="644"/>
      <c r="F508" s="644"/>
      <c r="G508" s="644"/>
      <c r="H508" s="644"/>
      <c r="I508" s="644"/>
      <c r="J508" s="645"/>
      <c r="K508" s="645"/>
      <c r="L508" s="645"/>
      <c r="M508" s="645"/>
      <c r="N508" s="644"/>
      <c r="O508" s="644"/>
      <c r="P508" s="644"/>
      <c r="Q508" s="621"/>
      <c r="R508" s="644"/>
      <c r="S508" s="640"/>
    </row>
    <row r="509" spans="3:19" s="646" customFormat="1" x14ac:dyDescent="0.35">
      <c r="C509" s="643"/>
      <c r="D509" s="621"/>
      <c r="E509" s="644"/>
      <c r="F509" s="644"/>
      <c r="G509" s="644"/>
      <c r="H509" s="644"/>
      <c r="I509" s="644"/>
      <c r="J509" s="645"/>
      <c r="K509" s="645"/>
      <c r="L509" s="645"/>
      <c r="M509" s="645"/>
      <c r="N509" s="644"/>
      <c r="O509" s="644"/>
      <c r="P509" s="644"/>
      <c r="Q509" s="621"/>
      <c r="R509" s="644"/>
      <c r="S509" s="640"/>
    </row>
    <row r="510" spans="3:19" s="646" customFormat="1" x14ac:dyDescent="0.35">
      <c r="C510" s="643"/>
      <c r="D510" s="621"/>
      <c r="E510" s="644"/>
      <c r="F510" s="644"/>
      <c r="G510" s="644"/>
      <c r="H510" s="644"/>
      <c r="I510" s="644"/>
      <c r="J510" s="645"/>
      <c r="K510" s="645"/>
      <c r="L510" s="645"/>
      <c r="M510" s="645"/>
      <c r="N510" s="644"/>
      <c r="O510" s="644"/>
      <c r="P510" s="644"/>
      <c r="Q510" s="621"/>
      <c r="R510" s="644"/>
      <c r="S510" s="640"/>
    </row>
    <row r="511" spans="3:19" s="646" customFormat="1" x14ac:dyDescent="0.35">
      <c r="C511" s="643"/>
      <c r="D511" s="621"/>
      <c r="E511" s="644"/>
      <c r="F511" s="644"/>
      <c r="G511" s="644"/>
      <c r="H511" s="644"/>
      <c r="I511" s="644"/>
      <c r="J511" s="645"/>
      <c r="K511" s="645"/>
      <c r="L511" s="645"/>
      <c r="M511" s="645"/>
      <c r="N511" s="644"/>
      <c r="O511" s="644"/>
      <c r="P511" s="644"/>
      <c r="Q511" s="621"/>
      <c r="R511" s="644"/>
      <c r="S511" s="640"/>
    </row>
    <row r="512" spans="3:19" s="646" customFormat="1" x14ac:dyDescent="0.35">
      <c r="C512" s="643"/>
      <c r="D512" s="621"/>
      <c r="E512" s="644"/>
      <c r="F512" s="644"/>
      <c r="G512" s="644"/>
      <c r="H512" s="644"/>
      <c r="I512" s="644"/>
      <c r="J512" s="645"/>
      <c r="K512" s="645"/>
      <c r="L512" s="645"/>
      <c r="M512" s="645"/>
      <c r="N512" s="644"/>
      <c r="O512" s="644"/>
      <c r="P512" s="644"/>
      <c r="Q512" s="621"/>
      <c r="R512" s="644"/>
      <c r="S512" s="640"/>
    </row>
    <row r="513" spans="3:19" s="646" customFormat="1" x14ac:dyDescent="0.35">
      <c r="C513" s="643"/>
      <c r="D513" s="621"/>
      <c r="E513" s="644"/>
      <c r="F513" s="644"/>
      <c r="G513" s="644"/>
      <c r="H513" s="644"/>
      <c r="I513" s="644"/>
      <c r="J513" s="645"/>
      <c r="K513" s="645"/>
      <c r="L513" s="645"/>
      <c r="M513" s="645"/>
      <c r="N513" s="644"/>
      <c r="O513" s="644"/>
      <c r="P513" s="644"/>
      <c r="Q513" s="621"/>
      <c r="R513" s="644"/>
      <c r="S513" s="640"/>
    </row>
    <row r="514" spans="3:19" s="646" customFormat="1" x14ac:dyDescent="0.35">
      <c r="C514" s="643"/>
      <c r="D514" s="621"/>
      <c r="E514" s="644"/>
      <c r="F514" s="644"/>
      <c r="G514" s="644"/>
      <c r="H514" s="644"/>
      <c r="I514" s="644"/>
      <c r="J514" s="645"/>
      <c r="K514" s="645"/>
      <c r="L514" s="645"/>
      <c r="M514" s="645"/>
      <c r="N514" s="644"/>
      <c r="O514" s="644"/>
      <c r="P514" s="644"/>
      <c r="Q514" s="621"/>
      <c r="R514" s="644"/>
      <c r="S514" s="640"/>
    </row>
    <row r="515" spans="3:19" s="646" customFormat="1" x14ac:dyDescent="0.35">
      <c r="C515" s="643"/>
      <c r="D515" s="621"/>
      <c r="E515" s="644"/>
      <c r="F515" s="644"/>
      <c r="G515" s="644"/>
      <c r="H515" s="644"/>
      <c r="I515" s="644"/>
      <c r="J515" s="645"/>
      <c r="K515" s="645"/>
      <c r="L515" s="645"/>
      <c r="M515" s="645"/>
      <c r="N515" s="644"/>
      <c r="O515" s="644"/>
      <c r="P515" s="644"/>
      <c r="Q515" s="621"/>
      <c r="R515" s="644"/>
      <c r="S515" s="640"/>
    </row>
    <row r="516" spans="3:19" s="646" customFormat="1" x14ac:dyDescent="0.35">
      <c r="C516" s="643"/>
      <c r="D516" s="621"/>
      <c r="E516" s="644"/>
      <c r="F516" s="644"/>
      <c r="G516" s="644"/>
      <c r="H516" s="644"/>
      <c r="I516" s="644"/>
      <c r="J516" s="645"/>
      <c r="K516" s="645"/>
      <c r="L516" s="645"/>
      <c r="M516" s="645"/>
      <c r="N516" s="644"/>
      <c r="O516" s="644"/>
      <c r="P516" s="644"/>
      <c r="Q516" s="621"/>
      <c r="R516" s="644"/>
      <c r="S516" s="640"/>
    </row>
    <row r="517" spans="3:19" s="646" customFormat="1" x14ac:dyDescent="0.35">
      <c r="C517" s="643"/>
      <c r="D517" s="621"/>
      <c r="E517" s="644"/>
      <c r="F517" s="644"/>
      <c r="G517" s="644"/>
      <c r="H517" s="644"/>
      <c r="I517" s="644"/>
      <c r="J517" s="645"/>
      <c r="K517" s="645"/>
      <c r="L517" s="645"/>
      <c r="M517" s="645"/>
      <c r="N517" s="644"/>
      <c r="O517" s="644"/>
      <c r="P517" s="644"/>
      <c r="Q517" s="621"/>
      <c r="R517" s="644"/>
      <c r="S517" s="640"/>
    </row>
    <row r="518" spans="3:19" s="646" customFormat="1" x14ac:dyDescent="0.35">
      <c r="C518" s="643"/>
      <c r="D518" s="621"/>
      <c r="E518" s="644"/>
      <c r="F518" s="644"/>
      <c r="G518" s="644"/>
      <c r="H518" s="644"/>
      <c r="I518" s="644"/>
      <c r="J518" s="645"/>
      <c r="K518" s="645"/>
      <c r="L518" s="645"/>
      <c r="M518" s="645"/>
      <c r="N518" s="644"/>
      <c r="O518" s="644"/>
      <c r="P518" s="644"/>
      <c r="Q518" s="621"/>
      <c r="R518" s="644"/>
      <c r="S518" s="640"/>
    </row>
    <row r="519" spans="3:19" s="646" customFormat="1" x14ac:dyDescent="0.35">
      <c r="C519" s="643"/>
      <c r="D519" s="621"/>
      <c r="E519" s="644"/>
      <c r="F519" s="644"/>
      <c r="G519" s="644"/>
      <c r="H519" s="644"/>
      <c r="I519" s="644"/>
      <c r="J519" s="645"/>
      <c r="K519" s="645"/>
      <c r="L519" s="645"/>
      <c r="M519" s="645"/>
      <c r="N519" s="644"/>
      <c r="O519" s="644"/>
      <c r="P519" s="644"/>
      <c r="Q519" s="621"/>
      <c r="R519" s="644"/>
      <c r="S519" s="640"/>
    </row>
    <row r="520" spans="3:19" s="646" customFormat="1" x14ac:dyDescent="0.35">
      <c r="C520" s="643"/>
      <c r="D520" s="621"/>
      <c r="E520" s="644"/>
      <c r="F520" s="644"/>
      <c r="G520" s="644"/>
      <c r="H520" s="644"/>
      <c r="I520" s="644"/>
      <c r="J520" s="645"/>
      <c r="K520" s="645"/>
      <c r="L520" s="645"/>
      <c r="M520" s="645"/>
      <c r="N520" s="644"/>
      <c r="O520" s="644"/>
      <c r="P520" s="644"/>
      <c r="Q520" s="621"/>
      <c r="R520" s="644"/>
      <c r="S520" s="640"/>
    </row>
    <row r="521" spans="3:19" s="646" customFormat="1" x14ac:dyDescent="0.35">
      <c r="C521" s="643"/>
      <c r="D521" s="621"/>
      <c r="E521" s="644"/>
      <c r="F521" s="644"/>
      <c r="G521" s="644"/>
      <c r="H521" s="644"/>
      <c r="I521" s="644"/>
      <c r="J521" s="645"/>
      <c r="K521" s="645"/>
      <c r="L521" s="645"/>
      <c r="M521" s="645"/>
      <c r="N521" s="644"/>
      <c r="O521" s="644"/>
      <c r="P521" s="644"/>
      <c r="Q521" s="621"/>
      <c r="R521" s="644"/>
      <c r="S521" s="640"/>
    </row>
    <row r="522" spans="3:19" s="646" customFormat="1" x14ac:dyDescent="0.35">
      <c r="C522" s="643"/>
      <c r="D522" s="621"/>
      <c r="E522" s="644"/>
      <c r="F522" s="644"/>
      <c r="G522" s="644"/>
      <c r="H522" s="644"/>
      <c r="I522" s="644"/>
      <c r="J522" s="645"/>
      <c r="K522" s="645"/>
      <c r="L522" s="645"/>
      <c r="M522" s="645"/>
      <c r="N522" s="644"/>
      <c r="O522" s="644"/>
      <c r="P522" s="644"/>
      <c r="Q522" s="621"/>
      <c r="R522" s="644"/>
      <c r="S522" s="640"/>
    </row>
    <row r="523" spans="3:19" s="646" customFormat="1" x14ac:dyDescent="0.35">
      <c r="C523" s="643"/>
      <c r="D523" s="621"/>
      <c r="E523" s="644"/>
      <c r="F523" s="644"/>
      <c r="G523" s="644"/>
      <c r="H523" s="644"/>
      <c r="I523" s="644"/>
      <c r="J523" s="645"/>
      <c r="K523" s="645"/>
      <c r="L523" s="645"/>
      <c r="M523" s="645"/>
      <c r="N523" s="644"/>
      <c r="O523" s="644"/>
      <c r="P523" s="644"/>
      <c r="Q523" s="621"/>
      <c r="R523" s="644"/>
      <c r="S523" s="640"/>
    </row>
    <row r="524" spans="3:19" s="646" customFormat="1" x14ac:dyDescent="0.35">
      <c r="C524" s="643"/>
      <c r="D524" s="621"/>
      <c r="E524" s="644"/>
      <c r="F524" s="644"/>
      <c r="G524" s="644"/>
      <c r="H524" s="644"/>
      <c r="I524" s="644"/>
      <c r="J524" s="645"/>
      <c r="K524" s="645"/>
      <c r="L524" s="645"/>
      <c r="M524" s="645"/>
      <c r="N524" s="644"/>
      <c r="O524" s="644"/>
      <c r="P524" s="644"/>
      <c r="Q524" s="621"/>
      <c r="R524" s="644"/>
      <c r="S524" s="640"/>
    </row>
    <row r="525" spans="3:19" s="646" customFormat="1" x14ac:dyDescent="0.35">
      <c r="C525" s="643"/>
      <c r="D525" s="621"/>
      <c r="E525" s="644"/>
      <c r="F525" s="644"/>
      <c r="G525" s="644"/>
      <c r="H525" s="644"/>
      <c r="I525" s="644"/>
      <c r="J525" s="645"/>
      <c r="K525" s="645"/>
      <c r="L525" s="645"/>
      <c r="M525" s="645"/>
      <c r="N525" s="644"/>
      <c r="O525" s="644"/>
      <c r="P525" s="644"/>
      <c r="Q525" s="621"/>
      <c r="R525" s="644"/>
      <c r="S525" s="640"/>
    </row>
    <row r="526" spans="3:19" s="646" customFormat="1" x14ac:dyDescent="0.35">
      <c r="C526" s="643"/>
      <c r="D526" s="621"/>
      <c r="E526" s="644"/>
      <c r="F526" s="644"/>
      <c r="G526" s="644"/>
      <c r="H526" s="644"/>
      <c r="I526" s="644"/>
      <c r="J526" s="645"/>
      <c r="K526" s="645"/>
      <c r="L526" s="645"/>
      <c r="M526" s="645"/>
      <c r="N526" s="644"/>
      <c r="O526" s="644"/>
      <c r="P526" s="644"/>
      <c r="Q526" s="621"/>
      <c r="R526" s="644"/>
      <c r="S526" s="640"/>
    </row>
    <row r="527" spans="3:19" s="646" customFormat="1" x14ac:dyDescent="0.35">
      <c r="C527" s="643"/>
      <c r="D527" s="621"/>
      <c r="E527" s="644"/>
      <c r="F527" s="644"/>
      <c r="G527" s="644"/>
      <c r="H527" s="644"/>
      <c r="I527" s="644"/>
      <c r="J527" s="645"/>
      <c r="K527" s="645"/>
      <c r="L527" s="645"/>
      <c r="M527" s="645"/>
      <c r="N527" s="644"/>
      <c r="O527" s="644"/>
      <c r="P527" s="644"/>
      <c r="Q527" s="621"/>
      <c r="R527" s="644"/>
      <c r="S527" s="640"/>
    </row>
    <row r="528" spans="3:19" s="646" customFormat="1" x14ac:dyDescent="0.35">
      <c r="C528" s="643"/>
      <c r="D528" s="621"/>
      <c r="E528" s="644"/>
      <c r="F528" s="644"/>
      <c r="G528" s="644"/>
      <c r="H528" s="644"/>
      <c r="I528" s="644"/>
      <c r="J528" s="645"/>
      <c r="K528" s="645"/>
      <c r="L528" s="645"/>
      <c r="M528" s="645"/>
      <c r="N528" s="644"/>
      <c r="O528" s="644"/>
      <c r="P528" s="644"/>
      <c r="Q528" s="621"/>
      <c r="R528" s="644"/>
      <c r="S528" s="640"/>
    </row>
    <row r="529" spans="3:19" s="646" customFormat="1" x14ac:dyDescent="0.35">
      <c r="C529" s="643"/>
      <c r="D529" s="621"/>
      <c r="E529" s="644"/>
      <c r="F529" s="644"/>
      <c r="G529" s="644"/>
      <c r="H529" s="644"/>
      <c r="I529" s="644"/>
      <c r="J529" s="645"/>
      <c r="K529" s="645"/>
      <c r="L529" s="645"/>
      <c r="M529" s="645"/>
      <c r="N529" s="644"/>
      <c r="O529" s="644"/>
      <c r="P529" s="644"/>
      <c r="Q529" s="621"/>
      <c r="R529" s="644"/>
      <c r="S529" s="640"/>
    </row>
    <row r="530" spans="3:19" s="646" customFormat="1" x14ac:dyDescent="0.35">
      <c r="C530" s="643"/>
      <c r="D530" s="621"/>
      <c r="E530" s="644"/>
      <c r="F530" s="644"/>
      <c r="G530" s="644"/>
      <c r="H530" s="644"/>
      <c r="I530" s="644"/>
      <c r="J530" s="645"/>
      <c r="K530" s="645"/>
      <c r="L530" s="645"/>
      <c r="M530" s="645"/>
      <c r="N530" s="644"/>
      <c r="O530" s="644"/>
      <c r="P530" s="644"/>
      <c r="Q530" s="621"/>
      <c r="R530" s="644"/>
      <c r="S530" s="640"/>
    </row>
    <row r="531" spans="3:19" s="646" customFormat="1" x14ac:dyDescent="0.35">
      <c r="C531" s="643"/>
      <c r="D531" s="621"/>
      <c r="E531" s="644"/>
      <c r="F531" s="644"/>
      <c r="G531" s="644"/>
      <c r="H531" s="644"/>
      <c r="I531" s="644"/>
      <c r="J531" s="645"/>
      <c r="K531" s="645"/>
      <c r="L531" s="645"/>
      <c r="M531" s="645"/>
      <c r="N531" s="644"/>
      <c r="O531" s="644"/>
      <c r="P531" s="644"/>
      <c r="Q531" s="621"/>
      <c r="R531" s="644"/>
      <c r="S531" s="640"/>
    </row>
    <row r="532" spans="3:19" s="646" customFormat="1" x14ac:dyDescent="0.35">
      <c r="C532" s="643"/>
      <c r="D532" s="621"/>
      <c r="E532" s="644"/>
      <c r="F532" s="644"/>
      <c r="G532" s="644"/>
      <c r="H532" s="644"/>
      <c r="I532" s="644"/>
      <c r="J532" s="645"/>
      <c r="K532" s="645"/>
      <c r="L532" s="645"/>
      <c r="M532" s="645"/>
      <c r="N532" s="644"/>
      <c r="O532" s="644"/>
      <c r="P532" s="644"/>
      <c r="Q532" s="621"/>
      <c r="R532" s="644"/>
      <c r="S532" s="640"/>
    </row>
    <row r="533" spans="3:19" s="646" customFormat="1" x14ac:dyDescent="0.35">
      <c r="C533" s="643"/>
      <c r="D533" s="621"/>
      <c r="E533" s="644"/>
      <c r="F533" s="644"/>
      <c r="G533" s="644"/>
      <c r="H533" s="644"/>
      <c r="I533" s="644"/>
      <c r="J533" s="645"/>
      <c r="K533" s="645"/>
      <c r="L533" s="645"/>
      <c r="M533" s="645"/>
      <c r="N533" s="644"/>
      <c r="O533" s="644"/>
      <c r="P533" s="644"/>
      <c r="Q533" s="621"/>
      <c r="R533" s="644"/>
      <c r="S533" s="640"/>
    </row>
    <row r="534" spans="3:19" s="646" customFormat="1" x14ac:dyDescent="0.35">
      <c r="C534" s="643"/>
      <c r="D534" s="621"/>
      <c r="E534" s="644"/>
      <c r="F534" s="644"/>
      <c r="G534" s="644"/>
      <c r="H534" s="644"/>
      <c r="I534" s="644"/>
      <c r="J534" s="645"/>
      <c r="K534" s="645"/>
      <c r="L534" s="645"/>
      <c r="M534" s="645"/>
      <c r="N534" s="644"/>
      <c r="O534" s="644"/>
      <c r="P534" s="644"/>
      <c r="Q534" s="621"/>
      <c r="R534" s="644"/>
      <c r="S534" s="640"/>
    </row>
    <row r="535" spans="3:19" s="646" customFormat="1" x14ac:dyDescent="0.35">
      <c r="C535" s="643"/>
      <c r="D535" s="621"/>
      <c r="E535" s="644"/>
      <c r="F535" s="644"/>
      <c r="G535" s="644"/>
      <c r="H535" s="644"/>
      <c r="I535" s="644"/>
      <c r="J535" s="645"/>
      <c r="K535" s="645"/>
      <c r="L535" s="645"/>
      <c r="M535" s="645"/>
      <c r="N535" s="644"/>
      <c r="O535" s="644"/>
      <c r="P535" s="644"/>
      <c r="Q535" s="621"/>
      <c r="R535" s="644"/>
      <c r="S535" s="640"/>
    </row>
    <row r="536" spans="3:19" s="646" customFormat="1" x14ac:dyDescent="0.35">
      <c r="C536" s="643"/>
      <c r="D536" s="621"/>
      <c r="E536" s="644"/>
      <c r="F536" s="644"/>
      <c r="G536" s="644"/>
      <c r="H536" s="644"/>
      <c r="I536" s="644"/>
      <c r="J536" s="645"/>
      <c r="K536" s="645"/>
      <c r="L536" s="645"/>
      <c r="M536" s="645"/>
      <c r="N536" s="644"/>
      <c r="O536" s="644"/>
      <c r="P536" s="644"/>
      <c r="Q536" s="621"/>
      <c r="R536" s="644"/>
      <c r="S536" s="640"/>
    </row>
    <row r="537" spans="3:19" s="646" customFormat="1" x14ac:dyDescent="0.35">
      <c r="C537" s="643"/>
      <c r="D537" s="621"/>
      <c r="E537" s="644"/>
      <c r="F537" s="644"/>
      <c r="G537" s="644"/>
      <c r="H537" s="644"/>
      <c r="I537" s="644"/>
      <c r="J537" s="645"/>
      <c r="K537" s="645"/>
      <c r="L537" s="645"/>
      <c r="M537" s="645"/>
      <c r="N537" s="644"/>
      <c r="O537" s="644"/>
      <c r="P537" s="644"/>
      <c r="Q537" s="621"/>
      <c r="R537" s="644"/>
      <c r="S537" s="640"/>
    </row>
    <row r="538" spans="3:19" s="646" customFormat="1" x14ac:dyDescent="0.35">
      <c r="C538" s="643"/>
      <c r="D538" s="621"/>
      <c r="E538" s="644"/>
      <c r="F538" s="644"/>
      <c r="G538" s="644"/>
      <c r="H538" s="644"/>
      <c r="I538" s="644"/>
      <c r="J538" s="645"/>
      <c r="K538" s="645"/>
      <c r="L538" s="645"/>
      <c r="M538" s="645"/>
      <c r="N538" s="644"/>
      <c r="O538" s="644"/>
      <c r="P538" s="644"/>
      <c r="Q538" s="621"/>
      <c r="R538" s="644"/>
      <c r="S538" s="640"/>
    </row>
    <row r="539" spans="3:19" s="646" customFormat="1" x14ac:dyDescent="0.35">
      <c r="C539" s="643"/>
      <c r="D539" s="621"/>
      <c r="E539" s="644"/>
      <c r="F539" s="644"/>
      <c r="G539" s="644"/>
      <c r="H539" s="644"/>
      <c r="I539" s="644"/>
      <c r="J539" s="645"/>
      <c r="K539" s="645"/>
      <c r="L539" s="645"/>
      <c r="M539" s="645"/>
      <c r="N539" s="644"/>
      <c r="O539" s="644"/>
      <c r="P539" s="644"/>
      <c r="Q539" s="621"/>
      <c r="R539" s="644"/>
      <c r="S539" s="640"/>
    </row>
    <row r="540" spans="3:19" s="646" customFormat="1" x14ac:dyDescent="0.35">
      <c r="C540" s="643"/>
      <c r="D540" s="621"/>
      <c r="E540" s="644"/>
      <c r="F540" s="644"/>
      <c r="G540" s="644"/>
      <c r="H540" s="644"/>
      <c r="I540" s="644"/>
      <c r="J540" s="645"/>
      <c r="K540" s="645"/>
      <c r="L540" s="645"/>
      <c r="M540" s="645"/>
      <c r="N540" s="644"/>
      <c r="O540" s="644"/>
      <c r="P540" s="644"/>
      <c r="Q540" s="621"/>
      <c r="R540" s="644"/>
      <c r="S540" s="640"/>
    </row>
    <row r="541" spans="3:19" s="646" customFormat="1" x14ac:dyDescent="0.35">
      <c r="C541" s="643"/>
      <c r="D541" s="621"/>
      <c r="E541" s="644"/>
      <c r="F541" s="644"/>
      <c r="G541" s="644"/>
      <c r="H541" s="644"/>
      <c r="I541" s="644"/>
      <c r="J541" s="645"/>
      <c r="K541" s="645"/>
      <c r="L541" s="645"/>
      <c r="M541" s="645"/>
      <c r="N541" s="644"/>
      <c r="O541" s="644"/>
      <c r="P541" s="644"/>
      <c r="Q541" s="621"/>
      <c r="R541" s="644"/>
      <c r="S541" s="640"/>
    </row>
    <row r="542" spans="3:19" s="646" customFormat="1" x14ac:dyDescent="0.35">
      <c r="C542" s="643"/>
      <c r="D542" s="621"/>
      <c r="E542" s="644"/>
      <c r="F542" s="644"/>
      <c r="G542" s="644"/>
      <c r="H542" s="644"/>
      <c r="I542" s="644"/>
      <c r="J542" s="645"/>
      <c r="K542" s="645"/>
      <c r="L542" s="645"/>
      <c r="M542" s="645"/>
      <c r="N542" s="644"/>
      <c r="O542" s="644"/>
      <c r="P542" s="644"/>
      <c r="Q542" s="621"/>
      <c r="R542" s="644"/>
      <c r="S542" s="640"/>
    </row>
    <row r="543" spans="3:19" s="646" customFormat="1" x14ac:dyDescent="0.35">
      <c r="C543" s="643"/>
      <c r="D543" s="621"/>
      <c r="E543" s="644"/>
      <c r="F543" s="644"/>
      <c r="G543" s="644"/>
      <c r="H543" s="644"/>
      <c r="I543" s="644"/>
      <c r="J543" s="645"/>
      <c r="K543" s="645"/>
      <c r="L543" s="645"/>
      <c r="M543" s="645"/>
      <c r="N543" s="644"/>
      <c r="O543" s="644"/>
      <c r="P543" s="644"/>
      <c r="Q543" s="621"/>
      <c r="R543" s="644"/>
      <c r="S543" s="640"/>
    </row>
    <row r="544" spans="3:19" s="646" customFormat="1" x14ac:dyDescent="0.35">
      <c r="C544" s="643"/>
      <c r="D544" s="621"/>
      <c r="E544" s="644"/>
      <c r="F544" s="644"/>
      <c r="G544" s="644"/>
      <c r="H544" s="644"/>
      <c r="I544" s="644"/>
      <c r="J544" s="645"/>
      <c r="K544" s="645"/>
      <c r="L544" s="645"/>
      <c r="M544" s="645"/>
      <c r="N544" s="644"/>
      <c r="O544" s="644"/>
      <c r="P544" s="644"/>
      <c r="Q544" s="621"/>
      <c r="R544" s="644"/>
      <c r="S544" s="640"/>
    </row>
    <row r="545" spans="3:19" s="646" customFormat="1" x14ac:dyDescent="0.35">
      <c r="C545" s="643"/>
      <c r="D545" s="621"/>
      <c r="E545" s="644"/>
      <c r="F545" s="644"/>
      <c r="G545" s="644"/>
      <c r="H545" s="644"/>
      <c r="I545" s="644"/>
      <c r="J545" s="645"/>
      <c r="K545" s="645"/>
      <c r="L545" s="645"/>
      <c r="M545" s="645"/>
      <c r="N545" s="644"/>
      <c r="O545" s="644"/>
      <c r="P545" s="644"/>
      <c r="Q545" s="621"/>
      <c r="R545" s="644"/>
      <c r="S545" s="640"/>
    </row>
    <row r="546" spans="3:19" s="646" customFormat="1" x14ac:dyDescent="0.35">
      <c r="C546" s="643"/>
      <c r="D546" s="621"/>
      <c r="E546" s="644"/>
      <c r="F546" s="644"/>
      <c r="G546" s="644"/>
      <c r="H546" s="644"/>
      <c r="I546" s="644"/>
      <c r="J546" s="645"/>
      <c r="K546" s="645"/>
      <c r="L546" s="645"/>
      <c r="M546" s="645"/>
      <c r="N546" s="644"/>
      <c r="O546" s="644"/>
      <c r="P546" s="644"/>
      <c r="Q546" s="621"/>
      <c r="R546" s="644"/>
      <c r="S546" s="640"/>
    </row>
    <row r="547" spans="3:19" s="646" customFormat="1" x14ac:dyDescent="0.35">
      <c r="C547" s="643"/>
      <c r="D547" s="621"/>
      <c r="E547" s="644"/>
      <c r="F547" s="644"/>
      <c r="G547" s="644"/>
      <c r="H547" s="644"/>
      <c r="I547" s="644"/>
      <c r="J547" s="645"/>
      <c r="K547" s="645"/>
      <c r="L547" s="645"/>
      <c r="M547" s="645"/>
      <c r="N547" s="644"/>
      <c r="O547" s="644"/>
      <c r="P547" s="644"/>
      <c r="Q547" s="621"/>
      <c r="R547" s="644"/>
      <c r="S547" s="640"/>
    </row>
    <row r="548" spans="3:19" s="646" customFormat="1" x14ac:dyDescent="0.35">
      <c r="C548" s="643"/>
      <c r="D548" s="621"/>
      <c r="E548" s="644"/>
      <c r="F548" s="644"/>
      <c r="G548" s="644"/>
      <c r="H548" s="644"/>
      <c r="I548" s="644"/>
      <c r="J548" s="645"/>
      <c r="K548" s="645"/>
      <c r="L548" s="645"/>
      <c r="M548" s="645"/>
      <c r="N548" s="644"/>
      <c r="O548" s="644"/>
      <c r="P548" s="644"/>
      <c r="Q548" s="621"/>
      <c r="R548" s="644"/>
      <c r="S548" s="640"/>
    </row>
    <row r="549" spans="3:19" s="646" customFormat="1" x14ac:dyDescent="0.35">
      <c r="C549" s="643"/>
      <c r="D549" s="621"/>
      <c r="E549" s="644"/>
      <c r="F549" s="644"/>
      <c r="G549" s="644"/>
      <c r="H549" s="644"/>
      <c r="I549" s="644"/>
      <c r="J549" s="645"/>
      <c r="K549" s="645"/>
      <c r="L549" s="645"/>
      <c r="M549" s="645"/>
      <c r="N549" s="644"/>
      <c r="O549" s="644"/>
      <c r="P549" s="644"/>
      <c r="Q549" s="621"/>
      <c r="R549" s="644"/>
      <c r="S549" s="640"/>
    </row>
    <row r="550" spans="3:19" s="646" customFormat="1" x14ac:dyDescent="0.35">
      <c r="C550" s="643"/>
      <c r="D550" s="621"/>
      <c r="E550" s="644"/>
      <c r="F550" s="644"/>
      <c r="G550" s="644"/>
      <c r="H550" s="644"/>
      <c r="I550" s="644"/>
      <c r="J550" s="645"/>
      <c r="K550" s="645"/>
      <c r="L550" s="645"/>
      <c r="M550" s="645"/>
      <c r="N550" s="644"/>
      <c r="O550" s="644"/>
      <c r="P550" s="644"/>
      <c r="Q550" s="621"/>
      <c r="R550" s="644"/>
      <c r="S550" s="640"/>
    </row>
    <row r="551" spans="3:19" s="646" customFormat="1" x14ac:dyDescent="0.35">
      <c r="C551" s="643"/>
      <c r="D551" s="621"/>
      <c r="E551" s="644"/>
      <c r="F551" s="644"/>
      <c r="G551" s="644"/>
      <c r="H551" s="644"/>
      <c r="I551" s="644"/>
      <c r="J551" s="645"/>
      <c r="K551" s="645"/>
      <c r="L551" s="645"/>
      <c r="M551" s="645"/>
      <c r="N551" s="644"/>
      <c r="O551" s="644"/>
      <c r="P551" s="644"/>
      <c r="Q551" s="621"/>
      <c r="R551" s="644"/>
      <c r="S551" s="640"/>
    </row>
    <row r="552" spans="3:19" s="646" customFormat="1" x14ac:dyDescent="0.35">
      <c r="C552" s="643"/>
      <c r="D552" s="621"/>
      <c r="E552" s="644"/>
      <c r="F552" s="644"/>
      <c r="G552" s="644"/>
      <c r="H552" s="644"/>
      <c r="I552" s="644"/>
      <c r="J552" s="645"/>
      <c r="K552" s="645"/>
      <c r="L552" s="645"/>
      <c r="M552" s="645"/>
      <c r="N552" s="644"/>
      <c r="O552" s="644"/>
      <c r="P552" s="644"/>
      <c r="Q552" s="621"/>
      <c r="R552" s="644"/>
      <c r="S552" s="640"/>
    </row>
    <row r="553" spans="3:19" s="646" customFormat="1" x14ac:dyDescent="0.35">
      <c r="C553" s="643"/>
      <c r="D553" s="621"/>
      <c r="E553" s="644"/>
      <c r="F553" s="644"/>
      <c r="G553" s="644"/>
      <c r="H553" s="644"/>
      <c r="I553" s="644"/>
      <c r="J553" s="645"/>
      <c r="K553" s="645"/>
      <c r="L553" s="645"/>
      <c r="M553" s="645"/>
      <c r="N553" s="644"/>
      <c r="O553" s="644"/>
      <c r="P553" s="644"/>
      <c r="Q553" s="621"/>
      <c r="R553" s="644"/>
      <c r="S553" s="640"/>
    </row>
    <row r="554" spans="3:19" s="646" customFormat="1" x14ac:dyDescent="0.35">
      <c r="C554" s="643"/>
      <c r="D554" s="621"/>
      <c r="E554" s="644"/>
      <c r="F554" s="644"/>
      <c r="G554" s="644"/>
      <c r="H554" s="644"/>
      <c r="I554" s="644"/>
      <c r="J554" s="645"/>
      <c r="K554" s="645"/>
      <c r="L554" s="645"/>
      <c r="M554" s="645"/>
      <c r="N554" s="644"/>
      <c r="O554" s="644"/>
      <c r="P554" s="644"/>
      <c r="Q554" s="621"/>
      <c r="R554" s="644"/>
      <c r="S554" s="640"/>
    </row>
    <row r="555" spans="3:19" s="646" customFormat="1" x14ac:dyDescent="0.35">
      <c r="C555" s="643"/>
      <c r="D555" s="621"/>
      <c r="E555" s="644"/>
      <c r="F555" s="644"/>
      <c r="G555" s="644"/>
      <c r="H555" s="644"/>
      <c r="I555" s="644"/>
      <c r="J555" s="645"/>
      <c r="K555" s="645"/>
      <c r="L555" s="645"/>
      <c r="M555" s="645"/>
      <c r="N555" s="644"/>
      <c r="O555" s="644"/>
      <c r="P555" s="644"/>
      <c r="Q555" s="621"/>
      <c r="R555" s="644"/>
      <c r="S555" s="640"/>
    </row>
    <row r="556" spans="3:19" s="646" customFormat="1" x14ac:dyDescent="0.35">
      <c r="C556" s="643"/>
      <c r="D556" s="621"/>
      <c r="E556" s="644"/>
      <c r="F556" s="644"/>
      <c r="G556" s="644"/>
      <c r="H556" s="644"/>
      <c r="I556" s="644"/>
      <c r="J556" s="645"/>
      <c r="K556" s="645"/>
      <c r="L556" s="645"/>
      <c r="M556" s="645"/>
      <c r="N556" s="644"/>
      <c r="O556" s="644"/>
      <c r="P556" s="644"/>
      <c r="Q556" s="621"/>
      <c r="R556" s="644"/>
      <c r="S556" s="640"/>
    </row>
    <row r="557" spans="3:19" s="646" customFormat="1" x14ac:dyDescent="0.35">
      <c r="C557" s="643"/>
      <c r="D557" s="621"/>
      <c r="E557" s="644"/>
      <c r="F557" s="644"/>
      <c r="G557" s="644"/>
      <c r="H557" s="644"/>
      <c r="I557" s="644"/>
      <c r="J557" s="645"/>
      <c r="K557" s="645"/>
      <c r="L557" s="645"/>
      <c r="M557" s="645"/>
      <c r="N557" s="644"/>
      <c r="O557" s="644"/>
      <c r="P557" s="644"/>
      <c r="Q557" s="621"/>
      <c r="R557" s="644"/>
      <c r="S557" s="640"/>
    </row>
    <row r="558" spans="3:19" s="646" customFormat="1" x14ac:dyDescent="0.35">
      <c r="C558" s="643"/>
      <c r="D558" s="621"/>
      <c r="E558" s="644"/>
      <c r="F558" s="644"/>
      <c r="G558" s="644"/>
      <c r="H558" s="644"/>
      <c r="I558" s="644"/>
      <c r="J558" s="645"/>
      <c r="K558" s="645"/>
      <c r="L558" s="645"/>
      <c r="M558" s="645"/>
      <c r="N558" s="644"/>
      <c r="O558" s="644"/>
      <c r="P558" s="644"/>
      <c r="Q558" s="621"/>
      <c r="R558" s="644"/>
      <c r="S558" s="640"/>
    </row>
    <row r="559" spans="3:19" s="646" customFormat="1" x14ac:dyDescent="0.35">
      <c r="C559" s="643"/>
      <c r="D559" s="621"/>
      <c r="E559" s="644"/>
      <c r="F559" s="644"/>
      <c r="G559" s="644"/>
      <c r="H559" s="644"/>
      <c r="I559" s="644"/>
      <c r="J559" s="645"/>
      <c r="K559" s="645"/>
      <c r="L559" s="645"/>
      <c r="M559" s="645"/>
      <c r="N559" s="644"/>
      <c r="O559" s="644"/>
      <c r="P559" s="644"/>
      <c r="Q559" s="621"/>
      <c r="R559" s="644"/>
      <c r="S559" s="640"/>
    </row>
    <row r="560" spans="3:19" s="646" customFormat="1" x14ac:dyDescent="0.35">
      <c r="C560" s="643"/>
      <c r="D560" s="621"/>
      <c r="E560" s="644"/>
      <c r="F560" s="644"/>
      <c r="G560" s="644"/>
      <c r="H560" s="644"/>
      <c r="I560" s="644"/>
      <c r="J560" s="645"/>
      <c r="K560" s="645"/>
      <c r="L560" s="645"/>
      <c r="M560" s="645"/>
      <c r="N560" s="644"/>
      <c r="O560" s="644"/>
      <c r="P560" s="644"/>
      <c r="Q560" s="621"/>
      <c r="R560" s="644"/>
      <c r="S560" s="640"/>
    </row>
    <row r="561" spans="3:19" s="646" customFormat="1" x14ac:dyDescent="0.35">
      <c r="C561" s="643"/>
      <c r="D561" s="621"/>
      <c r="E561" s="644"/>
      <c r="F561" s="644"/>
      <c r="G561" s="644"/>
      <c r="H561" s="644"/>
      <c r="I561" s="644"/>
      <c r="J561" s="645"/>
      <c r="K561" s="645"/>
      <c r="L561" s="645"/>
      <c r="M561" s="645"/>
      <c r="N561" s="644"/>
      <c r="O561" s="644"/>
      <c r="P561" s="644"/>
      <c r="Q561" s="621"/>
      <c r="R561" s="644"/>
      <c r="S561" s="640"/>
    </row>
    <row r="562" spans="3:19" s="646" customFormat="1" x14ac:dyDescent="0.35">
      <c r="C562" s="643"/>
      <c r="D562" s="621"/>
      <c r="E562" s="644"/>
      <c r="F562" s="644"/>
      <c r="G562" s="644"/>
      <c r="H562" s="644"/>
      <c r="I562" s="644"/>
      <c r="J562" s="645"/>
      <c r="K562" s="645"/>
      <c r="L562" s="645"/>
      <c r="M562" s="645"/>
      <c r="N562" s="644"/>
      <c r="O562" s="644"/>
      <c r="P562" s="644"/>
      <c r="Q562" s="621"/>
      <c r="R562" s="644"/>
      <c r="S562" s="640"/>
    </row>
    <row r="563" spans="3:19" s="646" customFormat="1" x14ac:dyDescent="0.35">
      <c r="C563" s="643"/>
      <c r="D563" s="621"/>
      <c r="E563" s="644"/>
      <c r="F563" s="644"/>
      <c r="G563" s="644"/>
      <c r="H563" s="644"/>
      <c r="I563" s="644"/>
      <c r="J563" s="645"/>
      <c r="K563" s="645"/>
      <c r="L563" s="645"/>
      <c r="M563" s="645"/>
      <c r="N563" s="644"/>
      <c r="O563" s="644"/>
      <c r="P563" s="644"/>
      <c r="Q563" s="621"/>
      <c r="R563" s="644"/>
      <c r="S563" s="640"/>
    </row>
    <row r="564" spans="3:19" s="646" customFormat="1" x14ac:dyDescent="0.35">
      <c r="C564" s="643"/>
      <c r="D564" s="621"/>
      <c r="E564" s="644"/>
      <c r="F564" s="644"/>
      <c r="G564" s="644"/>
      <c r="H564" s="644"/>
      <c r="I564" s="644"/>
      <c r="J564" s="645"/>
      <c r="K564" s="645"/>
      <c r="L564" s="645"/>
      <c r="M564" s="645"/>
      <c r="N564" s="644"/>
      <c r="O564" s="644"/>
      <c r="P564" s="644"/>
      <c r="Q564" s="621"/>
      <c r="R564" s="644"/>
      <c r="S564" s="640"/>
    </row>
    <row r="565" spans="3:19" s="646" customFormat="1" x14ac:dyDescent="0.35">
      <c r="C565" s="643"/>
      <c r="D565" s="621"/>
      <c r="E565" s="644"/>
      <c r="F565" s="644"/>
      <c r="G565" s="644"/>
      <c r="H565" s="644"/>
      <c r="I565" s="644"/>
      <c r="J565" s="645"/>
      <c r="K565" s="645"/>
      <c r="L565" s="645"/>
      <c r="M565" s="645"/>
      <c r="N565" s="644"/>
      <c r="O565" s="644"/>
      <c r="P565" s="644"/>
      <c r="Q565" s="621"/>
      <c r="R565" s="644"/>
      <c r="S565" s="640"/>
    </row>
    <row r="566" spans="3:19" s="646" customFormat="1" x14ac:dyDescent="0.35">
      <c r="C566" s="643"/>
      <c r="D566" s="621"/>
      <c r="E566" s="644"/>
      <c r="F566" s="644"/>
      <c r="G566" s="644"/>
      <c r="H566" s="644"/>
      <c r="I566" s="644"/>
      <c r="J566" s="645"/>
      <c r="K566" s="645"/>
      <c r="L566" s="645"/>
      <c r="M566" s="645"/>
      <c r="N566" s="644"/>
      <c r="O566" s="644"/>
      <c r="P566" s="644"/>
      <c r="Q566" s="621"/>
      <c r="R566" s="644"/>
      <c r="S566" s="640"/>
    </row>
    <row r="567" spans="3:19" s="646" customFormat="1" x14ac:dyDescent="0.35">
      <c r="C567" s="643"/>
      <c r="D567" s="621"/>
      <c r="E567" s="644"/>
      <c r="F567" s="644"/>
      <c r="G567" s="644"/>
      <c r="H567" s="644"/>
      <c r="I567" s="644"/>
      <c r="J567" s="645"/>
      <c r="K567" s="645"/>
      <c r="L567" s="645"/>
      <c r="M567" s="645"/>
      <c r="N567" s="644"/>
      <c r="O567" s="644"/>
      <c r="P567" s="644"/>
      <c r="Q567" s="621"/>
      <c r="R567" s="644"/>
      <c r="S567" s="640"/>
    </row>
    <row r="568" spans="3:19" s="646" customFormat="1" x14ac:dyDescent="0.35">
      <c r="C568" s="643"/>
      <c r="D568" s="621"/>
      <c r="E568" s="644"/>
      <c r="F568" s="644"/>
      <c r="G568" s="644"/>
      <c r="H568" s="644"/>
      <c r="I568" s="644"/>
      <c r="J568" s="645"/>
      <c r="K568" s="645"/>
      <c r="L568" s="645"/>
      <c r="M568" s="645"/>
      <c r="N568" s="644"/>
      <c r="O568" s="644"/>
      <c r="P568" s="644"/>
      <c r="Q568" s="621"/>
      <c r="R568" s="644"/>
      <c r="S568" s="640"/>
    </row>
    <row r="569" spans="3:19" s="646" customFormat="1" x14ac:dyDescent="0.35">
      <c r="C569" s="643"/>
      <c r="D569" s="621"/>
      <c r="E569" s="644"/>
      <c r="F569" s="644"/>
      <c r="G569" s="644"/>
      <c r="H569" s="644"/>
      <c r="I569" s="644"/>
      <c r="J569" s="645"/>
      <c r="K569" s="645"/>
      <c r="L569" s="645"/>
      <c r="M569" s="645"/>
      <c r="N569" s="644"/>
      <c r="O569" s="644"/>
      <c r="P569" s="644"/>
      <c r="Q569" s="621"/>
      <c r="R569" s="644"/>
      <c r="S569" s="640"/>
    </row>
    <row r="570" spans="3:19" s="646" customFormat="1" x14ac:dyDescent="0.35">
      <c r="C570" s="643"/>
      <c r="D570" s="621"/>
      <c r="E570" s="644"/>
      <c r="F570" s="644"/>
      <c r="G570" s="644"/>
      <c r="H570" s="644"/>
      <c r="I570" s="644"/>
      <c r="J570" s="645"/>
      <c r="K570" s="645"/>
      <c r="L570" s="645"/>
      <c r="M570" s="645"/>
      <c r="N570" s="644"/>
      <c r="O570" s="644"/>
      <c r="P570" s="644"/>
      <c r="Q570" s="621"/>
      <c r="R570" s="644"/>
      <c r="S570" s="640"/>
    </row>
    <row r="571" spans="3:19" s="646" customFormat="1" x14ac:dyDescent="0.35">
      <c r="C571" s="643"/>
      <c r="D571" s="621"/>
      <c r="E571" s="644"/>
      <c r="F571" s="644"/>
      <c r="G571" s="644"/>
      <c r="H571" s="644"/>
      <c r="I571" s="644"/>
      <c r="J571" s="645"/>
      <c r="K571" s="645"/>
      <c r="L571" s="645"/>
      <c r="M571" s="645"/>
      <c r="N571" s="644"/>
      <c r="O571" s="644"/>
      <c r="P571" s="644"/>
      <c r="Q571" s="621"/>
      <c r="R571" s="644"/>
      <c r="S571" s="640"/>
    </row>
    <row r="572" spans="3:19" s="646" customFormat="1" x14ac:dyDescent="0.35">
      <c r="C572" s="643"/>
      <c r="D572" s="621"/>
      <c r="E572" s="644"/>
      <c r="F572" s="644"/>
      <c r="G572" s="644"/>
      <c r="H572" s="644"/>
      <c r="I572" s="644"/>
      <c r="J572" s="645"/>
      <c r="K572" s="645"/>
      <c r="L572" s="645"/>
      <c r="M572" s="645"/>
      <c r="N572" s="644"/>
      <c r="O572" s="644"/>
      <c r="P572" s="644"/>
      <c r="Q572" s="621"/>
      <c r="R572" s="644"/>
      <c r="S572" s="640"/>
    </row>
    <row r="573" spans="3:19" s="646" customFormat="1" x14ac:dyDescent="0.35">
      <c r="C573" s="643"/>
      <c r="D573" s="621"/>
      <c r="E573" s="644"/>
      <c r="F573" s="644"/>
      <c r="G573" s="644"/>
      <c r="H573" s="644"/>
      <c r="I573" s="644"/>
      <c r="J573" s="645"/>
      <c r="K573" s="645"/>
      <c r="L573" s="645"/>
      <c r="M573" s="645"/>
      <c r="N573" s="644"/>
      <c r="O573" s="644"/>
      <c r="P573" s="644"/>
      <c r="Q573" s="621"/>
      <c r="R573" s="644"/>
      <c r="S573" s="640"/>
    </row>
    <row r="574" spans="3:19" s="646" customFormat="1" x14ac:dyDescent="0.35">
      <c r="C574" s="643"/>
      <c r="D574" s="621"/>
      <c r="E574" s="644"/>
      <c r="F574" s="644"/>
      <c r="G574" s="644"/>
      <c r="H574" s="644"/>
      <c r="I574" s="644"/>
      <c r="J574" s="645"/>
      <c r="K574" s="645"/>
      <c r="L574" s="645"/>
      <c r="M574" s="645"/>
      <c r="N574" s="644"/>
      <c r="O574" s="644"/>
      <c r="P574" s="644"/>
      <c r="Q574" s="621"/>
      <c r="R574" s="644"/>
      <c r="S574" s="640"/>
    </row>
    <row r="575" spans="3:19" s="646" customFormat="1" x14ac:dyDescent="0.35">
      <c r="C575" s="643"/>
      <c r="D575" s="621"/>
      <c r="E575" s="644"/>
      <c r="F575" s="644"/>
      <c r="G575" s="644"/>
      <c r="H575" s="644"/>
      <c r="I575" s="644"/>
      <c r="J575" s="645"/>
      <c r="K575" s="645"/>
      <c r="L575" s="645"/>
      <c r="M575" s="645"/>
      <c r="N575" s="644"/>
      <c r="O575" s="644"/>
      <c r="P575" s="644"/>
      <c r="Q575" s="621"/>
      <c r="R575" s="644"/>
      <c r="S575" s="640"/>
    </row>
    <row r="576" spans="3:19" s="646" customFormat="1" x14ac:dyDescent="0.35">
      <c r="C576" s="643"/>
      <c r="D576" s="621"/>
      <c r="E576" s="644"/>
      <c r="F576" s="644"/>
      <c r="G576" s="644"/>
      <c r="H576" s="644"/>
      <c r="I576" s="644"/>
      <c r="J576" s="645"/>
      <c r="K576" s="645"/>
      <c r="L576" s="645"/>
      <c r="M576" s="645"/>
      <c r="N576" s="644"/>
      <c r="O576" s="644"/>
      <c r="P576" s="644"/>
      <c r="Q576" s="621"/>
      <c r="R576" s="644"/>
      <c r="S576" s="640"/>
    </row>
    <row r="577" spans="3:19" s="646" customFormat="1" x14ac:dyDescent="0.35">
      <c r="C577" s="643"/>
      <c r="D577" s="621"/>
      <c r="E577" s="644"/>
      <c r="F577" s="644"/>
      <c r="G577" s="644"/>
      <c r="H577" s="644"/>
      <c r="I577" s="644"/>
      <c r="J577" s="645"/>
      <c r="K577" s="645"/>
      <c r="L577" s="645"/>
      <c r="M577" s="645"/>
      <c r="N577" s="644"/>
      <c r="O577" s="644"/>
      <c r="P577" s="644"/>
      <c r="Q577" s="621"/>
      <c r="R577" s="644"/>
      <c r="S577" s="640"/>
    </row>
    <row r="578" spans="3:19" s="646" customFormat="1" x14ac:dyDescent="0.35">
      <c r="C578" s="643"/>
      <c r="D578" s="621"/>
      <c r="E578" s="644"/>
      <c r="F578" s="644"/>
      <c r="G578" s="644"/>
      <c r="H578" s="644"/>
      <c r="I578" s="644"/>
      <c r="J578" s="645"/>
      <c r="K578" s="645"/>
      <c r="L578" s="645"/>
      <c r="M578" s="645"/>
      <c r="N578" s="644"/>
      <c r="O578" s="644"/>
      <c r="P578" s="644"/>
      <c r="Q578" s="621"/>
      <c r="R578" s="644"/>
      <c r="S578" s="640"/>
    </row>
    <row r="579" spans="3:19" s="646" customFormat="1" x14ac:dyDescent="0.35">
      <c r="C579" s="643"/>
      <c r="D579" s="621"/>
      <c r="E579" s="644"/>
      <c r="F579" s="644"/>
      <c r="G579" s="644"/>
      <c r="H579" s="644"/>
      <c r="I579" s="644"/>
      <c r="J579" s="645"/>
      <c r="K579" s="645"/>
      <c r="L579" s="645"/>
      <c r="M579" s="645"/>
      <c r="N579" s="644"/>
      <c r="O579" s="644"/>
      <c r="P579" s="644"/>
      <c r="Q579" s="621"/>
      <c r="R579" s="644"/>
      <c r="S579" s="640"/>
    </row>
    <row r="580" spans="3:19" s="646" customFormat="1" x14ac:dyDescent="0.35">
      <c r="C580" s="643"/>
      <c r="D580" s="621"/>
      <c r="E580" s="644"/>
      <c r="F580" s="644"/>
      <c r="G580" s="644"/>
      <c r="H580" s="644"/>
      <c r="I580" s="644"/>
      <c r="J580" s="645"/>
      <c r="K580" s="645"/>
      <c r="L580" s="645"/>
      <c r="M580" s="645"/>
      <c r="N580" s="644"/>
      <c r="O580" s="644"/>
      <c r="P580" s="644"/>
      <c r="Q580" s="621"/>
      <c r="R580" s="644"/>
      <c r="S580" s="640"/>
    </row>
    <row r="581" spans="3:19" s="646" customFormat="1" x14ac:dyDescent="0.35">
      <c r="C581" s="643"/>
      <c r="D581" s="621"/>
      <c r="E581" s="644"/>
      <c r="F581" s="644"/>
      <c r="G581" s="644"/>
      <c r="H581" s="644"/>
      <c r="I581" s="644"/>
      <c r="J581" s="645"/>
      <c r="K581" s="645"/>
      <c r="L581" s="645"/>
      <c r="M581" s="645"/>
      <c r="N581" s="644"/>
      <c r="O581" s="644"/>
      <c r="P581" s="644"/>
      <c r="Q581" s="621"/>
      <c r="R581" s="644"/>
      <c r="S581" s="640"/>
    </row>
    <row r="582" spans="3:19" s="646" customFormat="1" x14ac:dyDescent="0.35">
      <c r="C582" s="643"/>
      <c r="D582" s="621"/>
      <c r="E582" s="644"/>
      <c r="F582" s="644"/>
      <c r="G582" s="644"/>
      <c r="H582" s="644"/>
      <c r="I582" s="644"/>
      <c r="J582" s="645"/>
      <c r="K582" s="645"/>
      <c r="L582" s="645"/>
      <c r="M582" s="645"/>
      <c r="N582" s="644"/>
      <c r="O582" s="644"/>
      <c r="P582" s="644"/>
      <c r="Q582" s="621"/>
      <c r="R582" s="644"/>
      <c r="S582" s="640"/>
    </row>
    <row r="583" spans="3:19" s="646" customFormat="1" x14ac:dyDescent="0.35">
      <c r="C583" s="643"/>
      <c r="D583" s="621"/>
      <c r="E583" s="644"/>
      <c r="F583" s="644"/>
      <c r="G583" s="644"/>
      <c r="H583" s="644"/>
      <c r="I583" s="644"/>
      <c r="J583" s="645"/>
      <c r="K583" s="645"/>
      <c r="L583" s="645"/>
      <c r="M583" s="645"/>
      <c r="N583" s="644"/>
      <c r="O583" s="644"/>
      <c r="P583" s="644"/>
      <c r="Q583" s="621"/>
      <c r="R583" s="644"/>
      <c r="S583" s="640"/>
    </row>
    <row r="584" spans="3:19" s="646" customFormat="1" x14ac:dyDescent="0.35">
      <c r="C584" s="643"/>
      <c r="D584" s="621"/>
      <c r="E584" s="644"/>
      <c r="F584" s="644"/>
      <c r="G584" s="644"/>
      <c r="H584" s="644"/>
      <c r="I584" s="644"/>
      <c r="J584" s="645"/>
      <c r="K584" s="645"/>
      <c r="L584" s="645"/>
      <c r="M584" s="645"/>
      <c r="N584" s="644"/>
      <c r="O584" s="644"/>
      <c r="P584" s="644"/>
      <c r="Q584" s="621"/>
      <c r="R584" s="644"/>
      <c r="S584" s="640"/>
    </row>
    <row r="585" spans="3:19" s="646" customFormat="1" x14ac:dyDescent="0.35">
      <c r="C585" s="643"/>
      <c r="D585" s="621"/>
      <c r="E585" s="644"/>
      <c r="F585" s="644"/>
      <c r="G585" s="644"/>
      <c r="H585" s="644"/>
      <c r="I585" s="644"/>
      <c r="J585" s="645"/>
      <c r="K585" s="645"/>
      <c r="L585" s="645"/>
      <c r="M585" s="645"/>
      <c r="N585" s="644"/>
      <c r="O585" s="644"/>
      <c r="P585" s="644"/>
      <c r="Q585" s="621"/>
      <c r="R585" s="644"/>
      <c r="S585" s="640"/>
    </row>
    <row r="586" spans="3:19" s="646" customFormat="1" x14ac:dyDescent="0.35">
      <c r="C586" s="643"/>
      <c r="D586" s="621"/>
      <c r="E586" s="644"/>
      <c r="F586" s="644"/>
      <c r="G586" s="644"/>
      <c r="H586" s="644"/>
      <c r="I586" s="644"/>
      <c r="J586" s="645"/>
      <c r="K586" s="645"/>
      <c r="L586" s="645"/>
      <c r="M586" s="645"/>
      <c r="N586" s="644"/>
      <c r="O586" s="644"/>
      <c r="P586" s="644"/>
      <c r="Q586" s="621"/>
      <c r="R586" s="644"/>
      <c r="S586" s="640"/>
    </row>
    <row r="587" spans="3:19" s="646" customFormat="1" x14ac:dyDescent="0.35">
      <c r="C587" s="643"/>
      <c r="D587" s="621"/>
      <c r="E587" s="644"/>
      <c r="F587" s="644"/>
      <c r="G587" s="644"/>
      <c r="H587" s="644"/>
      <c r="I587" s="644"/>
      <c r="J587" s="645"/>
      <c r="K587" s="645"/>
      <c r="L587" s="645"/>
      <c r="M587" s="645"/>
      <c r="N587" s="644"/>
      <c r="O587" s="644"/>
      <c r="P587" s="644"/>
      <c r="Q587" s="621"/>
      <c r="R587" s="644"/>
      <c r="S587" s="640"/>
    </row>
    <row r="588" spans="3:19" s="646" customFormat="1" x14ac:dyDescent="0.35">
      <c r="C588" s="643"/>
      <c r="D588" s="621"/>
      <c r="E588" s="644"/>
      <c r="F588" s="644"/>
      <c r="G588" s="644"/>
      <c r="H588" s="644"/>
      <c r="I588" s="644"/>
      <c r="J588" s="645"/>
      <c r="K588" s="645"/>
      <c r="L588" s="645"/>
      <c r="M588" s="645"/>
      <c r="N588" s="644"/>
      <c r="O588" s="644"/>
      <c r="P588" s="644"/>
      <c r="Q588" s="621"/>
      <c r="R588" s="644"/>
      <c r="S588" s="640"/>
    </row>
    <row r="589" spans="3:19" s="646" customFormat="1" x14ac:dyDescent="0.35">
      <c r="C589" s="643"/>
      <c r="D589" s="621"/>
      <c r="E589" s="644"/>
      <c r="F589" s="644"/>
      <c r="G589" s="644"/>
      <c r="H589" s="644"/>
      <c r="I589" s="644"/>
      <c r="J589" s="645"/>
      <c r="K589" s="645"/>
      <c r="L589" s="645"/>
      <c r="M589" s="645"/>
      <c r="N589" s="644"/>
      <c r="O589" s="644"/>
      <c r="P589" s="644"/>
      <c r="Q589" s="621"/>
      <c r="R589" s="644"/>
      <c r="S589" s="640"/>
    </row>
    <row r="590" spans="3:19" s="646" customFormat="1" x14ac:dyDescent="0.35">
      <c r="C590" s="643"/>
      <c r="D590" s="621"/>
      <c r="E590" s="644"/>
      <c r="F590" s="644"/>
      <c r="G590" s="644"/>
      <c r="H590" s="644"/>
      <c r="I590" s="644"/>
      <c r="J590" s="645"/>
      <c r="K590" s="645"/>
      <c r="L590" s="645"/>
      <c r="M590" s="645"/>
      <c r="N590" s="644"/>
      <c r="O590" s="644"/>
      <c r="P590" s="644"/>
      <c r="Q590" s="621"/>
      <c r="R590" s="644"/>
      <c r="S590" s="640"/>
    </row>
    <row r="591" spans="3:19" s="646" customFormat="1" x14ac:dyDescent="0.35">
      <c r="C591" s="643"/>
      <c r="D591" s="621"/>
      <c r="E591" s="644"/>
      <c r="F591" s="644"/>
      <c r="G591" s="644"/>
      <c r="H591" s="644"/>
      <c r="I591" s="644"/>
      <c r="J591" s="645"/>
      <c r="K591" s="645"/>
      <c r="L591" s="645"/>
      <c r="M591" s="645"/>
      <c r="N591" s="644"/>
      <c r="O591" s="644"/>
      <c r="P591" s="644"/>
      <c r="Q591" s="621"/>
      <c r="R591" s="644"/>
      <c r="S591" s="640"/>
    </row>
    <row r="592" spans="3:19" s="646" customFormat="1" x14ac:dyDescent="0.35">
      <c r="C592" s="643"/>
      <c r="D592" s="621"/>
      <c r="E592" s="644"/>
      <c r="F592" s="644"/>
      <c r="G592" s="644"/>
      <c r="H592" s="644"/>
      <c r="I592" s="644"/>
      <c r="J592" s="645"/>
      <c r="K592" s="645"/>
      <c r="L592" s="645"/>
      <c r="M592" s="645"/>
      <c r="N592" s="644"/>
      <c r="O592" s="644"/>
      <c r="P592" s="644"/>
      <c r="Q592" s="621"/>
      <c r="R592" s="644"/>
      <c r="S592" s="640"/>
    </row>
    <row r="593" spans="3:19" s="646" customFormat="1" x14ac:dyDescent="0.35">
      <c r="C593" s="643"/>
      <c r="D593" s="621"/>
      <c r="E593" s="644"/>
      <c r="F593" s="644"/>
      <c r="G593" s="644"/>
      <c r="H593" s="644"/>
      <c r="I593" s="644"/>
      <c r="J593" s="645"/>
      <c r="K593" s="645"/>
      <c r="L593" s="645"/>
      <c r="M593" s="645"/>
      <c r="N593" s="644"/>
      <c r="O593" s="644"/>
      <c r="P593" s="644"/>
      <c r="Q593" s="621"/>
      <c r="R593" s="644"/>
      <c r="S593" s="640"/>
    </row>
    <row r="594" spans="3:19" s="646" customFormat="1" x14ac:dyDescent="0.35">
      <c r="C594" s="643"/>
      <c r="D594" s="621"/>
      <c r="E594" s="644"/>
      <c r="F594" s="644"/>
      <c r="G594" s="644"/>
      <c r="H594" s="644"/>
      <c r="I594" s="644"/>
      <c r="J594" s="645"/>
      <c r="K594" s="645"/>
      <c r="L594" s="645"/>
      <c r="M594" s="645"/>
      <c r="N594" s="644"/>
      <c r="O594" s="644"/>
      <c r="P594" s="644"/>
      <c r="Q594" s="621"/>
      <c r="R594" s="644"/>
      <c r="S594" s="640"/>
    </row>
    <row r="595" spans="3:19" s="646" customFormat="1" x14ac:dyDescent="0.35">
      <c r="C595" s="643"/>
      <c r="D595" s="621"/>
      <c r="E595" s="644"/>
      <c r="F595" s="644"/>
      <c r="G595" s="644"/>
      <c r="H595" s="644"/>
      <c r="I595" s="644"/>
      <c r="J595" s="645"/>
      <c r="K595" s="645"/>
      <c r="L595" s="645"/>
      <c r="M595" s="645"/>
      <c r="N595" s="644"/>
      <c r="O595" s="644"/>
      <c r="P595" s="644"/>
      <c r="Q595" s="621"/>
      <c r="R595" s="644"/>
      <c r="S595" s="640"/>
    </row>
    <row r="596" spans="3:19" s="646" customFormat="1" x14ac:dyDescent="0.35">
      <c r="C596" s="643"/>
      <c r="D596" s="621"/>
      <c r="E596" s="644"/>
      <c r="F596" s="644"/>
      <c r="G596" s="644"/>
      <c r="H596" s="644"/>
      <c r="I596" s="644"/>
      <c r="J596" s="645"/>
      <c r="K596" s="645"/>
      <c r="L596" s="645"/>
      <c r="M596" s="645"/>
      <c r="N596" s="644"/>
      <c r="O596" s="644"/>
      <c r="P596" s="644"/>
      <c r="Q596" s="621"/>
      <c r="R596" s="644"/>
      <c r="S596" s="640"/>
    </row>
    <row r="597" spans="3:19" s="646" customFormat="1" x14ac:dyDescent="0.35">
      <c r="C597" s="643"/>
      <c r="D597" s="621"/>
      <c r="E597" s="644"/>
      <c r="F597" s="644"/>
      <c r="G597" s="644"/>
      <c r="H597" s="644"/>
      <c r="I597" s="644"/>
      <c r="J597" s="645"/>
      <c r="K597" s="645"/>
      <c r="L597" s="645"/>
      <c r="M597" s="645"/>
      <c r="N597" s="644"/>
      <c r="O597" s="644"/>
      <c r="P597" s="644"/>
      <c r="Q597" s="621"/>
      <c r="R597" s="644"/>
      <c r="S597" s="640"/>
    </row>
    <row r="598" spans="3:19" s="646" customFormat="1" x14ac:dyDescent="0.35">
      <c r="C598" s="643"/>
      <c r="D598" s="621"/>
      <c r="E598" s="644"/>
      <c r="F598" s="644"/>
      <c r="G598" s="644"/>
      <c r="H598" s="644"/>
      <c r="I598" s="644"/>
      <c r="J598" s="645"/>
      <c r="K598" s="645"/>
      <c r="L598" s="645"/>
      <c r="M598" s="645"/>
      <c r="N598" s="644"/>
      <c r="O598" s="644"/>
      <c r="P598" s="644"/>
      <c r="Q598" s="621"/>
      <c r="R598" s="644"/>
      <c r="S598" s="640"/>
    </row>
    <row r="599" spans="3:19" s="646" customFormat="1" x14ac:dyDescent="0.35">
      <c r="C599" s="643"/>
      <c r="D599" s="621"/>
      <c r="E599" s="644"/>
      <c r="F599" s="644"/>
      <c r="G599" s="644"/>
      <c r="H599" s="644"/>
      <c r="I599" s="644"/>
      <c r="J599" s="645"/>
      <c r="K599" s="645"/>
      <c r="L599" s="645"/>
      <c r="M599" s="645"/>
      <c r="N599" s="644"/>
      <c r="O599" s="644"/>
      <c r="P599" s="644"/>
      <c r="Q599" s="621"/>
      <c r="R599" s="644"/>
      <c r="S599" s="640"/>
    </row>
    <row r="600" spans="3:19" s="646" customFormat="1" x14ac:dyDescent="0.35">
      <c r="C600" s="643"/>
      <c r="D600" s="621"/>
      <c r="E600" s="644"/>
      <c r="F600" s="644"/>
      <c r="G600" s="644"/>
      <c r="H600" s="644"/>
      <c r="I600" s="644"/>
      <c r="J600" s="645"/>
      <c r="K600" s="645"/>
      <c r="L600" s="645"/>
      <c r="M600" s="645"/>
      <c r="N600" s="644"/>
      <c r="O600" s="644"/>
      <c r="P600" s="644"/>
      <c r="Q600" s="621"/>
      <c r="R600" s="644"/>
      <c r="S600" s="640"/>
    </row>
    <row r="601" spans="3:19" s="646" customFormat="1" x14ac:dyDescent="0.35">
      <c r="C601" s="643"/>
      <c r="D601" s="621"/>
      <c r="E601" s="644"/>
      <c r="F601" s="644"/>
      <c r="G601" s="644"/>
      <c r="H601" s="644"/>
      <c r="I601" s="644"/>
      <c r="J601" s="645"/>
      <c r="K601" s="645"/>
      <c r="L601" s="645"/>
      <c r="M601" s="645"/>
      <c r="N601" s="644"/>
      <c r="O601" s="644"/>
      <c r="P601" s="644"/>
      <c r="Q601" s="621"/>
      <c r="R601" s="644"/>
      <c r="S601" s="640"/>
    </row>
    <row r="602" spans="3:19" s="646" customFormat="1" x14ac:dyDescent="0.35">
      <c r="C602" s="643"/>
      <c r="D602" s="621"/>
      <c r="E602" s="644"/>
      <c r="F602" s="644"/>
      <c r="G602" s="644"/>
      <c r="H602" s="644"/>
      <c r="I602" s="644"/>
      <c r="J602" s="645"/>
      <c r="K602" s="645"/>
      <c r="L602" s="645"/>
      <c r="M602" s="645"/>
      <c r="N602" s="644"/>
      <c r="O602" s="644"/>
      <c r="P602" s="644"/>
      <c r="Q602" s="621"/>
      <c r="R602" s="644"/>
      <c r="S602" s="640"/>
    </row>
    <row r="603" spans="3:19" s="646" customFormat="1" x14ac:dyDescent="0.35">
      <c r="C603" s="643"/>
      <c r="D603" s="621"/>
      <c r="E603" s="644"/>
      <c r="F603" s="644"/>
      <c r="G603" s="644"/>
      <c r="H603" s="644"/>
      <c r="I603" s="644"/>
      <c r="J603" s="645"/>
      <c r="K603" s="645"/>
      <c r="L603" s="645"/>
      <c r="M603" s="645"/>
      <c r="N603" s="644"/>
      <c r="O603" s="644"/>
      <c r="P603" s="644"/>
      <c r="Q603" s="621"/>
      <c r="R603" s="644"/>
      <c r="S603" s="640"/>
    </row>
    <row r="604" spans="3:19" s="646" customFormat="1" x14ac:dyDescent="0.35">
      <c r="C604" s="643"/>
      <c r="D604" s="621"/>
      <c r="E604" s="644"/>
      <c r="F604" s="644"/>
      <c r="G604" s="644"/>
      <c r="H604" s="644"/>
      <c r="I604" s="644"/>
      <c r="J604" s="645"/>
      <c r="K604" s="645"/>
      <c r="L604" s="645"/>
      <c r="M604" s="645"/>
      <c r="N604" s="644"/>
      <c r="O604" s="644"/>
      <c r="P604" s="644"/>
      <c r="Q604" s="621"/>
      <c r="R604" s="644"/>
      <c r="S604" s="640"/>
    </row>
    <row r="605" spans="3:19" s="646" customFormat="1" x14ac:dyDescent="0.35">
      <c r="C605" s="643"/>
      <c r="D605" s="621"/>
      <c r="E605" s="644"/>
      <c r="F605" s="644"/>
      <c r="G605" s="644"/>
      <c r="H605" s="644"/>
      <c r="I605" s="644"/>
      <c r="J605" s="645"/>
      <c r="K605" s="645"/>
      <c r="L605" s="645"/>
      <c r="M605" s="645"/>
      <c r="N605" s="644"/>
      <c r="O605" s="644"/>
      <c r="P605" s="644"/>
      <c r="Q605" s="621"/>
      <c r="R605" s="644"/>
      <c r="S605" s="640"/>
    </row>
    <row r="606" spans="3:19" s="646" customFormat="1" x14ac:dyDescent="0.35">
      <c r="C606" s="643"/>
      <c r="D606" s="621"/>
      <c r="E606" s="644"/>
      <c r="F606" s="644"/>
      <c r="G606" s="644"/>
      <c r="H606" s="644"/>
      <c r="I606" s="644"/>
      <c r="J606" s="645"/>
      <c r="K606" s="645"/>
      <c r="L606" s="645"/>
      <c r="M606" s="645"/>
      <c r="N606" s="644"/>
      <c r="O606" s="644"/>
      <c r="P606" s="644"/>
      <c r="Q606" s="621"/>
      <c r="R606" s="644"/>
      <c r="S606" s="640"/>
    </row>
    <row r="607" spans="3:19" s="646" customFormat="1" x14ac:dyDescent="0.35">
      <c r="C607" s="643"/>
      <c r="D607" s="621"/>
      <c r="E607" s="644"/>
      <c r="F607" s="644"/>
      <c r="G607" s="644"/>
      <c r="H607" s="644"/>
      <c r="I607" s="644"/>
      <c r="J607" s="645"/>
      <c r="K607" s="645"/>
      <c r="L607" s="645"/>
      <c r="M607" s="645"/>
      <c r="N607" s="644"/>
      <c r="O607" s="644"/>
      <c r="P607" s="644"/>
      <c r="Q607" s="621"/>
      <c r="R607" s="644"/>
      <c r="S607" s="640"/>
    </row>
    <row r="608" spans="3:19" s="646" customFormat="1" x14ac:dyDescent="0.35">
      <c r="C608" s="643"/>
      <c r="D608" s="621"/>
      <c r="E608" s="644"/>
      <c r="F608" s="644"/>
      <c r="G608" s="644"/>
      <c r="H608" s="644"/>
      <c r="I608" s="644"/>
      <c r="J608" s="645"/>
      <c r="K608" s="645"/>
      <c r="L608" s="645"/>
      <c r="M608" s="645"/>
      <c r="N608" s="644"/>
      <c r="O608" s="644"/>
      <c r="P608" s="644"/>
      <c r="Q608" s="621"/>
      <c r="R608" s="644"/>
      <c r="S608" s="640"/>
    </row>
    <row r="609" spans="3:19" s="646" customFormat="1" x14ac:dyDescent="0.35">
      <c r="C609" s="643"/>
      <c r="D609" s="621"/>
      <c r="E609" s="644"/>
      <c r="F609" s="644"/>
      <c r="G609" s="644"/>
      <c r="H609" s="644"/>
      <c r="I609" s="644"/>
      <c r="J609" s="645"/>
      <c r="K609" s="645"/>
      <c r="L609" s="645"/>
      <c r="M609" s="645"/>
      <c r="N609" s="644"/>
      <c r="O609" s="644"/>
      <c r="P609" s="644"/>
      <c r="Q609" s="621"/>
      <c r="R609" s="644"/>
      <c r="S609" s="640"/>
    </row>
    <row r="610" spans="3:19" s="646" customFormat="1" x14ac:dyDescent="0.35">
      <c r="C610" s="643"/>
      <c r="D610" s="621"/>
      <c r="E610" s="644"/>
      <c r="F610" s="644"/>
      <c r="G610" s="644"/>
      <c r="H610" s="644"/>
      <c r="I610" s="644"/>
      <c r="J610" s="645"/>
      <c r="K610" s="645"/>
      <c r="L610" s="645"/>
      <c r="M610" s="645"/>
      <c r="N610" s="644"/>
      <c r="O610" s="644"/>
      <c r="P610" s="644"/>
      <c r="Q610" s="621"/>
      <c r="R610" s="644"/>
      <c r="S610" s="640"/>
    </row>
    <row r="611" spans="3:19" s="646" customFormat="1" x14ac:dyDescent="0.35">
      <c r="C611" s="643"/>
      <c r="D611" s="621"/>
      <c r="E611" s="644"/>
      <c r="F611" s="644"/>
      <c r="G611" s="644"/>
      <c r="H611" s="644"/>
      <c r="I611" s="644"/>
      <c r="J611" s="645"/>
      <c r="K611" s="645"/>
      <c r="L611" s="645"/>
      <c r="M611" s="645"/>
      <c r="N611" s="644"/>
      <c r="O611" s="644"/>
      <c r="P611" s="644"/>
      <c r="Q611" s="621"/>
      <c r="R611" s="644"/>
      <c r="S611" s="640"/>
    </row>
    <row r="612" spans="3:19" s="646" customFormat="1" x14ac:dyDescent="0.35">
      <c r="C612" s="643"/>
      <c r="D612" s="621"/>
      <c r="E612" s="644"/>
      <c r="F612" s="644"/>
      <c r="G612" s="644"/>
      <c r="H612" s="644"/>
      <c r="I612" s="644"/>
      <c r="J612" s="645"/>
      <c r="K612" s="645"/>
      <c r="L612" s="645"/>
      <c r="M612" s="645"/>
      <c r="N612" s="644"/>
      <c r="O612" s="644"/>
      <c r="P612" s="644"/>
      <c r="Q612" s="621"/>
      <c r="R612" s="644"/>
      <c r="S612" s="640"/>
    </row>
    <row r="613" spans="3:19" s="646" customFormat="1" x14ac:dyDescent="0.35">
      <c r="C613" s="643"/>
      <c r="D613" s="621"/>
      <c r="E613" s="644"/>
      <c r="F613" s="644"/>
      <c r="G613" s="644"/>
      <c r="H613" s="644"/>
      <c r="I613" s="644"/>
      <c r="J613" s="645"/>
      <c r="K613" s="645"/>
      <c r="L613" s="645"/>
      <c r="M613" s="645"/>
      <c r="N613" s="644"/>
      <c r="O613" s="644"/>
      <c r="P613" s="644"/>
      <c r="Q613" s="621"/>
      <c r="R613" s="644"/>
      <c r="S613" s="640"/>
    </row>
    <row r="614" spans="3:19" s="646" customFormat="1" x14ac:dyDescent="0.35">
      <c r="C614" s="643"/>
      <c r="D614" s="621"/>
      <c r="E614" s="644"/>
      <c r="F614" s="644"/>
      <c r="G614" s="644"/>
      <c r="H614" s="644"/>
      <c r="I614" s="644"/>
      <c r="J614" s="645"/>
      <c r="K614" s="645"/>
      <c r="L614" s="645"/>
      <c r="M614" s="645"/>
      <c r="N614" s="644"/>
      <c r="O614" s="644"/>
      <c r="P614" s="644"/>
      <c r="Q614" s="621"/>
      <c r="R614" s="644"/>
      <c r="S614" s="640"/>
    </row>
    <row r="615" spans="3:19" s="646" customFormat="1" x14ac:dyDescent="0.35">
      <c r="C615" s="643"/>
      <c r="D615" s="621"/>
      <c r="E615" s="644"/>
      <c r="F615" s="644"/>
      <c r="G615" s="644"/>
      <c r="H615" s="644"/>
      <c r="I615" s="644"/>
      <c r="J615" s="645"/>
      <c r="K615" s="645"/>
      <c r="L615" s="645"/>
      <c r="M615" s="645"/>
      <c r="N615" s="644"/>
      <c r="O615" s="644"/>
      <c r="P615" s="644"/>
      <c r="Q615" s="621"/>
      <c r="R615" s="644"/>
      <c r="S615" s="640"/>
    </row>
    <row r="616" spans="3:19" s="646" customFormat="1" x14ac:dyDescent="0.35">
      <c r="C616" s="643"/>
      <c r="D616" s="621"/>
      <c r="E616" s="644"/>
      <c r="F616" s="644"/>
      <c r="G616" s="644"/>
      <c r="H616" s="644"/>
      <c r="I616" s="644"/>
      <c r="J616" s="645"/>
      <c r="K616" s="645"/>
      <c r="L616" s="645"/>
      <c r="M616" s="645"/>
      <c r="N616" s="644"/>
      <c r="O616" s="644"/>
      <c r="P616" s="644"/>
      <c r="Q616" s="621"/>
      <c r="R616" s="644"/>
      <c r="S616" s="640"/>
    </row>
    <row r="617" spans="3:19" s="646" customFormat="1" x14ac:dyDescent="0.35">
      <c r="C617" s="643"/>
      <c r="D617" s="621"/>
      <c r="E617" s="644"/>
      <c r="F617" s="644"/>
      <c r="G617" s="644"/>
      <c r="H617" s="644"/>
      <c r="I617" s="644"/>
      <c r="J617" s="645"/>
      <c r="K617" s="645"/>
      <c r="L617" s="645"/>
      <c r="M617" s="645"/>
      <c r="N617" s="644"/>
      <c r="O617" s="644"/>
      <c r="P617" s="644"/>
      <c r="Q617" s="621"/>
      <c r="R617" s="644"/>
      <c r="S617" s="640"/>
    </row>
    <row r="618" spans="3:19" s="646" customFormat="1" x14ac:dyDescent="0.35">
      <c r="C618" s="643"/>
      <c r="D618" s="621"/>
      <c r="E618" s="644"/>
      <c r="F618" s="644"/>
      <c r="G618" s="644"/>
      <c r="H618" s="644"/>
      <c r="I618" s="644"/>
      <c r="J618" s="645"/>
      <c r="K618" s="645"/>
      <c r="L618" s="645"/>
      <c r="M618" s="645"/>
      <c r="N618" s="644"/>
      <c r="O618" s="644"/>
      <c r="P618" s="644"/>
      <c r="Q618" s="621"/>
      <c r="R618" s="644"/>
      <c r="S618" s="640"/>
    </row>
    <row r="619" spans="3:19" s="646" customFormat="1" x14ac:dyDescent="0.35">
      <c r="C619" s="643"/>
      <c r="D619" s="621"/>
      <c r="E619" s="644"/>
      <c r="F619" s="644"/>
      <c r="G619" s="644"/>
      <c r="H619" s="644"/>
      <c r="I619" s="644"/>
      <c r="J619" s="645"/>
      <c r="K619" s="645"/>
      <c r="L619" s="645"/>
      <c r="M619" s="645"/>
      <c r="N619" s="644"/>
      <c r="O619" s="644"/>
      <c r="P619" s="644"/>
      <c r="Q619" s="621"/>
      <c r="R619" s="644"/>
      <c r="S619" s="640"/>
    </row>
    <row r="620" spans="3:19" s="646" customFormat="1" x14ac:dyDescent="0.35">
      <c r="C620" s="643"/>
      <c r="D620" s="621"/>
      <c r="E620" s="644"/>
      <c r="F620" s="644"/>
      <c r="G620" s="644"/>
      <c r="H620" s="644"/>
      <c r="I620" s="644"/>
      <c r="J620" s="645"/>
      <c r="K620" s="645"/>
      <c r="L620" s="645"/>
      <c r="M620" s="645"/>
      <c r="N620" s="644"/>
      <c r="O620" s="644"/>
      <c r="P620" s="644"/>
      <c r="Q620" s="621"/>
      <c r="R620" s="644"/>
      <c r="S620" s="640"/>
    </row>
    <row r="621" spans="3:19" s="646" customFormat="1" x14ac:dyDescent="0.35">
      <c r="C621" s="643"/>
      <c r="D621" s="621"/>
      <c r="E621" s="644"/>
      <c r="F621" s="644"/>
      <c r="G621" s="644"/>
      <c r="H621" s="644"/>
      <c r="I621" s="644"/>
      <c r="J621" s="645"/>
      <c r="K621" s="645"/>
      <c r="L621" s="645"/>
      <c r="M621" s="645"/>
      <c r="N621" s="644"/>
      <c r="O621" s="644"/>
      <c r="P621" s="644"/>
      <c r="Q621" s="621"/>
      <c r="R621" s="644"/>
      <c r="S621" s="640"/>
    </row>
    <row r="622" spans="3:19" s="646" customFormat="1" x14ac:dyDescent="0.35">
      <c r="C622" s="643"/>
      <c r="D622" s="621"/>
      <c r="E622" s="644"/>
      <c r="F622" s="644"/>
      <c r="G622" s="644"/>
      <c r="H622" s="644"/>
      <c r="I622" s="644"/>
      <c r="J622" s="645"/>
      <c r="K622" s="645"/>
      <c r="L622" s="645"/>
      <c r="M622" s="645"/>
      <c r="N622" s="644"/>
      <c r="O622" s="644"/>
      <c r="P622" s="644"/>
      <c r="Q622" s="621"/>
      <c r="R622" s="644"/>
      <c r="S622" s="640"/>
    </row>
    <row r="623" spans="3:19" s="646" customFormat="1" x14ac:dyDescent="0.35">
      <c r="C623" s="643"/>
      <c r="D623" s="621"/>
      <c r="E623" s="644"/>
      <c r="F623" s="644"/>
      <c r="G623" s="644"/>
      <c r="H623" s="644"/>
      <c r="I623" s="644"/>
      <c r="J623" s="645"/>
      <c r="K623" s="645"/>
      <c r="L623" s="645"/>
      <c r="M623" s="645"/>
      <c r="N623" s="644"/>
      <c r="O623" s="644"/>
      <c r="P623" s="644"/>
      <c r="Q623" s="621"/>
      <c r="R623" s="644"/>
      <c r="S623" s="640"/>
    </row>
    <row r="624" spans="3:19" s="646" customFormat="1" x14ac:dyDescent="0.35">
      <c r="C624" s="643"/>
      <c r="D624" s="621"/>
      <c r="E624" s="644"/>
      <c r="F624" s="644"/>
      <c r="G624" s="644"/>
      <c r="H624" s="644"/>
      <c r="I624" s="644"/>
      <c r="J624" s="645"/>
      <c r="K624" s="645"/>
      <c r="L624" s="645"/>
      <c r="M624" s="645"/>
      <c r="N624" s="644"/>
      <c r="O624" s="644"/>
      <c r="P624" s="644"/>
      <c r="Q624" s="621"/>
      <c r="R624" s="644"/>
      <c r="S624" s="640"/>
    </row>
    <row r="625" spans="3:19" s="646" customFormat="1" x14ac:dyDescent="0.35">
      <c r="C625" s="643"/>
      <c r="D625" s="621"/>
      <c r="E625" s="644"/>
      <c r="F625" s="644"/>
      <c r="G625" s="644"/>
      <c r="H625" s="644"/>
      <c r="I625" s="644"/>
      <c r="J625" s="645"/>
      <c r="K625" s="645"/>
      <c r="L625" s="645"/>
      <c r="M625" s="645"/>
      <c r="N625" s="644"/>
      <c r="O625" s="644"/>
      <c r="P625" s="644"/>
      <c r="Q625" s="621"/>
      <c r="R625" s="644"/>
      <c r="S625" s="640"/>
    </row>
    <row r="626" spans="3:19" s="646" customFormat="1" x14ac:dyDescent="0.35">
      <c r="C626" s="643"/>
      <c r="D626" s="621"/>
      <c r="E626" s="644"/>
      <c r="F626" s="644"/>
      <c r="G626" s="644"/>
      <c r="H626" s="644"/>
      <c r="I626" s="644"/>
      <c r="J626" s="645"/>
      <c r="K626" s="645"/>
      <c r="L626" s="645"/>
      <c r="M626" s="645"/>
      <c r="N626" s="644"/>
      <c r="O626" s="644"/>
      <c r="P626" s="644"/>
      <c r="Q626" s="621"/>
      <c r="R626" s="644"/>
      <c r="S626" s="640"/>
    </row>
    <row r="627" spans="3:19" s="646" customFormat="1" x14ac:dyDescent="0.35">
      <c r="C627" s="643"/>
      <c r="D627" s="621"/>
      <c r="E627" s="644"/>
      <c r="F627" s="644"/>
      <c r="G627" s="644"/>
      <c r="H627" s="644"/>
      <c r="I627" s="644"/>
      <c r="J627" s="645"/>
      <c r="K627" s="645"/>
      <c r="L627" s="645"/>
      <c r="M627" s="645"/>
      <c r="N627" s="644"/>
      <c r="O627" s="644"/>
      <c r="P627" s="644"/>
      <c r="Q627" s="621"/>
      <c r="R627" s="644"/>
      <c r="S627" s="640"/>
    </row>
    <row r="628" spans="3:19" s="646" customFormat="1" x14ac:dyDescent="0.35">
      <c r="C628" s="643"/>
      <c r="D628" s="621"/>
      <c r="E628" s="644"/>
      <c r="F628" s="644"/>
      <c r="G628" s="644"/>
      <c r="H628" s="644"/>
      <c r="I628" s="644"/>
      <c r="J628" s="645"/>
      <c r="K628" s="645"/>
      <c r="L628" s="645"/>
      <c r="M628" s="645"/>
      <c r="N628" s="644"/>
      <c r="O628" s="644"/>
      <c r="P628" s="644"/>
      <c r="Q628" s="621"/>
      <c r="R628" s="644"/>
      <c r="S628" s="640"/>
    </row>
    <row r="629" spans="3:19" s="646" customFormat="1" x14ac:dyDescent="0.35">
      <c r="C629" s="643"/>
      <c r="D629" s="621"/>
      <c r="E629" s="644"/>
      <c r="F629" s="644"/>
      <c r="G629" s="644"/>
      <c r="H629" s="644"/>
      <c r="I629" s="644"/>
      <c r="J629" s="645"/>
      <c r="K629" s="645"/>
      <c r="L629" s="645"/>
      <c r="M629" s="645"/>
      <c r="N629" s="644"/>
      <c r="O629" s="644"/>
      <c r="P629" s="644"/>
      <c r="Q629" s="621"/>
      <c r="R629" s="644"/>
      <c r="S629" s="640"/>
    </row>
    <row r="630" spans="3:19" s="646" customFormat="1" x14ac:dyDescent="0.35">
      <c r="C630" s="643"/>
      <c r="D630" s="621"/>
      <c r="E630" s="644"/>
      <c r="F630" s="644"/>
      <c r="G630" s="644"/>
      <c r="H630" s="644"/>
      <c r="I630" s="644"/>
      <c r="J630" s="645"/>
      <c r="K630" s="645"/>
      <c r="L630" s="645"/>
      <c r="M630" s="645"/>
      <c r="N630" s="644"/>
      <c r="O630" s="644"/>
      <c r="P630" s="644"/>
      <c r="Q630" s="621"/>
      <c r="R630" s="644"/>
      <c r="S630" s="640"/>
    </row>
    <row r="631" spans="3:19" s="646" customFormat="1" x14ac:dyDescent="0.35">
      <c r="C631" s="643"/>
      <c r="D631" s="621"/>
      <c r="E631" s="644"/>
      <c r="F631" s="644"/>
      <c r="G631" s="644"/>
      <c r="H631" s="644"/>
      <c r="I631" s="644"/>
      <c r="J631" s="645"/>
      <c r="K631" s="645"/>
      <c r="L631" s="645"/>
      <c r="M631" s="645"/>
      <c r="N631" s="644"/>
      <c r="O631" s="644"/>
      <c r="P631" s="644"/>
      <c r="Q631" s="621"/>
      <c r="R631" s="644"/>
      <c r="S631" s="640"/>
    </row>
    <row r="632" spans="3:19" s="646" customFormat="1" x14ac:dyDescent="0.35">
      <c r="C632" s="643"/>
      <c r="D632" s="621"/>
      <c r="E632" s="644"/>
      <c r="F632" s="644"/>
      <c r="G632" s="644"/>
      <c r="H632" s="644"/>
      <c r="I632" s="644"/>
      <c r="J632" s="645"/>
      <c r="K632" s="645"/>
      <c r="L632" s="645"/>
      <c r="M632" s="645"/>
      <c r="N632" s="644"/>
      <c r="O632" s="644"/>
      <c r="P632" s="644"/>
      <c r="Q632" s="621"/>
      <c r="R632" s="644"/>
      <c r="S632" s="640"/>
    </row>
    <row r="633" spans="3:19" s="646" customFormat="1" x14ac:dyDescent="0.35">
      <c r="C633" s="643"/>
      <c r="D633" s="621"/>
      <c r="E633" s="644"/>
      <c r="F633" s="644"/>
      <c r="G633" s="644"/>
      <c r="H633" s="644"/>
      <c r="I633" s="644"/>
      <c r="J633" s="645"/>
      <c r="K633" s="645"/>
      <c r="L633" s="645"/>
      <c r="M633" s="645"/>
      <c r="N633" s="644"/>
      <c r="O633" s="644"/>
      <c r="P633" s="644"/>
      <c r="Q633" s="621"/>
      <c r="R633" s="644"/>
      <c r="S633" s="640"/>
    </row>
    <row r="634" spans="3:19" s="646" customFormat="1" x14ac:dyDescent="0.35">
      <c r="C634" s="643"/>
      <c r="D634" s="621"/>
      <c r="E634" s="644"/>
      <c r="F634" s="644"/>
      <c r="G634" s="644"/>
      <c r="H634" s="644"/>
      <c r="I634" s="644"/>
      <c r="J634" s="645"/>
      <c r="K634" s="645"/>
      <c r="L634" s="645"/>
      <c r="M634" s="645"/>
      <c r="N634" s="644"/>
      <c r="O634" s="644"/>
      <c r="P634" s="644"/>
      <c r="Q634" s="621"/>
      <c r="R634" s="644"/>
      <c r="S634" s="640"/>
    </row>
    <row r="635" spans="3:19" s="646" customFormat="1" x14ac:dyDescent="0.35">
      <c r="C635" s="643"/>
      <c r="D635" s="621"/>
      <c r="E635" s="644"/>
      <c r="F635" s="644"/>
      <c r="G635" s="644"/>
      <c r="H635" s="644"/>
      <c r="I635" s="644"/>
      <c r="J635" s="645"/>
      <c r="K635" s="645"/>
      <c r="L635" s="645"/>
      <c r="M635" s="645"/>
      <c r="N635" s="644"/>
      <c r="O635" s="644"/>
      <c r="P635" s="644"/>
      <c r="Q635" s="621"/>
      <c r="R635" s="644"/>
      <c r="S635" s="640"/>
    </row>
    <row r="636" spans="3:19" s="646" customFormat="1" x14ac:dyDescent="0.35">
      <c r="C636" s="643"/>
      <c r="D636" s="621"/>
      <c r="E636" s="644"/>
      <c r="F636" s="644"/>
      <c r="G636" s="644"/>
      <c r="H636" s="644"/>
      <c r="I636" s="644"/>
      <c r="J636" s="645"/>
      <c r="K636" s="645"/>
      <c r="L636" s="645"/>
      <c r="M636" s="645"/>
      <c r="N636" s="644"/>
      <c r="O636" s="644"/>
      <c r="P636" s="644"/>
      <c r="Q636" s="621"/>
      <c r="R636" s="644"/>
      <c r="S636" s="640"/>
    </row>
    <row r="637" spans="3:19" s="646" customFormat="1" x14ac:dyDescent="0.35">
      <c r="C637" s="643"/>
      <c r="D637" s="621"/>
      <c r="E637" s="644"/>
      <c r="F637" s="644"/>
      <c r="G637" s="644"/>
      <c r="H637" s="644"/>
      <c r="I637" s="644"/>
      <c r="J637" s="645"/>
      <c r="K637" s="645"/>
      <c r="L637" s="645"/>
      <c r="M637" s="645"/>
      <c r="N637" s="644"/>
      <c r="O637" s="644"/>
      <c r="P637" s="644"/>
      <c r="Q637" s="621"/>
      <c r="R637" s="644"/>
      <c r="S637" s="640"/>
    </row>
    <row r="638" spans="3:19" s="646" customFormat="1" x14ac:dyDescent="0.35">
      <c r="C638" s="643"/>
      <c r="D638" s="621"/>
      <c r="E638" s="644"/>
      <c r="F638" s="644"/>
      <c r="G638" s="644"/>
      <c r="H638" s="644"/>
      <c r="I638" s="644"/>
      <c r="J638" s="645"/>
      <c r="K638" s="645"/>
      <c r="L638" s="645"/>
      <c r="M638" s="645"/>
      <c r="N638" s="644"/>
      <c r="O638" s="644"/>
      <c r="P638" s="644"/>
      <c r="Q638" s="621"/>
      <c r="R638" s="644"/>
      <c r="S638" s="640"/>
    </row>
    <row r="639" spans="3:19" s="646" customFormat="1" x14ac:dyDescent="0.35">
      <c r="C639" s="643"/>
      <c r="D639" s="621"/>
      <c r="E639" s="644"/>
      <c r="F639" s="644"/>
      <c r="G639" s="644"/>
      <c r="H639" s="644"/>
      <c r="I639" s="644"/>
      <c r="J639" s="645"/>
      <c r="K639" s="645"/>
      <c r="L639" s="645"/>
      <c r="M639" s="645"/>
      <c r="N639" s="644"/>
      <c r="O639" s="644"/>
      <c r="P639" s="644"/>
      <c r="Q639" s="621"/>
      <c r="R639" s="644"/>
      <c r="S639" s="640"/>
    </row>
    <row r="640" spans="3:19" s="646" customFormat="1" x14ac:dyDescent="0.35">
      <c r="C640" s="643"/>
      <c r="D640" s="621"/>
      <c r="E640" s="644"/>
      <c r="F640" s="644"/>
      <c r="G640" s="644"/>
      <c r="H640" s="644"/>
      <c r="I640" s="644"/>
      <c r="J640" s="645"/>
      <c r="K640" s="645"/>
      <c r="L640" s="645"/>
      <c r="M640" s="645"/>
      <c r="N640" s="644"/>
      <c r="O640" s="644"/>
      <c r="P640" s="644"/>
      <c r="Q640" s="621"/>
      <c r="R640" s="644"/>
      <c r="S640" s="640"/>
    </row>
    <row r="641" spans="3:19" s="646" customFormat="1" x14ac:dyDescent="0.35">
      <c r="C641" s="643"/>
      <c r="D641" s="621"/>
      <c r="E641" s="644"/>
      <c r="F641" s="644"/>
      <c r="G641" s="644"/>
      <c r="H641" s="644"/>
      <c r="I641" s="644"/>
      <c r="J641" s="645"/>
      <c r="K641" s="645"/>
      <c r="L641" s="645"/>
      <c r="M641" s="645"/>
      <c r="N641" s="644"/>
      <c r="O641" s="644"/>
      <c r="P641" s="644"/>
      <c r="Q641" s="621"/>
      <c r="R641" s="644"/>
      <c r="S641" s="640"/>
    </row>
    <row r="642" spans="3:19" s="646" customFormat="1" x14ac:dyDescent="0.35">
      <c r="C642" s="643"/>
      <c r="D642" s="621"/>
      <c r="E642" s="644"/>
      <c r="F642" s="644"/>
      <c r="G642" s="644"/>
      <c r="H642" s="644"/>
      <c r="I642" s="644"/>
      <c r="J642" s="645"/>
      <c r="K642" s="645"/>
      <c r="L642" s="645"/>
      <c r="M642" s="645"/>
      <c r="N642" s="644"/>
      <c r="O642" s="644"/>
      <c r="P642" s="644"/>
      <c r="Q642" s="621"/>
      <c r="R642" s="644"/>
      <c r="S642" s="640"/>
    </row>
    <row r="643" spans="3:19" s="646" customFormat="1" x14ac:dyDescent="0.35">
      <c r="C643" s="643"/>
      <c r="D643" s="621"/>
      <c r="E643" s="644"/>
      <c r="F643" s="644"/>
      <c r="G643" s="644"/>
      <c r="H643" s="644"/>
      <c r="I643" s="644"/>
      <c r="J643" s="645"/>
      <c r="K643" s="645"/>
      <c r="L643" s="645"/>
      <c r="M643" s="645"/>
      <c r="N643" s="644"/>
      <c r="O643" s="644"/>
      <c r="P643" s="644"/>
      <c r="Q643" s="621"/>
      <c r="R643" s="644"/>
      <c r="S643" s="640"/>
    </row>
    <row r="644" spans="3:19" s="646" customFormat="1" x14ac:dyDescent="0.35">
      <c r="C644" s="643"/>
      <c r="D644" s="621"/>
      <c r="E644" s="644"/>
      <c r="F644" s="644"/>
      <c r="G644" s="644"/>
      <c r="H644" s="644"/>
      <c r="I644" s="644"/>
      <c r="J644" s="645"/>
      <c r="K644" s="645"/>
      <c r="L644" s="645"/>
      <c r="M644" s="645"/>
      <c r="N644" s="644"/>
      <c r="O644" s="644"/>
      <c r="P644" s="644"/>
      <c r="Q644" s="621"/>
      <c r="R644" s="644"/>
      <c r="S644" s="640"/>
    </row>
    <row r="645" spans="3:19" s="646" customFormat="1" x14ac:dyDescent="0.35">
      <c r="C645" s="643"/>
      <c r="D645" s="621"/>
      <c r="E645" s="644"/>
      <c r="F645" s="644"/>
      <c r="G645" s="644"/>
      <c r="H645" s="644"/>
      <c r="I645" s="644"/>
      <c r="J645" s="645"/>
      <c r="K645" s="645"/>
      <c r="L645" s="645"/>
      <c r="M645" s="645"/>
      <c r="N645" s="644"/>
      <c r="O645" s="644"/>
      <c r="P645" s="644"/>
      <c r="Q645" s="621"/>
      <c r="R645" s="644"/>
      <c r="S645" s="640"/>
    </row>
    <row r="646" spans="3:19" s="646" customFormat="1" x14ac:dyDescent="0.35">
      <c r="C646" s="643"/>
      <c r="D646" s="621"/>
      <c r="E646" s="644"/>
      <c r="F646" s="644"/>
      <c r="G646" s="644"/>
      <c r="H646" s="644"/>
      <c r="I646" s="644"/>
      <c r="J646" s="645"/>
      <c r="K646" s="645"/>
      <c r="L646" s="645"/>
      <c r="M646" s="645"/>
      <c r="N646" s="644"/>
      <c r="O646" s="644"/>
      <c r="P646" s="644"/>
      <c r="Q646" s="621"/>
      <c r="R646" s="644"/>
      <c r="S646" s="640"/>
    </row>
    <row r="647" spans="3:19" s="646" customFormat="1" x14ac:dyDescent="0.35">
      <c r="C647" s="643"/>
      <c r="D647" s="621"/>
      <c r="E647" s="644"/>
      <c r="F647" s="644"/>
      <c r="G647" s="644"/>
      <c r="H647" s="644"/>
      <c r="I647" s="644"/>
      <c r="J647" s="645"/>
      <c r="K647" s="645"/>
      <c r="L647" s="645"/>
      <c r="M647" s="645"/>
      <c r="N647" s="644"/>
      <c r="O647" s="644"/>
      <c r="P647" s="644"/>
      <c r="Q647" s="621"/>
      <c r="R647" s="644"/>
      <c r="S647" s="640"/>
    </row>
    <row r="648" spans="3:19" s="646" customFormat="1" x14ac:dyDescent="0.35">
      <c r="C648" s="643"/>
      <c r="D648" s="621"/>
      <c r="E648" s="644"/>
      <c r="F648" s="644"/>
      <c r="G648" s="644"/>
      <c r="H648" s="644"/>
      <c r="I648" s="644"/>
      <c r="J648" s="645"/>
      <c r="K648" s="645"/>
      <c r="L648" s="645"/>
      <c r="M648" s="645"/>
      <c r="N648" s="644"/>
      <c r="O648" s="644"/>
      <c r="P648" s="644"/>
      <c r="Q648" s="621"/>
      <c r="R648" s="644"/>
      <c r="S648" s="640"/>
    </row>
    <row r="649" spans="3:19" s="646" customFormat="1" x14ac:dyDescent="0.35">
      <c r="C649" s="643"/>
      <c r="D649" s="621"/>
      <c r="E649" s="644"/>
      <c r="F649" s="644"/>
      <c r="G649" s="644"/>
      <c r="H649" s="644"/>
      <c r="I649" s="644"/>
      <c r="J649" s="645"/>
      <c r="K649" s="645"/>
      <c r="L649" s="645"/>
      <c r="M649" s="645"/>
      <c r="N649" s="644"/>
      <c r="O649" s="644"/>
      <c r="P649" s="644"/>
      <c r="Q649" s="621"/>
      <c r="R649" s="644"/>
      <c r="S649" s="640"/>
    </row>
    <row r="650" spans="3:19" s="646" customFormat="1" x14ac:dyDescent="0.35">
      <c r="C650" s="643"/>
      <c r="D650" s="621"/>
      <c r="E650" s="644"/>
      <c r="F650" s="644"/>
      <c r="G650" s="644"/>
      <c r="H650" s="644"/>
      <c r="I650" s="644"/>
      <c r="J650" s="645"/>
      <c r="K650" s="645"/>
      <c r="L650" s="645"/>
      <c r="M650" s="645"/>
      <c r="N650" s="644"/>
      <c r="O650" s="644"/>
      <c r="P650" s="644"/>
      <c r="Q650" s="621"/>
      <c r="R650" s="644"/>
      <c r="S650" s="640"/>
    </row>
    <row r="651" spans="3:19" s="646" customFormat="1" x14ac:dyDescent="0.35">
      <c r="C651" s="643"/>
      <c r="D651" s="621"/>
      <c r="E651" s="644"/>
      <c r="F651" s="644"/>
      <c r="G651" s="644"/>
      <c r="H651" s="644"/>
      <c r="I651" s="644"/>
      <c r="J651" s="645"/>
      <c r="K651" s="645"/>
      <c r="L651" s="645"/>
      <c r="M651" s="645"/>
      <c r="N651" s="644"/>
      <c r="O651" s="644"/>
      <c r="P651" s="644"/>
      <c r="Q651" s="621"/>
      <c r="R651" s="644"/>
      <c r="S651" s="640"/>
    </row>
    <row r="652" spans="3:19" s="646" customFormat="1" x14ac:dyDescent="0.35">
      <c r="C652" s="643"/>
      <c r="D652" s="621"/>
      <c r="E652" s="644"/>
      <c r="F652" s="644"/>
      <c r="G652" s="644"/>
      <c r="H652" s="644"/>
      <c r="I652" s="644"/>
      <c r="J652" s="645"/>
      <c r="K652" s="645"/>
      <c r="L652" s="645"/>
      <c r="M652" s="645"/>
      <c r="N652" s="644"/>
      <c r="O652" s="644"/>
      <c r="P652" s="644"/>
      <c r="Q652" s="621"/>
      <c r="R652" s="644"/>
      <c r="S652" s="640"/>
    </row>
    <row r="653" spans="3:19" s="646" customFormat="1" x14ac:dyDescent="0.35">
      <c r="C653" s="643"/>
      <c r="D653" s="621"/>
      <c r="E653" s="644"/>
      <c r="F653" s="644"/>
      <c r="G653" s="644"/>
      <c r="H653" s="644"/>
      <c r="I653" s="644"/>
      <c r="J653" s="645"/>
      <c r="K653" s="645"/>
      <c r="L653" s="645"/>
      <c r="M653" s="645"/>
      <c r="N653" s="644"/>
      <c r="O653" s="644"/>
      <c r="P653" s="644"/>
      <c r="Q653" s="621"/>
      <c r="R653" s="644"/>
      <c r="S653" s="640"/>
    </row>
    <row r="654" spans="3:19" s="646" customFormat="1" x14ac:dyDescent="0.35">
      <c r="C654" s="643"/>
      <c r="D654" s="621"/>
      <c r="E654" s="644"/>
      <c r="F654" s="644"/>
      <c r="G654" s="644"/>
      <c r="H654" s="644"/>
      <c r="I654" s="644"/>
      <c r="J654" s="645"/>
      <c r="K654" s="645"/>
      <c r="L654" s="645"/>
      <c r="M654" s="645"/>
      <c r="N654" s="644"/>
      <c r="O654" s="644"/>
      <c r="P654" s="644"/>
      <c r="Q654" s="621"/>
      <c r="R654" s="644"/>
      <c r="S654" s="640"/>
    </row>
    <row r="655" spans="3:19" s="646" customFormat="1" x14ac:dyDescent="0.35">
      <c r="C655" s="643"/>
      <c r="D655" s="621"/>
      <c r="E655" s="644"/>
      <c r="F655" s="644"/>
      <c r="G655" s="644"/>
      <c r="H655" s="644"/>
      <c r="I655" s="644"/>
      <c r="J655" s="645"/>
      <c r="K655" s="645"/>
      <c r="L655" s="645"/>
      <c r="M655" s="645"/>
      <c r="N655" s="644"/>
      <c r="O655" s="644"/>
      <c r="P655" s="644"/>
      <c r="Q655" s="621"/>
      <c r="R655" s="644"/>
      <c r="S655" s="640"/>
    </row>
    <row r="656" spans="3:19" s="646" customFormat="1" x14ac:dyDescent="0.35">
      <c r="C656" s="643"/>
      <c r="D656" s="621"/>
      <c r="E656" s="644"/>
      <c r="F656" s="644"/>
      <c r="G656" s="644"/>
      <c r="H656" s="644"/>
      <c r="I656" s="644"/>
      <c r="J656" s="645"/>
      <c r="K656" s="645"/>
      <c r="L656" s="645"/>
      <c r="M656" s="645"/>
      <c r="N656" s="644"/>
      <c r="O656" s="644"/>
      <c r="P656" s="644"/>
      <c r="Q656" s="621"/>
      <c r="R656" s="644"/>
      <c r="S656" s="640"/>
    </row>
    <row r="657" spans="3:19" s="646" customFormat="1" x14ac:dyDescent="0.35">
      <c r="C657" s="643"/>
      <c r="D657" s="621"/>
      <c r="E657" s="644"/>
      <c r="F657" s="644"/>
      <c r="G657" s="644"/>
      <c r="H657" s="644"/>
      <c r="I657" s="644"/>
      <c r="J657" s="645"/>
      <c r="K657" s="645"/>
      <c r="L657" s="645"/>
      <c r="M657" s="645"/>
      <c r="N657" s="644"/>
      <c r="O657" s="644"/>
      <c r="P657" s="644"/>
      <c r="Q657" s="621"/>
      <c r="R657" s="644"/>
      <c r="S657" s="640"/>
    </row>
    <row r="658" spans="3:19" s="646" customFormat="1" x14ac:dyDescent="0.35">
      <c r="C658" s="643"/>
      <c r="D658" s="621"/>
      <c r="E658" s="644"/>
      <c r="F658" s="644"/>
      <c r="G658" s="644"/>
      <c r="H658" s="644"/>
      <c r="I658" s="644"/>
      <c r="J658" s="645"/>
      <c r="K658" s="645"/>
      <c r="L658" s="645"/>
      <c r="M658" s="645"/>
      <c r="N658" s="644"/>
      <c r="O658" s="644"/>
      <c r="P658" s="644"/>
      <c r="Q658" s="621"/>
      <c r="R658" s="644"/>
      <c r="S658" s="640"/>
    </row>
    <row r="659" spans="3:19" s="646" customFormat="1" x14ac:dyDescent="0.35">
      <c r="C659" s="643"/>
      <c r="D659" s="621"/>
      <c r="E659" s="644"/>
      <c r="F659" s="644"/>
      <c r="G659" s="644"/>
      <c r="H659" s="644"/>
      <c r="I659" s="644"/>
      <c r="J659" s="645"/>
      <c r="K659" s="645"/>
      <c r="L659" s="645"/>
      <c r="M659" s="645"/>
      <c r="N659" s="644"/>
      <c r="O659" s="644"/>
      <c r="P659" s="644"/>
      <c r="Q659" s="621"/>
      <c r="R659" s="644"/>
      <c r="S659" s="640"/>
    </row>
    <row r="660" spans="3:19" s="646" customFormat="1" x14ac:dyDescent="0.35">
      <c r="C660" s="643"/>
      <c r="D660" s="621"/>
      <c r="E660" s="644"/>
      <c r="F660" s="644"/>
      <c r="G660" s="644"/>
      <c r="H660" s="644"/>
      <c r="I660" s="644"/>
      <c r="J660" s="645"/>
      <c r="K660" s="645"/>
      <c r="L660" s="645"/>
      <c r="M660" s="645"/>
      <c r="N660" s="644"/>
      <c r="O660" s="644"/>
      <c r="P660" s="644"/>
      <c r="Q660" s="621"/>
      <c r="R660" s="644"/>
      <c r="S660" s="640"/>
    </row>
    <row r="661" spans="3:19" s="646" customFormat="1" x14ac:dyDescent="0.35">
      <c r="C661" s="643"/>
      <c r="D661" s="621"/>
      <c r="E661" s="644"/>
      <c r="F661" s="644"/>
      <c r="G661" s="644"/>
      <c r="H661" s="644"/>
      <c r="I661" s="644"/>
      <c r="J661" s="645"/>
      <c r="K661" s="645"/>
      <c r="L661" s="645"/>
      <c r="M661" s="645"/>
      <c r="N661" s="644"/>
      <c r="O661" s="644"/>
      <c r="P661" s="644"/>
      <c r="Q661" s="621"/>
      <c r="R661" s="644"/>
      <c r="S661" s="640"/>
    </row>
    <row r="662" spans="3:19" s="646" customFormat="1" x14ac:dyDescent="0.35">
      <c r="C662" s="643"/>
      <c r="D662" s="621"/>
      <c r="E662" s="644"/>
      <c r="F662" s="644"/>
      <c r="G662" s="644"/>
      <c r="H662" s="644"/>
      <c r="I662" s="644"/>
      <c r="J662" s="645"/>
      <c r="K662" s="645"/>
      <c r="L662" s="645"/>
      <c r="M662" s="645"/>
      <c r="N662" s="644"/>
      <c r="O662" s="644"/>
      <c r="P662" s="644"/>
      <c r="Q662" s="621"/>
      <c r="R662" s="644"/>
      <c r="S662" s="640"/>
    </row>
    <row r="663" spans="3:19" s="646" customFormat="1" x14ac:dyDescent="0.35">
      <c r="C663" s="643"/>
      <c r="D663" s="621"/>
      <c r="E663" s="644"/>
      <c r="F663" s="644"/>
      <c r="G663" s="644"/>
      <c r="H663" s="644"/>
      <c r="I663" s="644"/>
      <c r="J663" s="645"/>
      <c r="K663" s="645"/>
      <c r="L663" s="645"/>
      <c r="M663" s="645"/>
      <c r="N663" s="644"/>
      <c r="O663" s="644"/>
      <c r="P663" s="644"/>
      <c r="Q663" s="621"/>
      <c r="R663" s="644"/>
      <c r="S663" s="640"/>
    </row>
    <row r="664" spans="3:19" s="646" customFormat="1" x14ac:dyDescent="0.35">
      <c r="C664" s="643"/>
      <c r="D664" s="621"/>
      <c r="E664" s="644"/>
      <c r="F664" s="644"/>
      <c r="G664" s="644"/>
      <c r="H664" s="644"/>
      <c r="I664" s="644"/>
      <c r="J664" s="645"/>
      <c r="K664" s="645"/>
      <c r="L664" s="645"/>
      <c r="M664" s="645"/>
      <c r="N664" s="644"/>
      <c r="O664" s="644"/>
      <c r="P664" s="644"/>
      <c r="Q664" s="621"/>
      <c r="R664" s="644"/>
      <c r="S664" s="640"/>
    </row>
    <row r="665" spans="3:19" s="646" customFormat="1" x14ac:dyDescent="0.35">
      <c r="C665" s="643"/>
      <c r="D665" s="621"/>
      <c r="E665" s="644"/>
      <c r="F665" s="644"/>
      <c r="G665" s="644"/>
      <c r="H665" s="644"/>
      <c r="I665" s="644"/>
      <c r="J665" s="645"/>
      <c r="K665" s="645"/>
      <c r="L665" s="645"/>
      <c r="M665" s="645"/>
      <c r="N665" s="644"/>
      <c r="O665" s="644"/>
      <c r="P665" s="644"/>
      <c r="Q665" s="621"/>
      <c r="R665" s="644"/>
      <c r="S665" s="640"/>
    </row>
    <row r="666" spans="3:19" s="646" customFormat="1" x14ac:dyDescent="0.35">
      <c r="C666" s="643"/>
      <c r="D666" s="621"/>
      <c r="E666" s="644"/>
      <c r="F666" s="644"/>
      <c r="G666" s="644"/>
      <c r="H666" s="644"/>
      <c r="I666" s="644"/>
      <c r="J666" s="645"/>
      <c r="K666" s="645"/>
      <c r="L666" s="645"/>
      <c r="M666" s="645"/>
      <c r="N666" s="644"/>
      <c r="O666" s="644"/>
      <c r="P666" s="644"/>
      <c r="Q666" s="621"/>
      <c r="R666" s="644"/>
      <c r="S666" s="640"/>
    </row>
    <row r="667" spans="3:19" s="646" customFormat="1" x14ac:dyDescent="0.35">
      <c r="C667" s="643"/>
      <c r="D667" s="621"/>
      <c r="E667" s="644"/>
      <c r="F667" s="644"/>
      <c r="G667" s="644"/>
      <c r="H667" s="644"/>
      <c r="I667" s="644"/>
      <c r="J667" s="645"/>
      <c r="K667" s="645"/>
      <c r="L667" s="645"/>
      <c r="M667" s="645"/>
      <c r="N667" s="644"/>
      <c r="O667" s="644"/>
      <c r="P667" s="644"/>
      <c r="Q667" s="621"/>
      <c r="R667" s="644"/>
      <c r="S667" s="640"/>
    </row>
    <row r="668" spans="3:19" s="646" customFormat="1" x14ac:dyDescent="0.35">
      <c r="C668" s="643"/>
      <c r="D668" s="621"/>
      <c r="E668" s="644"/>
      <c r="F668" s="644"/>
      <c r="G668" s="644"/>
      <c r="H668" s="644"/>
      <c r="I668" s="644"/>
      <c r="J668" s="645"/>
      <c r="K668" s="645"/>
      <c r="L668" s="645"/>
      <c r="M668" s="645"/>
      <c r="N668" s="644"/>
      <c r="O668" s="644"/>
      <c r="P668" s="644"/>
      <c r="Q668" s="621"/>
      <c r="R668" s="644"/>
      <c r="S668" s="640"/>
    </row>
    <row r="669" spans="3:19" s="646" customFormat="1" x14ac:dyDescent="0.35">
      <c r="C669" s="643"/>
      <c r="D669" s="621"/>
      <c r="E669" s="644"/>
      <c r="F669" s="644"/>
      <c r="G669" s="644"/>
      <c r="H669" s="644"/>
      <c r="I669" s="644"/>
      <c r="J669" s="645"/>
      <c r="K669" s="645"/>
      <c r="L669" s="645"/>
      <c r="M669" s="645"/>
      <c r="N669" s="644"/>
      <c r="O669" s="644"/>
      <c r="P669" s="644"/>
      <c r="Q669" s="621"/>
      <c r="R669" s="644"/>
      <c r="S669" s="640"/>
    </row>
    <row r="670" spans="3:19" s="646" customFormat="1" x14ac:dyDescent="0.35">
      <c r="C670" s="643"/>
      <c r="D670" s="621"/>
      <c r="E670" s="644"/>
      <c r="F670" s="644"/>
      <c r="G670" s="644"/>
      <c r="H670" s="644"/>
      <c r="I670" s="644"/>
      <c r="J670" s="645"/>
      <c r="K670" s="645"/>
      <c r="L670" s="645"/>
      <c r="M670" s="645"/>
      <c r="N670" s="644"/>
      <c r="O670" s="644"/>
      <c r="P670" s="644"/>
      <c r="Q670" s="621"/>
      <c r="R670" s="644"/>
      <c r="S670" s="640"/>
    </row>
    <row r="671" spans="3:19" s="646" customFormat="1" x14ac:dyDescent="0.35">
      <c r="C671" s="643"/>
      <c r="D671" s="621"/>
      <c r="E671" s="644"/>
      <c r="F671" s="644"/>
      <c r="G671" s="644"/>
      <c r="H671" s="644"/>
      <c r="I671" s="644"/>
      <c r="J671" s="645"/>
      <c r="K671" s="645"/>
      <c r="L671" s="645"/>
      <c r="M671" s="645"/>
      <c r="N671" s="644"/>
      <c r="O671" s="644"/>
      <c r="P671" s="644"/>
      <c r="Q671" s="621"/>
      <c r="R671" s="644"/>
      <c r="S671" s="640"/>
    </row>
    <row r="672" spans="3:19" s="646" customFormat="1" x14ac:dyDescent="0.35">
      <c r="C672" s="643"/>
      <c r="D672" s="621"/>
      <c r="E672" s="644"/>
      <c r="F672" s="644"/>
      <c r="G672" s="644"/>
      <c r="H672" s="644"/>
      <c r="I672" s="644"/>
      <c r="J672" s="645"/>
      <c r="K672" s="645"/>
      <c r="L672" s="645"/>
      <c r="M672" s="645"/>
      <c r="N672" s="644"/>
      <c r="O672" s="644"/>
      <c r="P672" s="644"/>
      <c r="Q672" s="621"/>
      <c r="R672" s="644"/>
      <c r="S672" s="640"/>
    </row>
    <row r="673" spans="3:19" s="646" customFormat="1" x14ac:dyDescent="0.35">
      <c r="C673" s="643"/>
      <c r="D673" s="621"/>
      <c r="E673" s="644"/>
      <c r="F673" s="644"/>
      <c r="G673" s="644"/>
      <c r="H673" s="644"/>
      <c r="I673" s="644"/>
      <c r="J673" s="645"/>
      <c r="K673" s="645"/>
      <c r="L673" s="645"/>
      <c r="M673" s="645"/>
      <c r="N673" s="644"/>
      <c r="O673" s="644"/>
      <c r="P673" s="644"/>
      <c r="Q673" s="621"/>
      <c r="R673" s="644"/>
      <c r="S673" s="640"/>
    </row>
    <row r="674" spans="3:19" s="646" customFormat="1" x14ac:dyDescent="0.35">
      <c r="C674" s="643"/>
      <c r="D674" s="621"/>
      <c r="E674" s="644"/>
      <c r="F674" s="644"/>
      <c r="G674" s="644"/>
      <c r="H674" s="644"/>
      <c r="I674" s="644"/>
      <c r="J674" s="645"/>
      <c r="K674" s="645"/>
      <c r="L674" s="645"/>
      <c r="M674" s="645"/>
      <c r="N674" s="644"/>
      <c r="O674" s="644"/>
      <c r="P674" s="644"/>
      <c r="Q674" s="621"/>
      <c r="R674" s="644"/>
      <c r="S674" s="640"/>
    </row>
    <row r="675" spans="3:19" s="646" customFormat="1" x14ac:dyDescent="0.35">
      <c r="C675" s="643"/>
      <c r="D675" s="621"/>
      <c r="E675" s="644"/>
      <c r="F675" s="644"/>
      <c r="G675" s="644"/>
      <c r="H675" s="644"/>
      <c r="I675" s="644"/>
      <c r="J675" s="645"/>
      <c r="K675" s="645"/>
      <c r="L675" s="645"/>
      <c r="M675" s="645"/>
      <c r="N675" s="644"/>
      <c r="O675" s="644"/>
      <c r="P675" s="644"/>
      <c r="Q675" s="621"/>
      <c r="R675" s="644"/>
      <c r="S675" s="640"/>
    </row>
    <row r="676" spans="3:19" s="646" customFormat="1" x14ac:dyDescent="0.35">
      <c r="C676" s="643"/>
      <c r="D676" s="621"/>
      <c r="E676" s="644"/>
      <c r="F676" s="644"/>
      <c r="G676" s="644"/>
      <c r="H676" s="644"/>
      <c r="I676" s="644"/>
      <c r="J676" s="645"/>
      <c r="K676" s="645"/>
      <c r="L676" s="645"/>
      <c r="M676" s="645"/>
      <c r="N676" s="644"/>
      <c r="O676" s="644"/>
      <c r="P676" s="644"/>
      <c r="Q676" s="621"/>
      <c r="R676" s="644"/>
      <c r="S676" s="640"/>
    </row>
    <row r="677" spans="3:19" s="646" customFormat="1" x14ac:dyDescent="0.35">
      <c r="C677" s="643"/>
      <c r="D677" s="621"/>
      <c r="E677" s="644"/>
      <c r="F677" s="644"/>
      <c r="G677" s="644"/>
      <c r="H677" s="644"/>
      <c r="I677" s="644"/>
      <c r="J677" s="645"/>
      <c r="K677" s="645"/>
      <c r="L677" s="645"/>
      <c r="M677" s="645"/>
      <c r="N677" s="644"/>
      <c r="O677" s="644"/>
      <c r="P677" s="644"/>
      <c r="Q677" s="621"/>
      <c r="R677" s="644"/>
      <c r="S677" s="640"/>
    </row>
    <row r="678" spans="3:19" s="646" customFormat="1" x14ac:dyDescent="0.35">
      <c r="C678" s="643"/>
      <c r="D678" s="621"/>
      <c r="E678" s="644"/>
      <c r="F678" s="644"/>
      <c r="G678" s="644"/>
      <c r="H678" s="644"/>
      <c r="I678" s="644"/>
      <c r="J678" s="645"/>
      <c r="K678" s="645"/>
      <c r="L678" s="645"/>
      <c r="M678" s="645"/>
      <c r="N678" s="644"/>
      <c r="O678" s="644"/>
      <c r="P678" s="644"/>
      <c r="Q678" s="621"/>
      <c r="R678" s="644"/>
      <c r="S678" s="640"/>
    </row>
    <row r="679" spans="3:19" s="646" customFormat="1" x14ac:dyDescent="0.35">
      <c r="C679" s="643"/>
      <c r="D679" s="621"/>
      <c r="E679" s="644"/>
      <c r="F679" s="644"/>
      <c r="G679" s="644"/>
      <c r="H679" s="644"/>
      <c r="I679" s="644"/>
      <c r="J679" s="645"/>
      <c r="K679" s="645"/>
      <c r="L679" s="645"/>
      <c r="M679" s="645"/>
      <c r="N679" s="644"/>
      <c r="O679" s="644"/>
      <c r="P679" s="644"/>
      <c r="Q679" s="621"/>
      <c r="R679" s="644"/>
      <c r="S679" s="640"/>
    </row>
    <row r="680" spans="3:19" s="646" customFormat="1" x14ac:dyDescent="0.35">
      <c r="C680" s="643"/>
      <c r="D680" s="621"/>
      <c r="E680" s="644"/>
      <c r="F680" s="644"/>
      <c r="G680" s="644"/>
      <c r="H680" s="644"/>
      <c r="I680" s="644"/>
      <c r="J680" s="645"/>
      <c r="K680" s="645"/>
      <c r="L680" s="645"/>
      <c r="M680" s="645"/>
      <c r="N680" s="644"/>
      <c r="O680" s="644"/>
      <c r="P680" s="644"/>
      <c r="Q680" s="621"/>
      <c r="R680" s="644"/>
      <c r="S680" s="640"/>
    </row>
    <row r="681" spans="3:19" s="646" customFormat="1" x14ac:dyDescent="0.35">
      <c r="C681" s="643"/>
      <c r="D681" s="621"/>
      <c r="E681" s="644"/>
      <c r="F681" s="644"/>
      <c r="G681" s="644"/>
      <c r="H681" s="644"/>
      <c r="I681" s="644"/>
      <c r="J681" s="645"/>
      <c r="K681" s="645"/>
      <c r="L681" s="645"/>
      <c r="M681" s="645"/>
      <c r="N681" s="644"/>
      <c r="O681" s="644"/>
      <c r="P681" s="644"/>
      <c r="Q681" s="621"/>
      <c r="R681" s="644"/>
      <c r="S681" s="640"/>
    </row>
    <row r="682" spans="3:19" s="646" customFormat="1" x14ac:dyDescent="0.35">
      <c r="C682" s="643"/>
      <c r="D682" s="621"/>
      <c r="E682" s="644"/>
      <c r="F682" s="644"/>
      <c r="G682" s="644"/>
      <c r="H682" s="644"/>
      <c r="I682" s="644"/>
      <c r="J682" s="645"/>
      <c r="K682" s="645"/>
      <c r="L682" s="645"/>
      <c r="M682" s="645"/>
      <c r="N682" s="644"/>
      <c r="O682" s="644"/>
      <c r="P682" s="644"/>
      <c r="Q682" s="621"/>
      <c r="R682" s="644"/>
      <c r="S682" s="640"/>
    </row>
    <row r="683" spans="3:19" s="646" customFormat="1" x14ac:dyDescent="0.35">
      <c r="C683" s="643"/>
      <c r="D683" s="621"/>
      <c r="E683" s="644"/>
      <c r="F683" s="644"/>
      <c r="G683" s="644"/>
      <c r="H683" s="644"/>
      <c r="I683" s="644"/>
      <c r="J683" s="645"/>
      <c r="K683" s="645"/>
      <c r="L683" s="645"/>
      <c r="M683" s="645"/>
      <c r="N683" s="644"/>
      <c r="O683" s="644"/>
      <c r="P683" s="644"/>
      <c r="Q683" s="621"/>
      <c r="R683" s="644"/>
      <c r="S683" s="640"/>
    </row>
    <row r="684" spans="3:19" s="646" customFormat="1" x14ac:dyDescent="0.35">
      <c r="C684" s="643"/>
      <c r="D684" s="621"/>
      <c r="E684" s="644"/>
      <c r="F684" s="644"/>
      <c r="G684" s="644"/>
      <c r="H684" s="644"/>
      <c r="I684" s="644"/>
      <c r="J684" s="645"/>
      <c r="K684" s="645"/>
      <c r="L684" s="645"/>
      <c r="M684" s="645"/>
      <c r="N684" s="644"/>
      <c r="O684" s="644"/>
      <c r="P684" s="644"/>
      <c r="Q684" s="621"/>
      <c r="R684" s="644"/>
      <c r="S684" s="640"/>
    </row>
    <row r="685" spans="3:19" s="646" customFormat="1" x14ac:dyDescent="0.35">
      <c r="C685" s="643"/>
      <c r="D685" s="621"/>
      <c r="E685" s="644"/>
      <c r="F685" s="644"/>
      <c r="G685" s="644"/>
      <c r="H685" s="644"/>
      <c r="I685" s="644"/>
      <c r="J685" s="645"/>
      <c r="K685" s="645"/>
      <c r="L685" s="645"/>
      <c r="M685" s="645"/>
      <c r="N685" s="644"/>
      <c r="O685" s="644"/>
      <c r="P685" s="644"/>
      <c r="Q685" s="621"/>
      <c r="R685" s="644"/>
      <c r="S685" s="640"/>
    </row>
    <row r="686" spans="3:19" s="646" customFormat="1" x14ac:dyDescent="0.35">
      <c r="C686" s="643"/>
      <c r="D686" s="621"/>
      <c r="E686" s="644"/>
      <c r="F686" s="644"/>
      <c r="G686" s="644"/>
      <c r="H686" s="644"/>
      <c r="I686" s="644"/>
      <c r="J686" s="645"/>
      <c r="K686" s="645"/>
      <c r="L686" s="645"/>
      <c r="M686" s="645"/>
      <c r="N686" s="644"/>
      <c r="O686" s="644"/>
      <c r="P686" s="644"/>
      <c r="Q686" s="621"/>
      <c r="R686" s="644"/>
      <c r="S686" s="640"/>
    </row>
    <row r="687" spans="3:19" s="646" customFormat="1" x14ac:dyDescent="0.35">
      <c r="C687" s="643"/>
      <c r="D687" s="621"/>
      <c r="E687" s="644"/>
      <c r="F687" s="644"/>
      <c r="G687" s="644"/>
      <c r="H687" s="644"/>
      <c r="I687" s="644"/>
      <c r="J687" s="645"/>
      <c r="K687" s="645"/>
      <c r="L687" s="645"/>
      <c r="M687" s="645"/>
      <c r="N687" s="644"/>
      <c r="O687" s="644"/>
      <c r="P687" s="644"/>
      <c r="Q687" s="621"/>
      <c r="R687" s="644"/>
      <c r="S687" s="640"/>
    </row>
    <row r="688" spans="3:19" s="646" customFormat="1" x14ac:dyDescent="0.35">
      <c r="C688" s="643"/>
      <c r="D688" s="621"/>
      <c r="E688" s="644"/>
      <c r="F688" s="644"/>
      <c r="G688" s="644"/>
      <c r="H688" s="644"/>
      <c r="I688" s="644"/>
      <c r="J688" s="645"/>
      <c r="K688" s="645"/>
      <c r="L688" s="645"/>
      <c r="M688" s="645"/>
      <c r="N688" s="644"/>
      <c r="O688" s="644"/>
      <c r="P688" s="644"/>
      <c r="Q688" s="621"/>
      <c r="R688" s="644"/>
      <c r="S688" s="640"/>
    </row>
    <row r="689" spans="3:19" s="646" customFormat="1" x14ac:dyDescent="0.35">
      <c r="C689" s="643"/>
      <c r="D689" s="621"/>
      <c r="E689" s="644"/>
      <c r="F689" s="644"/>
      <c r="G689" s="644"/>
      <c r="H689" s="644"/>
      <c r="I689" s="644"/>
      <c r="J689" s="645"/>
      <c r="K689" s="645"/>
      <c r="L689" s="645"/>
      <c r="M689" s="645"/>
      <c r="N689" s="644"/>
      <c r="O689" s="644"/>
      <c r="P689" s="644"/>
      <c r="Q689" s="621"/>
      <c r="R689" s="644"/>
      <c r="S689" s="640"/>
    </row>
    <row r="690" spans="3:19" s="646" customFormat="1" x14ac:dyDescent="0.35">
      <c r="C690" s="643"/>
      <c r="D690" s="621"/>
      <c r="E690" s="644"/>
      <c r="F690" s="644"/>
      <c r="G690" s="644"/>
      <c r="H690" s="644"/>
      <c r="I690" s="644"/>
      <c r="J690" s="645"/>
      <c r="K690" s="645"/>
      <c r="L690" s="645"/>
      <c r="M690" s="645"/>
      <c r="N690" s="644"/>
      <c r="O690" s="644"/>
      <c r="P690" s="644"/>
      <c r="Q690" s="621"/>
      <c r="R690" s="644"/>
      <c r="S690" s="640"/>
    </row>
    <row r="691" spans="3:19" s="646" customFormat="1" x14ac:dyDescent="0.35">
      <c r="C691" s="643"/>
      <c r="D691" s="621"/>
      <c r="E691" s="644"/>
      <c r="F691" s="644"/>
      <c r="G691" s="644"/>
      <c r="H691" s="644"/>
      <c r="I691" s="644"/>
      <c r="J691" s="645"/>
      <c r="K691" s="645"/>
      <c r="L691" s="645"/>
      <c r="M691" s="645"/>
      <c r="N691" s="644"/>
      <c r="O691" s="644"/>
      <c r="P691" s="644"/>
      <c r="Q691" s="621"/>
      <c r="R691" s="644"/>
      <c r="S691" s="640"/>
    </row>
    <row r="692" spans="3:19" s="646" customFormat="1" x14ac:dyDescent="0.35">
      <c r="C692" s="643"/>
      <c r="D692" s="621"/>
      <c r="E692" s="644"/>
      <c r="F692" s="644"/>
      <c r="G692" s="644"/>
      <c r="H692" s="644"/>
      <c r="I692" s="644"/>
      <c r="J692" s="645"/>
      <c r="K692" s="645"/>
      <c r="L692" s="645"/>
      <c r="M692" s="645"/>
      <c r="N692" s="644"/>
      <c r="O692" s="644"/>
      <c r="P692" s="644"/>
      <c r="Q692" s="621"/>
      <c r="R692" s="644"/>
      <c r="S692" s="640"/>
    </row>
    <row r="693" spans="3:19" s="646" customFormat="1" x14ac:dyDescent="0.35">
      <c r="C693" s="643"/>
      <c r="D693" s="621"/>
      <c r="E693" s="644"/>
      <c r="F693" s="644"/>
      <c r="G693" s="644"/>
      <c r="H693" s="644"/>
      <c r="I693" s="644"/>
      <c r="J693" s="645"/>
      <c r="K693" s="645"/>
      <c r="L693" s="645"/>
      <c r="M693" s="645"/>
      <c r="N693" s="644"/>
      <c r="O693" s="644"/>
      <c r="P693" s="644"/>
      <c r="Q693" s="621"/>
      <c r="R693" s="644"/>
      <c r="S693" s="640"/>
    </row>
    <row r="694" spans="3:19" s="646" customFormat="1" x14ac:dyDescent="0.35">
      <c r="C694" s="643"/>
      <c r="D694" s="621"/>
      <c r="E694" s="644"/>
      <c r="F694" s="644"/>
      <c r="G694" s="644"/>
      <c r="H694" s="644"/>
      <c r="I694" s="644"/>
      <c r="J694" s="645"/>
      <c r="K694" s="645"/>
      <c r="L694" s="645"/>
      <c r="M694" s="645"/>
      <c r="N694" s="644"/>
      <c r="O694" s="644"/>
      <c r="P694" s="644"/>
      <c r="Q694" s="621"/>
      <c r="R694" s="644"/>
      <c r="S694" s="640"/>
    </row>
    <row r="695" spans="3:19" s="646" customFormat="1" x14ac:dyDescent="0.35">
      <c r="C695" s="643"/>
      <c r="D695" s="621"/>
      <c r="E695" s="644"/>
      <c r="F695" s="644"/>
      <c r="G695" s="644"/>
      <c r="H695" s="644"/>
      <c r="I695" s="644"/>
      <c r="J695" s="645"/>
      <c r="K695" s="645"/>
      <c r="L695" s="645"/>
      <c r="M695" s="645"/>
      <c r="N695" s="644"/>
      <c r="O695" s="644"/>
      <c r="P695" s="644"/>
      <c r="Q695" s="621"/>
      <c r="R695" s="644"/>
      <c r="S695" s="640"/>
    </row>
    <row r="696" spans="3:19" s="646" customFormat="1" x14ac:dyDescent="0.35">
      <c r="C696" s="643"/>
      <c r="D696" s="621"/>
      <c r="E696" s="644"/>
      <c r="F696" s="644"/>
      <c r="G696" s="644"/>
      <c r="H696" s="644"/>
      <c r="I696" s="644"/>
      <c r="J696" s="645"/>
      <c r="K696" s="645"/>
      <c r="L696" s="645"/>
      <c r="M696" s="645"/>
      <c r="N696" s="644"/>
      <c r="O696" s="644"/>
      <c r="P696" s="644"/>
      <c r="Q696" s="621"/>
      <c r="R696" s="644"/>
      <c r="S696" s="640"/>
    </row>
    <row r="697" spans="3:19" s="646" customFormat="1" x14ac:dyDescent="0.35">
      <c r="C697" s="643"/>
      <c r="D697" s="621"/>
      <c r="E697" s="644"/>
      <c r="F697" s="644"/>
      <c r="G697" s="644"/>
      <c r="H697" s="644"/>
      <c r="I697" s="644"/>
      <c r="J697" s="645"/>
      <c r="K697" s="645"/>
      <c r="L697" s="645"/>
      <c r="M697" s="645"/>
      <c r="N697" s="644"/>
      <c r="O697" s="644"/>
      <c r="P697" s="644"/>
      <c r="Q697" s="621"/>
      <c r="R697" s="644"/>
      <c r="S697" s="640"/>
    </row>
    <row r="698" spans="3:19" s="646" customFormat="1" x14ac:dyDescent="0.35">
      <c r="C698" s="643"/>
      <c r="D698" s="621"/>
      <c r="E698" s="644"/>
      <c r="F698" s="644"/>
      <c r="G698" s="644"/>
      <c r="H698" s="644"/>
      <c r="I698" s="644"/>
      <c r="J698" s="645"/>
      <c r="K698" s="645"/>
      <c r="L698" s="645"/>
      <c r="M698" s="645"/>
      <c r="N698" s="644"/>
      <c r="O698" s="644"/>
      <c r="P698" s="644"/>
      <c r="Q698" s="621"/>
      <c r="R698" s="644"/>
      <c r="S698" s="640"/>
    </row>
    <row r="699" spans="3:19" s="646" customFormat="1" x14ac:dyDescent="0.35">
      <c r="C699" s="643"/>
      <c r="D699" s="621"/>
      <c r="E699" s="644"/>
      <c r="F699" s="644"/>
      <c r="G699" s="644"/>
      <c r="H699" s="644"/>
      <c r="I699" s="644"/>
      <c r="J699" s="645"/>
      <c r="K699" s="645"/>
      <c r="L699" s="645"/>
      <c r="M699" s="645"/>
      <c r="N699" s="644"/>
      <c r="O699" s="644"/>
      <c r="P699" s="644"/>
      <c r="Q699" s="621"/>
      <c r="R699" s="644"/>
      <c r="S699" s="640"/>
    </row>
    <row r="700" spans="3:19" s="646" customFormat="1" x14ac:dyDescent="0.35">
      <c r="C700" s="643"/>
      <c r="D700" s="621"/>
      <c r="E700" s="644"/>
      <c r="F700" s="644"/>
      <c r="G700" s="644"/>
      <c r="H700" s="644"/>
      <c r="I700" s="644"/>
      <c r="J700" s="645"/>
      <c r="K700" s="645"/>
      <c r="L700" s="645"/>
      <c r="M700" s="645"/>
      <c r="N700" s="644"/>
      <c r="O700" s="644"/>
      <c r="P700" s="644"/>
      <c r="Q700" s="621"/>
      <c r="R700" s="644"/>
      <c r="S700" s="640"/>
    </row>
    <row r="701" spans="3:19" s="646" customFormat="1" x14ac:dyDescent="0.35">
      <c r="C701" s="643"/>
      <c r="D701" s="621"/>
      <c r="E701" s="644"/>
      <c r="F701" s="644"/>
      <c r="G701" s="644"/>
      <c r="H701" s="644"/>
      <c r="I701" s="644"/>
      <c r="J701" s="645"/>
      <c r="K701" s="645"/>
      <c r="L701" s="645"/>
      <c r="M701" s="645"/>
      <c r="N701" s="644"/>
      <c r="O701" s="644"/>
      <c r="P701" s="644"/>
      <c r="Q701" s="621"/>
      <c r="R701" s="644"/>
      <c r="S701" s="640"/>
    </row>
    <row r="702" spans="3:19" s="646" customFormat="1" x14ac:dyDescent="0.35">
      <c r="C702" s="643"/>
      <c r="D702" s="621"/>
      <c r="E702" s="644"/>
      <c r="F702" s="644"/>
      <c r="G702" s="644"/>
      <c r="H702" s="644"/>
      <c r="I702" s="644"/>
      <c r="J702" s="645"/>
      <c r="K702" s="645"/>
      <c r="L702" s="645"/>
      <c r="M702" s="645"/>
      <c r="N702" s="644"/>
      <c r="O702" s="644"/>
      <c r="P702" s="644"/>
      <c r="Q702" s="621"/>
      <c r="R702" s="644"/>
      <c r="S702" s="640"/>
    </row>
    <row r="703" spans="3:19" s="646" customFormat="1" x14ac:dyDescent="0.35">
      <c r="C703" s="643"/>
      <c r="D703" s="621"/>
      <c r="E703" s="644"/>
      <c r="F703" s="644"/>
      <c r="G703" s="644"/>
      <c r="H703" s="644"/>
      <c r="I703" s="644"/>
      <c r="J703" s="645"/>
      <c r="K703" s="645"/>
      <c r="L703" s="645"/>
      <c r="M703" s="645"/>
      <c r="N703" s="644"/>
      <c r="O703" s="644"/>
      <c r="P703" s="644"/>
      <c r="Q703" s="621"/>
      <c r="R703" s="644"/>
      <c r="S703" s="640"/>
    </row>
    <row r="704" spans="3:19" s="646" customFormat="1" x14ac:dyDescent="0.35">
      <c r="C704" s="643"/>
      <c r="D704" s="621"/>
      <c r="E704" s="644"/>
      <c r="F704" s="644"/>
      <c r="G704" s="644"/>
      <c r="H704" s="644"/>
      <c r="I704" s="644"/>
      <c r="J704" s="645"/>
      <c r="K704" s="645"/>
      <c r="L704" s="645"/>
      <c r="M704" s="645"/>
      <c r="N704" s="644"/>
      <c r="O704" s="644"/>
      <c r="P704" s="644"/>
      <c r="Q704" s="621"/>
      <c r="R704" s="644"/>
      <c r="S704" s="640"/>
    </row>
    <row r="705" spans="3:19" s="646" customFormat="1" x14ac:dyDescent="0.35">
      <c r="C705" s="643"/>
      <c r="D705" s="621"/>
      <c r="E705" s="644"/>
      <c r="F705" s="644"/>
      <c r="G705" s="644"/>
      <c r="H705" s="644"/>
      <c r="I705" s="644"/>
      <c r="J705" s="645"/>
      <c r="K705" s="645"/>
      <c r="L705" s="645"/>
      <c r="M705" s="645"/>
      <c r="N705" s="644"/>
      <c r="O705" s="644"/>
      <c r="P705" s="644"/>
      <c r="Q705" s="621"/>
      <c r="R705" s="644"/>
      <c r="S705" s="640"/>
    </row>
    <row r="706" spans="3:19" s="646" customFormat="1" x14ac:dyDescent="0.35">
      <c r="C706" s="643"/>
      <c r="D706" s="621"/>
      <c r="E706" s="644"/>
      <c r="F706" s="644"/>
      <c r="G706" s="644"/>
      <c r="H706" s="644"/>
      <c r="I706" s="644"/>
      <c r="J706" s="645"/>
      <c r="K706" s="645"/>
      <c r="L706" s="645"/>
      <c r="M706" s="645"/>
      <c r="N706" s="644"/>
      <c r="O706" s="644"/>
      <c r="P706" s="644"/>
      <c r="Q706" s="621"/>
      <c r="R706" s="644"/>
      <c r="S706" s="640"/>
    </row>
    <row r="707" spans="3:19" s="646" customFormat="1" x14ac:dyDescent="0.35">
      <c r="C707" s="643"/>
      <c r="D707" s="621"/>
      <c r="E707" s="644"/>
      <c r="F707" s="644"/>
      <c r="G707" s="644"/>
      <c r="H707" s="644"/>
      <c r="I707" s="644"/>
      <c r="J707" s="645"/>
      <c r="K707" s="645"/>
      <c r="L707" s="645"/>
      <c r="M707" s="645"/>
      <c r="N707" s="644"/>
      <c r="O707" s="644"/>
      <c r="P707" s="644"/>
      <c r="Q707" s="621"/>
      <c r="R707" s="644"/>
      <c r="S707" s="640"/>
    </row>
    <row r="708" spans="3:19" s="646" customFormat="1" x14ac:dyDescent="0.35">
      <c r="C708" s="643"/>
      <c r="D708" s="621"/>
      <c r="E708" s="644"/>
      <c r="F708" s="644"/>
      <c r="G708" s="644"/>
      <c r="H708" s="644"/>
      <c r="I708" s="644"/>
      <c r="J708" s="645"/>
      <c r="K708" s="645"/>
      <c r="L708" s="645"/>
      <c r="M708" s="645"/>
      <c r="N708" s="644"/>
      <c r="O708" s="644"/>
      <c r="P708" s="644"/>
      <c r="Q708" s="621"/>
      <c r="R708" s="644"/>
      <c r="S708" s="640"/>
    </row>
    <row r="709" spans="3:19" s="646" customFormat="1" x14ac:dyDescent="0.35">
      <c r="C709" s="643"/>
      <c r="D709" s="621"/>
      <c r="E709" s="644"/>
      <c r="F709" s="644"/>
      <c r="G709" s="644"/>
      <c r="H709" s="644"/>
      <c r="I709" s="644"/>
      <c r="J709" s="645"/>
      <c r="K709" s="645"/>
      <c r="L709" s="645"/>
      <c r="M709" s="645"/>
      <c r="N709" s="644"/>
      <c r="O709" s="644"/>
      <c r="P709" s="644"/>
      <c r="Q709" s="621"/>
      <c r="R709" s="644"/>
      <c r="S709" s="640"/>
    </row>
    <row r="710" spans="3:19" s="646" customFormat="1" x14ac:dyDescent="0.35">
      <c r="C710" s="643"/>
      <c r="D710" s="621"/>
      <c r="E710" s="644"/>
      <c r="F710" s="644"/>
      <c r="G710" s="644"/>
      <c r="H710" s="644"/>
      <c r="I710" s="644"/>
      <c r="J710" s="645"/>
      <c r="K710" s="645"/>
      <c r="L710" s="645"/>
      <c r="M710" s="645"/>
      <c r="N710" s="644"/>
      <c r="O710" s="644"/>
      <c r="P710" s="644"/>
      <c r="Q710" s="621"/>
      <c r="R710" s="644"/>
      <c r="S710" s="640"/>
    </row>
    <row r="711" spans="3:19" s="646" customFormat="1" x14ac:dyDescent="0.35">
      <c r="C711" s="643"/>
      <c r="D711" s="621"/>
      <c r="E711" s="644"/>
      <c r="F711" s="644"/>
      <c r="G711" s="644"/>
      <c r="H711" s="644"/>
      <c r="I711" s="644"/>
      <c r="J711" s="645"/>
      <c r="K711" s="645"/>
      <c r="L711" s="645"/>
      <c r="M711" s="645"/>
      <c r="N711" s="644"/>
      <c r="O711" s="644"/>
      <c r="P711" s="644"/>
      <c r="Q711" s="621"/>
      <c r="R711" s="644"/>
      <c r="S711" s="640"/>
    </row>
    <row r="712" spans="3:19" s="646" customFormat="1" x14ac:dyDescent="0.35">
      <c r="C712" s="643"/>
      <c r="D712" s="621"/>
      <c r="E712" s="644"/>
      <c r="F712" s="644"/>
      <c r="G712" s="644"/>
      <c r="H712" s="644"/>
      <c r="I712" s="644"/>
      <c r="J712" s="645"/>
      <c r="K712" s="645"/>
      <c r="L712" s="645"/>
      <c r="M712" s="645"/>
      <c r="N712" s="644"/>
      <c r="O712" s="644"/>
      <c r="P712" s="644"/>
      <c r="Q712" s="621"/>
      <c r="R712" s="644"/>
      <c r="S712" s="640"/>
    </row>
    <row r="713" spans="3:19" s="646" customFormat="1" x14ac:dyDescent="0.35">
      <c r="C713" s="643"/>
      <c r="D713" s="621"/>
      <c r="E713" s="644"/>
      <c r="F713" s="644"/>
      <c r="G713" s="644"/>
      <c r="H713" s="644"/>
      <c r="I713" s="644"/>
      <c r="J713" s="645"/>
      <c r="K713" s="645"/>
      <c r="L713" s="645"/>
      <c r="M713" s="645"/>
      <c r="N713" s="644"/>
      <c r="O713" s="644"/>
      <c r="P713" s="644"/>
      <c r="Q713" s="621"/>
      <c r="R713" s="644"/>
      <c r="S713" s="640"/>
    </row>
    <row r="714" spans="3:19" s="646" customFormat="1" x14ac:dyDescent="0.35">
      <c r="C714" s="643"/>
      <c r="D714" s="621"/>
      <c r="E714" s="644"/>
      <c r="F714" s="644"/>
      <c r="G714" s="644"/>
      <c r="H714" s="644"/>
      <c r="I714" s="644"/>
      <c r="J714" s="645"/>
      <c r="K714" s="645"/>
      <c r="L714" s="645"/>
      <c r="M714" s="645"/>
      <c r="N714" s="644"/>
      <c r="O714" s="644"/>
      <c r="P714" s="644"/>
      <c r="Q714" s="621"/>
      <c r="R714" s="644"/>
      <c r="S714" s="640"/>
    </row>
    <row r="715" spans="3:19" s="646" customFormat="1" x14ac:dyDescent="0.35">
      <c r="C715" s="643"/>
      <c r="D715" s="621"/>
      <c r="E715" s="644"/>
      <c r="F715" s="644"/>
      <c r="G715" s="644"/>
      <c r="H715" s="644"/>
      <c r="I715" s="644"/>
      <c r="J715" s="645"/>
      <c r="K715" s="645"/>
      <c r="L715" s="645"/>
      <c r="M715" s="645"/>
      <c r="N715" s="644"/>
      <c r="O715" s="644"/>
      <c r="P715" s="644"/>
      <c r="Q715" s="621"/>
      <c r="R715" s="644"/>
      <c r="S715" s="640"/>
    </row>
    <row r="716" spans="3:19" s="646" customFormat="1" x14ac:dyDescent="0.35">
      <c r="C716" s="643"/>
      <c r="D716" s="621"/>
      <c r="E716" s="644"/>
      <c r="F716" s="644"/>
      <c r="G716" s="644"/>
      <c r="H716" s="644"/>
      <c r="I716" s="644"/>
      <c r="J716" s="645"/>
      <c r="K716" s="645"/>
      <c r="L716" s="645"/>
      <c r="M716" s="645"/>
      <c r="N716" s="644"/>
      <c r="O716" s="644"/>
      <c r="P716" s="644"/>
      <c r="Q716" s="621"/>
      <c r="R716" s="644"/>
      <c r="S716" s="640"/>
    </row>
    <row r="717" spans="3:19" s="646" customFormat="1" x14ac:dyDescent="0.35">
      <c r="C717" s="643"/>
      <c r="D717" s="621"/>
      <c r="E717" s="644"/>
      <c r="F717" s="644"/>
      <c r="G717" s="644"/>
      <c r="H717" s="644"/>
      <c r="I717" s="644"/>
      <c r="J717" s="645"/>
      <c r="K717" s="645"/>
      <c r="L717" s="645"/>
      <c r="M717" s="645"/>
      <c r="N717" s="644"/>
      <c r="O717" s="644"/>
      <c r="P717" s="644"/>
      <c r="Q717" s="621"/>
      <c r="R717" s="644"/>
      <c r="S717" s="640"/>
    </row>
    <row r="718" spans="3:19" s="646" customFormat="1" x14ac:dyDescent="0.35">
      <c r="C718" s="643"/>
      <c r="D718" s="621"/>
      <c r="E718" s="644"/>
      <c r="F718" s="644"/>
      <c r="G718" s="644"/>
      <c r="H718" s="644"/>
      <c r="I718" s="644"/>
      <c r="J718" s="645"/>
      <c r="K718" s="645"/>
      <c r="L718" s="645"/>
      <c r="M718" s="645"/>
      <c r="N718" s="644"/>
      <c r="O718" s="644"/>
      <c r="P718" s="644"/>
      <c r="Q718" s="621"/>
      <c r="R718" s="644"/>
      <c r="S718" s="640"/>
    </row>
    <row r="719" spans="3:19" s="646" customFormat="1" x14ac:dyDescent="0.35">
      <c r="C719" s="643"/>
      <c r="D719" s="621"/>
      <c r="E719" s="644"/>
      <c r="F719" s="644"/>
      <c r="G719" s="644"/>
      <c r="H719" s="644"/>
      <c r="I719" s="644"/>
      <c r="J719" s="645"/>
      <c r="K719" s="645"/>
      <c r="L719" s="645"/>
      <c r="M719" s="645"/>
      <c r="N719" s="644"/>
      <c r="O719" s="644"/>
      <c r="P719" s="644"/>
      <c r="Q719" s="621"/>
      <c r="R719" s="644"/>
      <c r="S719" s="640"/>
    </row>
    <row r="720" spans="3:19" s="646" customFormat="1" x14ac:dyDescent="0.35">
      <c r="C720" s="643"/>
      <c r="D720" s="621"/>
      <c r="E720" s="644"/>
      <c r="F720" s="644"/>
      <c r="G720" s="644"/>
      <c r="H720" s="644"/>
      <c r="I720" s="644"/>
      <c r="J720" s="645"/>
      <c r="K720" s="645"/>
      <c r="L720" s="645"/>
      <c r="M720" s="645"/>
      <c r="N720" s="644"/>
      <c r="O720" s="644"/>
      <c r="P720" s="644"/>
      <c r="Q720" s="621"/>
      <c r="R720" s="644"/>
      <c r="S720" s="640"/>
    </row>
    <row r="721" spans="3:19" s="646" customFormat="1" x14ac:dyDescent="0.35">
      <c r="C721" s="643"/>
      <c r="D721" s="621"/>
      <c r="E721" s="644"/>
      <c r="F721" s="644"/>
      <c r="G721" s="644"/>
      <c r="H721" s="644"/>
      <c r="I721" s="644"/>
      <c r="J721" s="645"/>
      <c r="K721" s="645"/>
      <c r="L721" s="645"/>
      <c r="M721" s="645"/>
      <c r="N721" s="644"/>
      <c r="O721" s="644"/>
      <c r="P721" s="644"/>
      <c r="Q721" s="621"/>
      <c r="R721" s="644"/>
      <c r="S721" s="640"/>
    </row>
    <row r="722" spans="3:19" s="646" customFormat="1" x14ac:dyDescent="0.35">
      <c r="C722" s="643"/>
      <c r="D722" s="621"/>
      <c r="E722" s="644"/>
      <c r="F722" s="644"/>
      <c r="G722" s="644"/>
      <c r="H722" s="644"/>
      <c r="I722" s="644"/>
      <c r="J722" s="645"/>
      <c r="K722" s="645"/>
      <c r="L722" s="645"/>
      <c r="M722" s="645"/>
      <c r="N722" s="644"/>
      <c r="O722" s="644"/>
      <c r="P722" s="644"/>
      <c r="Q722" s="621"/>
      <c r="R722" s="644"/>
      <c r="S722" s="640"/>
    </row>
    <row r="723" spans="3:19" s="646" customFormat="1" x14ac:dyDescent="0.35">
      <c r="C723" s="643"/>
      <c r="D723" s="621"/>
      <c r="E723" s="644"/>
      <c r="F723" s="644"/>
      <c r="G723" s="644"/>
      <c r="H723" s="644"/>
      <c r="I723" s="644"/>
      <c r="J723" s="645"/>
      <c r="K723" s="645"/>
      <c r="L723" s="645"/>
      <c r="M723" s="645"/>
      <c r="N723" s="644"/>
      <c r="O723" s="644"/>
      <c r="P723" s="644"/>
      <c r="Q723" s="621"/>
      <c r="R723" s="644"/>
      <c r="S723" s="640"/>
    </row>
    <row r="724" spans="3:19" s="646" customFormat="1" x14ac:dyDescent="0.35">
      <c r="C724" s="643"/>
      <c r="D724" s="621"/>
      <c r="E724" s="644"/>
      <c r="F724" s="644"/>
      <c r="G724" s="644"/>
      <c r="H724" s="644"/>
      <c r="I724" s="644"/>
      <c r="J724" s="645"/>
      <c r="K724" s="645"/>
      <c r="L724" s="645"/>
      <c r="M724" s="645"/>
      <c r="N724" s="644"/>
      <c r="O724" s="644"/>
      <c r="P724" s="644"/>
      <c r="Q724" s="621"/>
      <c r="R724" s="644"/>
      <c r="S724" s="640"/>
    </row>
    <row r="725" spans="3:19" s="646" customFormat="1" x14ac:dyDescent="0.35">
      <c r="C725" s="643"/>
      <c r="D725" s="621"/>
      <c r="E725" s="644"/>
      <c r="F725" s="644"/>
      <c r="G725" s="644"/>
      <c r="H725" s="644"/>
      <c r="I725" s="644"/>
      <c r="J725" s="645"/>
      <c r="K725" s="645"/>
      <c r="L725" s="645"/>
      <c r="M725" s="645"/>
      <c r="N725" s="644"/>
      <c r="O725" s="644"/>
      <c r="P725" s="644"/>
      <c r="Q725" s="621"/>
      <c r="R725" s="644"/>
      <c r="S725" s="640"/>
    </row>
    <row r="726" spans="3:19" s="646" customFormat="1" x14ac:dyDescent="0.35">
      <c r="C726" s="643"/>
      <c r="D726" s="621"/>
      <c r="E726" s="644"/>
      <c r="F726" s="644"/>
      <c r="G726" s="644"/>
      <c r="H726" s="644"/>
      <c r="I726" s="644"/>
      <c r="J726" s="645"/>
      <c r="K726" s="645"/>
      <c r="L726" s="645"/>
      <c r="M726" s="645"/>
      <c r="N726" s="644"/>
      <c r="O726" s="644"/>
      <c r="P726" s="644"/>
      <c r="Q726" s="621"/>
      <c r="R726" s="644"/>
      <c r="S726" s="640"/>
    </row>
    <row r="727" spans="3:19" s="646" customFormat="1" x14ac:dyDescent="0.35">
      <c r="C727" s="643"/>
      <c r="D727" s="621"/>
      <c r="E727" s="644"/>
      <c r="F727" s="644"/>
      <c r="G727" s="644"/>
      <c r="H727" s="644"/>
      <c r="I727" s="644"/>
      <c r="J727" s="645"/>
      <c r="K727" s="645"/>
      <c r="L727" s="645"/>
      <c r="M727" s="645"/>
      <c r="N727" s="644"/>
      <c r="O727" s="644"/>
      <c r="P727" s="644"/>
      <c r="Q727" s="621"/>
      <c r="R727" s="644"/>
      <c r="S727" s="640"/>
    </row>
    <row r="728" spans="3:19" s="646" customFormat="1" x14ac:dyDescent="0.35">
      <c r="C728" s="643"/>
      <c r="D728" s="621"/>
      <c r="E728" s="644"/>
      <c r="F728" s="644"/>
      <c r="G728" s="644"/>
      <c r="H728" s="644"/>
      <c r="I728" s="644"/>
      <c r="J728" s="645"/>
      <c r="K728" s="645"/>
      <c r="L728" s="645"/>
      <c r="M728" s="645"/>
      <c r="N728" s="644"/>
      <c r="O728" s="644"/>
      <c r="P728" s="644"/>
      <c r="Q728" s="621"/>
      <c r="R728" s="644"/>
      <c r="S728" s="640"/>
    </row>
    <row r="729" spans="3:19" s="646" customFormat="1" x14ac:dyDescent="0.35">
      <c r="C729" s="643"/>
      <c r="D729" s="621"/>
      <c r="E729" s="644"/>
      <c r="F729" s="644"/>
      <c r="G729" s="644"/>
      <c r="H729" s="644"/>
      <c r="I729" s="644"/>
      <c r="J729" s="645"/>
      <c r="K729" s="645"/>
      <c r="L729" s="645"/>
      <c r="M729" s="645"/>
      <c r="N729" s="644"/>
      <c r="O729" s="644"/>
      <c r="P729" s="644"/>
      <c r="Q729" s="621"/>
      <c r="R729" s="644"/>
      <c r="S729" s="640"/>
    </row>
    <row r="730" spans="3:19" s="646" customFormat="1" x14ac:dyDescent="0.35">
      <c r="C730" s="643"/>
      <c r="D730" s="621"/>
      <c r="E730" s="644"/>
      <c r="F730" s="644"/>
      <c r="G730" s="644"/>
      <c r="H730" s="644"/>
      <c r="I730" s="644"/>
      <c r="J730" s="645"/>
      <c r="K730" s="645"/>
      <c r="L730" s="645"/>
      <c r="M730" s="645"/>
      <c r="N730" s="644"/>
      <c r="O730" s="644"/>
      <c r="P730" s="644"/>
      <c r="Q730" s="621"/>
      <c r="R730" s="644"/>
      <c r="S730" s="640"/>
    </row>
    <row r="731" spans="3:19" s="646" customFormat="1" x14ac:dyDescent="0.35">
      <c r="C731" s="643"/>
      <c r="D731" s="621"/>
      <c r="E731" s="644"/>
      <c r="F731" s="644"/>
      <c r="G731" s="644"/>
      <c r="H731" s="644"/>
      <c r="I731" s="644"/>
      <c r="J731" s="645"/>
      <c r="K731" s="645"/>
      <c r="L731" s="645"/>
      <c r="M731" s="645"/>
      <c r="N731" s="644"/>
      <c r="O731" s="644"/>
      <c r="P731" s="644"/>
      <c r="Q731" s="621"/>
      <c r="R731" s="644"/>
      <c r="S731" s="640"/>
    </row>
    <row r="732" spans="3:19" s="646" customFormat="1" x14ac:dyDescent="0.35">
      <c r="C732" s="643"/>
      <c r="D732" s="621"/>
      <c r="E732" s="644"/>
      <c r="F732" s="644"/>
      <c r="G732" s="644"/>
      <c r="H732" s="644"/>
      <c r="I732" s="644"/>
      <c r="J732" s="645"/>
      <c r="K732" s="645"/>
      <c r="L732" s="645"/>
      <c r="M732" s="645"/>
      <c r="N732" s="644"/>
      <c r="O732" s="644"/>
      <c r="P732" s="644"/>
      <c r="Q732" s="621"/>
      <c r="R732" s="644"/>
      <c r="S732" s="640"/>
    </row>
    <row r="733" spans="3:19" s="646" customFormat="1" x14ac:dyDescent="0.35">
      <c r="C733" s="643"/>
      <c r="D733" s="621"/>
      <c r="E733" s="644"/>
      <c r="F733" s="644"/>
      <c r="G733" s="644"/>
      <c r="H733" s="644"/>
      <c r="I733" s="644"/>
      <c r="J733" s="645"/>
      <c r="K733" s="645"/>
      <c r="L733" s="645"/>
      <c r="M733" s="645"/>
      <c r="N733" s="644"/>
      <c r="O733" s="644"/>
      <c r="P733" s="644"/>
      <c r="Q733" s="621"/>
      <c r="R733" s="644"/>
      <c r="S733" s="640"/>
    </row>
    <row r="734" spans="3:19" s="646" customFormat="1" x14ac:dyDescent="0.35">
      <c r="C734" s="643"/>
      <c r="D734" s="621"/>
      <c r="E734" s="644"/>
      <c r="F734" s="644"/>
      <c r="G734" s="644"/>
      <c r="H734" s="644"/>
      <c r="I734" s="644"/>
      <c r="J734" s="645"/>
      <c r="K734" s="645"/>
      <c r="L734" s="645"/>
      <c r="M734" s="645"/>
      <c r="N734" s="644"/>
      <c r="O734" s="644"/>
      <c r="P734" s="644"/>
      <c r="Q734" s="621"/>
      <c r="R734" s="644"/>
      <c r="S734" s="640"/>
    </row>
    <row r="735" spans="3:19" s="646" customFormat="1" x14ac:dyDescent="0.35">
      <c r="C735" s="643"/>
      <c r="D735" s="621"/>
      <c r="E735" s="644"/>
      <c r="F735" s="644"/>
      <c r="G735" s="644"/>
      <c r="H735" s="644"/>
      <c r="I735" s="644"/>
      <c r="J735" s="645"/>
      <c r="K735" s="645"/>
      <c r="L735" s="645"/>
      <c r="M735" s="645"/>
      <c r="N735" s="644"/>
      <c r="O735" s="644"/>
      <c r="P735" s="644"/>
      <c r="Q735" s="621"/>
      <c r="R735" s="644"/>
      <c r="S735" s="640"/>
    </row>
    <row r="736" spans="3:19" s="646" customFormat="1" x14ac:dyDescent="0.35">
      <c r="C736" s="643"/>
      <c r="D736" s="621"/>
      <c r="E736" s="644"/>
      <c r="F736" s="644"/>
      <c r="G736" s="644"/>
      <c r="H736" s="644"/>
      <c r="I736" s="644"/>
      <c r="J736" s="645"/>
      <c r="K736" s="645"/>
      <c r="L736" s="645"/>
      <c r="M736" s="645"/>
      <c r="N736" s="644"/>
      <c r="O736" s="644"/>
      <c r="P736" s="644"/>
      <c r="Q736" s="621"/>
      <c r="R736" s="644"/>
      <c r="S736" s="640"/>
    </row>
    <row r="737" spans="3:19" s="646" customFormat="1" x14ac:dyDescent="0.35">
      <c r="C737" s="643"/>
      <c r="D737" s="621"/>
      <c r="E737" s="644"/>
      <c r="F737" s="644"/>
      <c r="G737" s="644"/>
      <c r="H737" s="644"/>
      <c r="I737" s="644"/>
      <c r="J737" s="645"/>
      <c r="K737" s="645"/>
      <c r="L737" s="645"/>
      <c r="M737" s="645"/>
      <c r="N737" s="644"/>
      <c r="O737" s="644"/>
      <c r="P737" s="644"/>
      <c r="Q737" s="621"/>
      <c r="R737" s="644"/>
      <c r="S737" s="640"/>
    </row>
    <row r="738" spans="3:19" s="646" customFormat="1" x14ac:dyDescent="0.35">
      <c r="C738" s="643"/>
      <c r="D738" s="621"/>
      <c r="E738" s="644"/>
      <c r="F738" s="644"/>
      <c r="G738" s="644"/>
      <c r="H738" s="644"/>
      <c r="I738" s="644"/>
      <c r="J738" s="645"/>
      <c r="K738" s="645"/>
      <c r="L738" s="645"/>
      <c r="M738" s="645"/>
      <c r="N738" s="644"/>
      <c r="O738" s="644"/>
      <c r="P738" s="644"/>
      <c r="Q738" s="621"/>
      <c r="R738" s="644"/>
      <c r="S738" s="640"/>
    </row>
    <row r="739" spans="3:19" s="646" customFormat="1" x14ac:dyDescent="0.35">
      <c r="C739" s="643"/>
      <c r="D739" s="621"/>
      <c r="E739" s="644"/>
      <c r="F739" s="644"/>
      <c r="G739" s="644"/>
      <c r="H739" s="644"/>
      <c r="I739" s="644"/>
      <c r="J739" s="645"/>
      <c r="K739" s="645"/>
      <c r="L739" s="645"/>
      <c r="M739" s="645"/>
      <c r="N739" s="644"/>
      <c r="O739" s="644"/>
      <c r="P739" s="644"/>
      <c r="Q739" s="621"/>
      <c r="R739" s="644"/>
      <c r="S739" s="640"/>
    </row>
    <row r="740" spans="3:19" s="646" customFormat="1" x14ac:dyDescent="0.35">
      <c r="C740" s="643"/>
      <c r="D740" s="621"/>
      <c r="E740" s="644"/>
      <c r="F740" s="644"/>
      <c r="G740" s="644"/>
      <c r="H740" s="644"/>
      <c r="I740" s="644"/>
      <c r="J740" s="645"/>
      <c r="K740" s="645"/>
      <c r="L740" s="645"/>
      <c r="M740" s="645"/>
      <c r="N740" s="644"/>
      <c r="O740" s="644"/>
      <c r="P740" s="644"/>
      <c r="Q740" s="621"/>
      <c r="R740" s="644"/>
      <c r="S740" s="640"/>
    </row>
    <row r="741" spans="3:19" s="646" customFormat="1" x14ac:dyDescent="0.35">
      <c r="C741" s="643"/>
      <c r="D741" s="621"/>
      <c r="E741" s="644"/>
      <c r="F741" s="644"/>
      <c r="G741" s="644"/>
      <c r="H741" s="644"/>
      <c r="I741" s="644"/>
      <c r="J741" s="645"/>
      <c r="K741" s="645"/>
      <c r="L741" s="645"/>
      <c r="M741" s="645"/>
      <c r="N741" s="644"/>
      <c r="O741" s="644"/>
      <c r="P741" s="644"/>
      <c r="Q741" s="621"/>
      <c r="R741" s="644"/>
      <c r="S741" s="640"/>
    </row>
    <row r="742" spans="3:19" s="646" customFormat="1" x14ac:dyDescent="0.35">
      <c r="C742" s="643"/>
      <c r="D742" s="621"/>
      <c r="E742" s="644"/>
      <c r="F742" s="644"/>
      <c r="G742" s="644"/>
      <c r="H742" s="644"/>
      <c r="I742" s="644"/>
      <c r="J742" s="645"/>
      <c r="K742" s="645"/>
      <c r="L742" s="645"/>
      <c r="M742" s="645"/>
      <c r="N742" s="644"/>
      <c r="O742" s="644"/>
      <c r="P742" s="644"/>
      <c r="Q742" s="621"/>
      <c r="R742" s="644"/>
      <c r="S742" s="640"/>
    </row>
    <row r="743" spans="3:19" s="646" customFormat="1" x14ac:dyDescent="0.35">
      <c r="C743" s="643"/>
      <c r="D743" s="621"/>
      <c r="E743" s="644"/>
      <c r="F743" s="644"/>
      <c r="G743" s="644"/>
      <c r="H743" s="644"/>
      <c r="I743" s="644"/>
      <c r="J743" s="645"/>
      <c r="K743" s="645"/>
      <c r="L743" s="645"/>
      <c r="M743" s="645"/>
      <c r="N743" s="644"/>
      <c r="O743" s="644"/>
      <c r="P743" s="644"/>
      <c r="Q743" s="621"/>
      <c r="R743" s="644"/>
      <c r="S743" s="640"/>
    </row>
    <row r="744" spans="3:19" s="646" customFormat="1" x14ac:dyDescent="0.35">
      <c r="C744" s="643"/>
      <c r="D744" s="621"/>
      <c r="E744" s="644"/>
      <c r="F744" s="644"/>
      <c r="G744" s="644"/>
      <c r="H744" s="644"/>
      <c r="I744" s="644"/>
      <c r="J744" s="645"/>
      <c r="K744" s="645"/>
      <c r="L744" s="645"/>
      <c r="M744" s="645"/>
      <c r="N744" s="644"/>
      <c r="O744" s="644"/>
      <c r="P744" s="644"/>
      <c r="Q744" s="621"/>
      <c r="R744" s="644"/>
      <c r="S744" s="640"/>
    </row>
    <row r="745" spans="3:19" s="646" customFormat="1" x14ac:dyDescent="0.35">
      <c r="C745" s="643"/>
      <c r="D745" s="621"/>
      <c r="E745" s="644"/>
      <c r="F745" s="644"/>
      <c r="G745" s="644"/>
      <c r="H745" s="644"/>
      <c r="I745" s="644"/>
      <c r="J745" s="645"/>
      <c r="K745" s="645"/>
      <c r="L745" s="645"/>
      <c r="M745" s="645"/>
      <c r="N745" s="644"/>
      <c r="O745" s="644"/>
      <c r="P745" s="644"/>
      <c r="Q745" s="621"/>
      <c r="R745" s="644"/>
      <c r="S745" s="640"/>
    </row>
    <row r="746" spans="3:19" s="646" customFormat="1" x14ac:dyDescent="0.35">
      <c r="C746" s="643"/>
      <c r="D746" s="621"/>
      <c r="E746" s="644"/>
      <c r="F746" s="644"/>
      <c r="G746" s="644"/>
      <c r="H746" s="644"/>
      <c r="I746" s="644"/>
      <c r="J746" s="645"/>
      <c r="K746" s="645"/>
      <c r="L746" s="645"/>
      <c r="M746" s="645"/>
      <c r="N746" s="644"/>
      <c r="O746" s="644"/>
      <c r="P746" s="644"/>
      <c r="Q746" s="621"/>
      <c r="R746" s="644"/>
      <c r="S746" s="640"/>
    </row>
    <row r="747" spans="3:19" s="646" customFormat="1" x14ac:dyDescent="0.35">
      <c r="C747" s="643"/>
      <c r="D747" s="621"/>
      <c r="E747" s="644"/>
      <c r="F747" s="644"/>
      <c r="G747" s="644"/>
      <c r="H747" s="644"/>
      <c r="I747" s="644"/>
      <c r="J747" s="645"/>
      <c r="K747" s="645"/>
      <c r="L747" s="645"/>
      <c r="M747" s="645"/>
      <c r="N747" s="644"/>
      <c r="O747" s="644"/>
      <c r="P747" s="644"/>
      <c r="Q747" s="621"/>
      <c r="R747" s="644"/>
      <c r="S747" s="640"/>
    </row>
    <row r="748" spans="3:19" s="646" customFormat="1" x14ac:dyDescent="0.35">
      <c r="C748" s="643"/>
      <c r="D748" s="621"/>
      <c r="E748" s="644"/>
      <c r="F748" s="644"/>
      <c r="G748" s="644"/>
      <c r="H748" s="644"/>
      <c r="I748" s="644"/>
      <c r="J748" s="645"/>
      <c r="K748" s="645"/>
      <c r="L748" s="645"/>
      <c r="M748" s="645"/>
      <c r="N748" s="644"/>
      <c r="O748" s="644"/>
      <c r="P748" s="644"/>
      <c r="Q748" s="621"/>
      <c r="R748" s="644"/>
      <c r="S748" s="640"/>
    </row>
    <row r="749" spans="3:19" s="646" customFormat="1" x14ac:dyDescent="0.35">
      <c r="C749" s="643"/>
      <c r="D749" s="621"/>
      <c r="E749" s="644"/>
      <c r="F749" s="644"/>
      <c r="G749" s="644"/>
      <c r="H749" s="644"/>
      <c r="I749" s="644"/>
      <c r="J749" s="645"/>
      <c r="K749" s="645"/>
      <c r="L749" s="645"/>
      <c r="M749" s="645"/>
      <c r="N749" s="644"/>
      <c r="O749" s="644"/>
      <c r="P749" s="644"/>
      <c r="Q749" s="621"/>
      <c r="R749" s="644"/>
      <c r="S749" s="640"/>
    </row>
    <row r="750" spans="3:19" s="646" customFormat="1" x14ac:dyDescent="0.35">
      <c r="C750" s="643"/>
      <c r="D750" s="621"/>
      <c r="E750" s="644"/>
      <c r="F750" s="644"/>
      <c r="G750" s="644"/>
      <c r="H750" s="644"/>
      <c r="I750" s="644"/>
      <c r="J750" s="645"/>
      <c r="K750" s="645"/>
      <c r="L750" s="645"/>
      <c r="M750" s="645"/>
      <c r="N750" s="644"/>
      <c r="O750" s="644"/>
      <c r="P750" s="644"/>
      <c r="Q750" s="621"/>
      <c r="R750" s="644"/>
      <c r="S750" s="640"/>
    </row>
    <row r="751" spans="3:19" s="646" customFormat="1" x14ac:dyDescent="0.35">
      <c r="C751" s="643"/>
      <c r="D751" s="621"/>
      <c r="E751" s="644"/>
      <c r="F751" s="644"/>
      <c r="G751" s="644"/>
      <c r="H751" s="644"/>
      <c r="I751" s="644"/>
      <c r="J751" s="645"/>
      <c r="K751" s="645"/>
      <c r="L751" s="645"/>
      <c r="M751" s="645"/>
      <c r="N751" s="644"/>
      <c r="O751" s="644"/>
      <c r="P751" s="644"/>
      <c r="Q751" s="621"/>
      <c r="R751" s="644"/>
      <c r="S751" s="640"/>
    </row>
    <row r="752" spans="3:19" s="646" customFormat="1" x14ac:dyDescent="0.35">
      <c r="C752" s="643"/>
      <c r="D752" s="621"/>
      <c r="E752" s="644"/>
      <c r="F752" s="644"/>
      <c r="G752" s="644"/>
      <c r="H752" s="644"/>
      <c r="I752" s="644"/>
      <c r="J752" s="645"/>
      <c r="K752" s="645"/>
      <c r="L752" s="645"/>
      <c r="M752" s="645"/>
      <c r="N752" s="644"/>
      <c r="O752" s="644"/>
      <c r="P752" s="644"/>
      <c r="Q752" s="621"/>
      <c r="R752" s="644"/>
      <c r="S752" s="640"/>
    </row>
    <row r="753" spans="3:19" s="646" customFormat="1" x14ac:dyDescent="0.35">
      <c r="C753" s="643"/>
      <c r="D753" s="621"/>
      <c r="E753" s="644"/>
      <c r="F753" s="644"/>
      <c r="G753" s="644"/>
      <c r="H753" s="644"/>
      <c r="I753" s="644"/>
      <c r="J753" s="645"/>
      <c r="K753" s="645"/>
      <c r="L753" s="645"/>
      <c r="M753" s="645"/>
      <c r="N753" s="644"/>
      <c r="O753" s="644"/>
      <c r="P753" s="644"/>
      <c r="Q753" s="621"/>
      <c r="R753" s="644"/>
      <c r="S753" s="640"/>
    </row>
    <row r="754" spans="3:19" s="646" customFormat="1" x14ac:dyDescent="0.35">
      <c r="C754" s="643"/>
      <c r="D754" s="621"/>
      <c r="E754" s="644"/>
      <c r="F754" s="644"/>
      <c r="G754" s="644"/>
      <c r="H754" s="644"/>
      <c r="I754" s="644"/>
      <c r="J754" s="645"/>
      <c r="K754" s="645"/>
      <c r="L754" s="645"/>
      <c r="M754" s="645"/>
      <c r="N754" s="644"/>
      <c r="O754" s="644"/>
      <c r="P754" s="644"/>
      <c r="Q754" s="621"/>
      <c r="R754" s="644"/>
      <c r="S754" s="640"/>
    </row>
    <row r="755" spans="3:19" s="646" customFormat="1" x14ac:dyDescent="0.35">
      <c r="C755" s="643"/>
      <c r="D755" s="621"/>
      <c r="E755" s="644"/>
      <c r="F755" s="644"/>
      <c r="G755" s="644"/>
      <c r="H755" s="644"/>
      <c r="I755" s="644"/>
      <c r="J755" s="645"/>
      <c r="K755" s="645"/>
      <c r="L755" s="645"/>
      <c r="M755" s="645"/>
      <c r="N755" s="644"/>
      <c r="O755" s="644"/>
      <c r="P755" s="644"/>
      <c r="Q755" s="621"/>
      <c r="R755" s="644"/>
      <c r="S755" s="640"/>
    </row>
    <row r="756" spans="3:19" s="646" customFormat="1" x14ac:dyDescent="0.35">
      <c r="C756" s="643"/>
      <c r="D756" s="621"/>
      <c r="E756" s="644"/>
      <c r="F756" s="644"/>
      <c r="G756" s="644"/>
      <c r="H756" s="644"/>
      <c r="I756" s="644"/>
      <c r="J756" s="645"/>
      <c r="K756" s="645"/>
      <c r="L756" s="645"/>
      <c r="M756" s="645"/>
      <c r="N756" s="644"/>
      <c r="O756" s="644"/>
      <c r="P756" s="644"/>
      <c r="Q756" s="621"/>
      <c r="R756" s="644"/>
      <c r="S756" s="640"/>
    </row>
    <row r="757" spans="3:19" s="646" customFormat="1" x14ac:dyDescent="0.35">
      <c r="C757" s="643"/>
      <c r="D757" s="621"/>
      <c r="E757" s="644"/>
      <c r="F757" s="644"/>
      <c r="G757" s="644"/>
      <c r="H757" s="644"/>
      <c r="I757" s="644"/>
      <c r="J757" s="645"/>
      <c r="K757" s="645"/>
      <c r="L757" s="645"/>
      <c r="M757" s="645"/>
      <c r="N757" s="644"/>
      <c r="O757" s="644"/>
      <c r="P757" s="644"/>
      <c r="Q757" s="621"/>
      <c r="R757" s="644"/>
      <c r="S757" s="640"/>
    </row>
    <row r="758" spans="3:19" s="646" customFormat="1" x14ac:dyDescent="0.35">
      <c r="C758" s="643"/>
      <c r="D758" s="621"/>
      <c r="E758" s="644"/>
      <c r="F758" s="644"/>
      <c r="G758" s="644"/>
      <c r="H758" s="644"/>
      <c r="I758" s="644"/>
      <c r="J758" s="645"/>
      <c r="K758" s="645"/>
      <c r="L758" s="645"/>
      <c r="M758" s="645"/>
      <c r="N758" s="644"/>
      <c r="O758" s="644"/>
      <c r="P758" s="644"/>
      <c r="Q758" s="621"/>
      <c r="R758" s="644"/>
      <c r="S758" s="640"/>
    </row>
    <row r="759" spans="3:19" s="646" customFormat="1" x14ac:dyDescent="0.35">
      <c r="C759" s="643"/>
      <c r="D759" s="621"/>
      <c r="E759" s="644"/>
      <c r="F759" s="644"/>
      <c r="G759" s="644"/>
      <c r="H759" s="644"/>
      <c r="I759" s="644"/>
      <c r="J759" s="645"/>
      <c r="K759" s="645"/>
      <c r="L759" s="645"/>
      <c r="M759" s="645"/>
      <c r="N759" s="644"/>
      <c r="O759" s="644"/>
      <c r="P759" s="644"/>
      <c r="Q759" s="621"/>
      <c r="R759" s="644"/>
      <c r="S759" s="640"/>
    </row>
    <row r="760" spans="3:19" s="646" customFormat="1" x14ac:dyDescent="0.35">
      <c r="C760" s="643"/>
      <c r="D760" s="621"/>
      <c r="E760" s="644"/>
      <c r="F760" s="644"/>
      <c r="G760" s="644"/>
      <c r="H760" s="644"/>
      <c r="I760" s="644"/>
      <c r="J760" s="645"/>
      <c r="K760" s="645"/>
      <c r="L760" s="645"/>
      <c r="M760" s="645"/>
      <c r="N760" s="644"/>
      <c r="O760" s="644"/>
      <c r="P760" s="644"/>
      <c r="Q760" s="621"/>
      <c r="R760" s="644"/>
      <c r="S760" s="640"/>
    </row>
    <row r="761" spans="3:19" s="646" customFormat="1" x14ac:dyDescent="0.35">
      <c r="C761" s="643"/>
      <c r="D761" s="621"/>
      <c r="E761" s="644"/>
      <c r="F761" s="644"/>
      <c r="G761" s="644"/>
      <c r="H761" s="644"/>
      <c r="I761" s="644"/>
      <c r="J761" s="645"/>
      <c r="K761" s="645"/>
      <c r="L761" s="645"/>
      <c r="M761" s="645"/>
      <c r="N761" s="644"/>
      <c r="O761" s="644"/>
      <c r="P761" s="644"/>
      <c r="Q761" s="621"/>
      <c r="R761" s="644"/>
      <c r="S761" s="640"/>
    </row>
    <row r="762" spans="3:19" s="646" customFormat="1" x14ac:dyDescent="0.35">
      <c r="C762" s="643"/>
      <c r="D762" s="621"/>
      <c r="E762" s="644"/>
      <c r="F762" s="644"/>
      <c r="G762" s="644"/>
      <c r="H762" s="644"/>
      <c r="I762" s="644"/>
      <c r="J762" s="645"/>
      <c r="K762" s="645"/>
      <c r="L762" s="645"/>
      <c r="M762" s="645"/>
      <c r="N762" s="644"/>
      <c r="O762" s="644"/>
      <c r="P762" s="644"/>
      <c r="Q762" s="621"/>
      <c r="R762" s="644"/>
      <c r="S762" s="640"/>
    </row>
    <row r="763" spans="3:19" s="646" customFormat="1" x14ac:dyDescent="0.35">
      <c r="C763" s="643"/>
      <c r="D763" s="621"/>
      <c r="E763" s="644"/>
      <c r="F763" s="644"/>
      <c r="G763" s="644"/>
      <c r="H763" s="644"/>
      <c r="I763" s="644"/>
      <c r="J763" s="645"/>
      <c r="K763" s="645"/>
      <c r="L763" s="645"/>
      <c r="M763" s="645"/>
      <c r="N763" s="644"/>
      <c r="O763" s="644"/>
      <c r="P763" s="644"/>
      <c r="Q763" s="621"/>
      <c r="R763" s="644"/>
      <c r="S763" s="640"/>
    </row>
    <row r="764" spans="3:19" s="646" customFormat="1" x14ac:dyDescent="0.35">
      <c r="C764" s="643"/>
      <c r="D764" s="621"/>
      <c r="E764" s="644"/>
      <c r="F764" s="644"/>
      <c r="G764" s="644"/>
      <c r="H764" s="644"/>
      <c r="I764" s="644"/>
      <c r="J764" s="645"/>
      <c r="K764" s="645"/>
      <c r="L764" s="645"/>
      <c r="M764" s="645"/>
      <c r="N764" s="644"/>
      <c r="O764" s="644"/>
      <c r="P764" s="644"/>
      <c r="Q764" s="621"/>
      <c r="R764" s="644"/>
      <c r="S764" s="640"/>
    </row>
    <row r="765" spans="3:19" s="646" customFormat="1" x14ac:dyDescent="0.35">
      <c r="C765" s="643"/>
      <c r="D765" s="621"/>
      <c r="E765" s="644"/>
      <c r="F765" s="644"/>
      <c r="G765" s="644"/>
      <c r="H765" s="644"/>
      <c r="I765" s="644"/>
      <c r="J765" s="645"/>
      <c r="K765" s="645"/>
      <c r="L765" s="645"/>
      <c r="M765" s="645"/>
      <c r="N765" s="644"/>
      <c r="O765" s="644"/>
      <c r="P765" s="644"/>
      <c r="Q765" s="621"/>
      <c r="R765" s="644"/>
      <c r="S765" s="640"/>
    </row>
    <row r="766" spans="3:19" s="646" customFormat="1" x14ac:dyDescent="0.35">
      <c r="C766" s="643"/>
      <c r="D766" s="621"/>
      <c r="E766" s="644"/>
      <c r="F766" s="644"/>
      <c r="G766" s="644"/>
      <c r="H766" s="644"/>
      <c r="I766" s="644"/>
      <c r="J766" s="645"/>
      <c r="K766" s="645"/>
      <c r="L766" s="645"/>
      <c r="M766" s="645"/>
      <c r="N766" s="644"/>
      <c r="O766" s="644"/>
      <c r="P766" s="644"/>
      <c r="Q766" s="621"/>
      <c r="R766" s="644"/>
      <c r="S766" s="640"/>
    </row>
    <row r="767" spans="3:19" s="646" customFormat="1" x14ac:dyDescent="0.35">
      <c r="C767" s="643"/>
      <c r="D767" s="621"/>
      <c r="E767" s="644"/>
      <c r="F767" s="644"/>
      <c r="G767" s="644"/>
      <c r="H767" s="644"/>
      <c r="I767" s="644"/>
      <c r="J767" s="645"/>
      <c r="K767" s="645"/>
      <c r="L767" s="645"/>
      <c r="M767" s="645"/>
      <c r="N767" s="644"/>
      <c r="O767" s="644"/>
      <c r="P767" s="644"/>
      <c r="Q767" s="621"/>
      <c r="R767" s="644"/>
      <c r="S767" s="640"/>
    </row>
    <row r="768" spans="3:19" s="646" customFormat="1" x14ac:dyDescent="0.35">
      <c r="C768" s="643"/>
      <c r="D768" s="621"/>
      <c r="E768" s="644"/>
      <c r="F768" s="644"/>
      <c r="G768" s="644"/>
      <c r="H768" s="644"/>
      <c r="I768" s="644"/>
      <c r="J768" s="645"/>
      <c r="K768" s="645"/>
      <c r="L768" s="645"/>
      <c r="M768" s="645"/>
      <c r="N768" s="644"/>
      <c r="O768" s="644"/>
      <c r="P768" s="644"/>
      <c r="Q768" s="621"/>
      <c r="R768" s="644"/>
      <c r="S768" s="640"/>
    </row>
    <row r="769" spans="3:19" s="646" customFormat="1" x14ac:dyDescent="0.35">
      <c r="C769" s="643"/>
      <c r="D769" s="621"/>
      <c r="E769" s="644"/>
      <c r="F769" s="644"/>
      <c r="G769" s="644"/>
      <c r="H769" s="644"/>
      <c r="I769" s="644"/>
      <c r="J769" s="645"/>
      <c r="K769" s="645"/>
      <c r="L769" s="645"/>
      <c r="M769" s="645"/>
      <c r="N769" s="644"/>
      <c r="O769" s="644"/>
      <c r="P769" s="644"/>
      <c r="Q769" s="621"/>
      <c r="R769" s="644"/>
      <c r="S769" s="640"/>
    </row>
    <row r="770" spans="3:19" s="646" customFormat="1" x14ac:dyDescent="0.35">
      <c r="C770" s="643"/>
      <c r="D770" s="621"/>
      <c r="E770" s="644"/>
      <c r="F770" s="644"/>
      <c r="G770" s="644"/>
      <c r="H770" s="644"/>
      <c r="I770" s="644"/>
      <c r="J770" s="645"/>
      <c r="K770" s="645"/>
      <c r="L770" s="645"/>
      <c r="M770" s="645"/>
      <c r="N770" s="644"/>
      <c r="O770" s="644"/>
      <c r="P770" s="644"/>
      <c r="Q770" s="621"/>
      <c r="R770" s="644"/>
      <c r="S770" s="640"/>
    </row>
    <row r="771" spans="3:19" s="646" customFormat="1" x14ac:dyDescent="0.35">
      <c r="C771" s="643"/>
      <c r="D771" s="621"/>
      <c r="E771" s="644"/>
      <c r="F771" s="644"/>
      <c r="G771" s="644"/>
      <c r="H771" s="644"/>
      <c r="I771" s="644"/>
      <c r="J771" s="645"/>
      <c r="K771" s="645"/>
      <c r="L771" s="645"/>
      <c r="M771" s="645"/>
      <c r="N771" s="644"/>
      <c r="O771" s="644"/>
      <c r="P771" s="644"/>
      <c r="Q771" s="621"/>
      <c r="R771" s="644"/>
      <c r="S771" s="640"/>
    </row>
    <row r="772" spans="3:19" s="646" customFormat="1" x14ac:dyDescent="0.35">
      <c r="C772" s="643"/>
      <c r="D772" s="621"/>
      <c r="E772" s="644"/>
      <c r="F772" s="644"/>
      <c r="G772" s="644"/>
      <c r="H772" s="644"/>
      <c r="I772" s="644"/>
      <c r="J772" s="645"/>
      <c r="K772" s="645"/>
      <c r="L772" s="645"/>
      <c r="M772" s="645"/>
      <c r="N772" s="644"/>
      <c r="O772" s="644"/>
      <c r="P772" s="644"/>
      <c r="Q772" s="621"/>
      <c r="R772" s="644"/>
      <c r="S772" s="640"/>
    </row>
    <row r="773" spans="3:19" s="646" customFormat="1" x14ac:dyDescent="0.35">
      <c r="C773" s="643"/>
      <c r="D773" s="621"/>
      <c r="E773" s="644"/>
      <c r="F773" s="644"/>
      <c r="G773" s="644"/>
      <c r="H773" s="644"/>
      <c r="I773" s="644"/>
      <c r="J773" s="645"/>
      <c r="K773" s="645"/>
      <c r="L773" s="645"/>
      <c r="M773" s="645"/>
      <c r="N773" s="644"/>
      <c r="O773" s="644"/>
      <c r="P773" s="644"/>
      <c r="Q773" s="621"/>
      <c r="R773" s="644"/>
      <c r="S773" s="640"/>
    </row>
    <row r="774" spans="3:19" s="646" customFormat="1" x14ac:dyDescent="0.35">
      <c r="C774" s="643"/>
      <c r="D774" s="621"/>
      <c r="E774" s="644"/>
      <c r="F774" s="644"/>
      <c r="G774" s="644"/>
      <c r="H774" s="644"/>
      <c r="I774" s="644"/>
      <c r="J774" s="645"/>
      <c r="K774" s="645"/>
      <c r="L774" s="645"/>
      <c r="M774" s="645"/>
      <c r="N774" s="644"/>
      <c r="O774" s="644"/>
      <c r="P774" s="644"/>
      <c r="Q774" s="621"/>
      <c r="R774" s="644"/>
      <c r="S774" s="640"/>
    </row>
    <row r="775" spans="3:19" s="646" customFormat="1" x14ac:dyDescent="0.35">
      <c r="C775" s="643"/>
      <c r="D775" s="621"/>
      <c r="E775" s="644"/>
      <c r="F775" s="644"/>
      <c r="G775" s="644"/>
      <c r="H775" s="644"/>
      <c r="I775" s="644"/>
      <c r="J775" s="645"/>
      <c r="K775" s="645"/>
      <c r="L775" s="645"/>
      <c r="M775" s="645"/>
      <c r="N775" s="644"/>
      <c r="O775" s="644"/>
      <c r="P775" s="644"/>
      <c r="Q775" s="621"/>
      <c r="R775" s="644"/>
      <c r="S775" s="640"/>
    </row>
    <row r="776" spans="3:19" s="646" customFormat="1" x14ac:dyDescent="0.35">
      <c r="C776" s="643"/>
      <c r="D776" s="621"/>
      <c r="E776" s="644"/>
      <c r="F776" s="644"/>
      <c r="G776" s="644"/>
      <c r="H776" s="644"/>
      <c r="I776" s="644"/>
      <c r="J776" s="645"/>
      <c r="K776" s="645"/>
      <c r="L776" s="645"/>
      <c r="M776" s="645"/>
      <c r="N776" s="644"/>
      <c r="O776" s="644"/>
      <c r="P776" s="644"/>
      <c r="Q776" s="621"/>
      <c r="R776" s="644"/>
      <c r="S776" s="640"/>
    </row>
    <row r="777" spans="3:19" s="646" customFormat="1" x14ac:dyDescent="0.35">
      <c r="C777" s="643"/>
      <c r="D777" s="621"/>
      <c r="E777" s="644"/>
      <c r="F777" s="644"/>
      <c r="G777" s="644"/>
      <c r="H777" s="644"/>
      <c r="I777" s="644"/>
      <c r="J777" s="645"/>
      <c r="K777" s="645"/>
      <c r="L777" s="645"/>
      <c r="M777" s="645"/>
      <c r="N777" s="644"/>
      <c r="O777" s="644"/>
      <c r="P777" s="644"/>
      <c r="Q777" s="621"/>
      <c r="R777" s="644"/>
      <c r="S777" s="640"/>
    </row>
    <row r="778" spans="3:19" s="646" customFormat="1" x14ac:dyDescent="0.35">
      <c r="C778" s="643"/>
      <c r="D778" s="621"/>
      <c r="E778" s="644"/>
      <c r="F778" s="644"/>
      <c r="G778" s="644"/>
      <c r="H778" s="644"/>
      <c r="I778" s="644"/>
      <c r="J778" s="645"/>
      <c r="K778" s="645"/>
      <c r="L778" s="645"/>
      <c r="M778" s="645"/>
      <c r="N778" s="644"/>
      <c r="O778" s="644"/>
      <c r="P778" s="644"/>
      <c r="Q778" s="621"/>
      <c r="R778" s="644"/>
      <c r="S778" s="640"/>
    </row>
    <row r="779" spans="3:19" s="646" customFormat="1" x14ac:dyDescent="0.35">
      <c r="C779" s="643"/>
      <c r="D779" s="621"/>
      <c r="E779" s="644"/>
      <c r="F779" s="644"/>
      <c r="G779" s="644"/>
      <c r="H779" s="644"/>
      <c r="I779" s="644"/>
      <c r="J779" s="645"/>
      <c r="K779" s="645"/>
      <c r="L779" s="645"/>
      <c r="M779" s="645"/>
      <c r="N779" s="644"/>
      <c r="O779" s="644"/>
      <c r="P779" s="644"/>
      <c r="Q779" s="621"/>
      <c r="R779" s="644"/>
      <c r="S779" s="640"/>
    </row>
    <row r="780" spans="3:19" s="646" customFormat="1" x14ac:dyDescent="0.35">
      <c r="C780" s="643"/>
      <c r="D780" s="621"/>
      <c r="E780" s="644"/>
      <c r="F780" s="644"/>
      <c r="G780" s="644"/>
      <c r="H780" s="644"/>
      <c r="I780" s="644"/>
      <c r="J780" s="645"/>
      <c r="K780" s="645"/>
      <c r="L780" s="645"/>
      <c r="M780" s="645"/>
      <c r="N780" s="644"/>
      <c r="O780" s="644"/>
      <c r="P780" s="644"/>
      <c r="Q780" s="621"/>
      <c r="R780" s="644"/>
      <c r="S780" s="640"/>
    </row>
    <row r="781" spans="3:19" s="646" customFormat="1" x14ac:dyDescent="0.35">
      <c r="C781" s="643"/>
      <c r="D781" s="621"/>
      <c r="E781" s="644"/>
      <c r="F781" s="644"/>
      <c r="G781" s="644"/>
      <c r="H781" s="644"/>
      <c r="I781" s="644"/>
      <c r="J781" s="645"/>
      <c r="K781" s="645"/>
      <c r="L781" s="645"/>
      <c r="M781" s="645"/>
      <c r="N781" s="644"/>
      <c r="O781" s="644"/>
      <c r="P781" s="644"/>
      <c r="Q781" s="621"/>
      <c r="R781" s="644"/>
      <c r="S781" s="640"/>
    </row>
    <row r="782" spans="3:19" s="646" customFormat="1" x14ac:dyDescent="0.35">
      <c r="C782" s="643"/>
      <c r="D782" s="621"/>
      <c r="E782" s="644"/>
      <c r="F782" s="644"/>
      <c r="G782" s="644"/>
      <c r="H782" s="644"/>
      <c r="I782" s="644"/>
      <c r="J782" s="645"/>
      <c r="K782" s="645"/>
      <c r="L782" s="645"/>
      <c r="M782" s="645"/>
      <c r="N782" s="644"/>
      <c r="O782" s="644"/>
      <c r="P782" s="644"/>
      <c r="Q782" s="621"/>
      <c r="R782" s="644"/>
      <c r="S782" s="640"/>
    </row>
    <row r="783" spans="3:19" s="646" customFormat="1" x14ac:dyDescent="0.35">
      <c r="C783" s="643"/>
      <c r="D783" s="621"/>
      <c r="E783" s="644"/>
      <c r="F783" s="644"/>
      <c r="G783" s="644"/>
      <c r="H783" s="644"/>
      <c r="I783" s="644"/>
      <c r="J783" s="645"/>
      <c r="K783" s="645"/>
      <c r="L783" s="645"/>
      <c r="M783" s="645"/>
      <c r="N783" s="644"/>
      <c r="O783" s="644"/>
      <c r="P783" s="644"/>
      <c r="Q783" s="621"/>
      <c r="R783" s="644"/>
      <c r="S783" s="640"/>
    </row>
    <row r="784" spans="3:19" s="646" customFormat="1" x14ac:dyDescent="0.35">
      <c r="C784" s="643"/>
      <c r="D784" s="621"/>
      <c r="E784" s="644"/>
      <c r="F784" s="644"/>
      <c r="G784" s="644"/>
      <c r="H784" s="644"/>
      <c r="I784" s="644"/>
      <c r="J784" s="645"/>
      <c r="K784" s="645"/>
      <c r="L784" s="645"/>
      <c r="M784" s="645"/>
      <c r="N784" s="644"/>
      <c r="O784" s="644"/>
      <c r="P784" s="644"/>
      <c r="Q784" s="621"/>
      <c r="R784" s="644"/>
      <c r="S784" s="640"/>
    </row>
    <row r="785" spans="3:19" s="646" customFormat="1" x14ac:dyDescent="0.35">
      <c r="C785" s="643"/>
      <c r="D785" s="621"/>
      <c r="E785" s="644"/>
      <c r="F785" s="644"/>
      <c r="G785" s="644"/>
      <c r="H785" s="644"/>
      <c r="I785" s="644"/>
      <c r="J785" s="645"/>
      <c r="K785" s="645"/>
      <c r="L785" s="645"/>
      <c r="M785" s="645"/>
      <c r="N785" s="644"/>
      <c r="O785" s="644"/>
      <c r="P785" s="644"/>
      <c r="Q785" s="621"/>
      <c r="R785" s="644"/>
      <c r="S785" s="640"/>
    </row>
    <row r="786" spans="3:19" s="646" customFormat="1" x14ac:dyDescent="0.35">
      <c r="C786" s="643"/>
      <c r="D786" s="621"/>
      <c r="E786" s="644"/>
      <c r="F786" s="644"/>
      <c r="G786" s="644"/>
      <c r="H786" s="644"/>
      <c r="I786" s="644"/>
      <c r="J786" s="645"/>
      <c r="K786" s="645"/>
      <c r="L786" s="645"/>
      <c r="M786" s="645"/>
      <c r="N786" s="644"/>
      <c r="O786" s="644"/>
      <c r="P786" s="644"/>
      <c r="Q786" s="621"/>
      <c r="R786" s="644"/>
      <c r="S786" s="640"/>
    </row>
    <row r="787" spans="3:19" s="646" customFormat="1" x14ac:dyDescent="0.35">
      <c r="C787" s="643"/>
      <c r="D787" s="621"/>
      <c r="E787" s="644"/>
      <c r="F787" s="644"/>
      <c r="G787" s="644"/>
      <c r="H787" s="644"/>
      <c r="I787" s="644"/>
      <c r="J787" s="645"/>
      <c r="K787" s="645"/>
      <c r="L787" s="645"/>
      <c r="M787" s="645"/>
      <c r="N787" s="644"/>
      <c r="O787" s="644"/>
      <c r="P787" s="644"/>
      <c r="Q787" s="621"/>
      <c r="R787" s="644"/>
      <c r="S787" s="640"/>
    </row>
    <row r="788" spans="3:19" s="646" customFormat="1" x14ac:dyDescent="0.35">
      <c r="C788" s="643"/>
      <c r="D788" s="621"/>
      <c r="E788" s="644"/>
      <c r="F788" s="644"/>
      <c r="G788" s="644"/>
      <c r="H788" s="644"/>
      <c r="I788" s="644"/>
      <c r="J788" s="645"/>
      <c r="K788" s="645"/>
      <c r="L788" s="645"/>
      <c r="M788" s="645"/>
      <c r="N788" s="644"/>
      <c r="O788" s="644"/>
      <c r="P788" s="644"/>
      <c r="Q788" s="621"/>
      <c r="R788" s="644"/>
      <c r="S788" s="640"/>
    </row>
    <row r="789" spans="3:19" s="646" customFormat="1" x14ac:dyDescent="0.35">
      <c r="C789" s="643"/>
      <c r="D789" s="621"/>
      <c r="E789" s="644"/>
      <c r="F789" s="644"/>
      <c r="G789" s="644"/>
      <c r="H789" s="644"/>
      <c r="I789" s="644"/>
      <c r="J789" s="645"/>
      <c r="K789" s="645"/>
      <c r="L789" s="645"/>
      <c r="M789" s="645"/>
      <c r="N789" s="644"/>
      <c r="O789" s="644"/>
      <c r="P789" s="644"/>
      <c r="Q789" s="621"/>
      <c r="R789" s="644"/>
      <c r="S789" s="640"/>
    </row>
    <row r="790" spans="3:19" s="646" customFormat="1" x14ac:dyDescent="0.35">
      <c r="C790" s="643"/>
      <c r="D790" s="621"/>
      <c r="E790" s="644"/>
      <c r="F790" s="644"/>
      <c r="G790" s="644"/>
      <c r="H790" s="644"/>
      <c r="I790" s="644"/>
      <c r="J790" s="645"/>
      <c r="K790" s="645"/>
      <c r="L790" s="645"/>
      <c r="M790" s="645"/>
      <c r="N790" s="644"/>
      <c r="O790" s="644"/>
      <c r="P790" s="644"/>
      <c r="Q790" s="621"/>
      <c r="R790" s="644"/>
      <c r="S790" s="640"/>
    </row>
    <row r="791" spans="3:19" s="646" customFormat="1" x14ac:dyDescent="0.35">
      <c r="C791" s="643"/>
      <c r="D791" s="621"/>
      <c r="E791" s="644"/>
      <c r="F791" s="644"/>
      <c r="G791" s="644"/>
      <c r="H791" s="644"/>
      <c r="I791" s="644"/>
      <c r="J791" s="645"/>
      <c r="K791" s="645"/>
      <c r="L791" s="645"/>
      <c r="M791" s="645"/>
      <c r="N791" s="644"/>
      <c r="O791" s="644"/>
      <c r="P791" s="644"/>
      <c r="Q791" s="621"/>
      <c r="R791" s="644"/>
      <c r="S791" s="640"/>
    </row>
    <row r="792" spans="3:19" s="646" customFormat="1" x14ac:dyDescent="0.35">
      <c r="C792" s="643"/>
      <c r="D792" s="621"/>
      <c r="E792" s="644"/>
      <c r="F792" s="644"/>
      <c r="G792" s="644"/>
      <c r="H792" s="644"/>
      <c r="I792" s="644"/>
      <c r="J792" s="645"/>
      <c r="K792" s="645"/>
      <c r="L792" s="645"/>
      <c r="M792" s="645"/>
      <c r="N792" s="644"/>
      <c r="O792" s="644"/>
      <c r="P792" s="644"/>
      <c r="Q792" s="621"/>
      <c r="R792" s="644"/>
      <c r="S792" s="640"/>
    </row>
    <row r="793" spans="3:19" s="646" customFormat="1" x14ac:dyDescent="0.35">
      <c r="C793" s="643"/>
      <c r="D793" s="621"/>
      <c r="E793" s="644"/>
      <c r="F793" s="644"/>
      <c r="G793" s="644"/>
      <c r="H793" s="644"/>
      <c r="I793" s="644"/>
      <c r="J793" s="645"/>
      <c r="K793" s="645"/>
      <c r="L793" s="645"/>
      <c r="M793" s="645"/>
      <c r="N793" s="644"/>
      <c r="O793" s="644"/>
      <c r="P793" s="644"/>
      <c r="Q793" s="621"/>
      <c r="R793" s="644"/>
      <c r="S793" s="640"/>
    </row>
    <row r="794" spans="3:19" s="646" customFormat="1" x14ac:dyDescent="0.35">
      <c r="C794" s="643"/>
      <c r="D794" s="621"/>
      <c r="E794" s="644"/>
      <c r="F794" s="644"/>
      <c r="G794" s="644"/>
      <c r="H794" s="644"/>
      <c r="I794" s="644"/>
      <c r="J794" s="645"/>
      <c r="K794" s="645"/>
      <c r="L794" s="645"/>
      <c r="M794" s="645"/>
      <c r="N794" s="644"/>
      <c r="O794" s="644"/>
      <c r="P794" s="644"/>
      <c r="Q794" s="621"/>
      <c r="R794" s="644"/>
      <c r="S794" s="640"/>
    </row>
    <row r="795" spans="3:19" s="646" customFormat="1" x14ac:dyDescent="0.35">
      <c r="C795" s="643"/>
      <c r="D795" s="621"/>
      <c r="E795" s="644"/>
      <c r="F795" s="644"/>
      <c r="G795" s="644"/>
      <c r="H795" s="644"/>
      <c r="I795" s="644"/>
      <c r="J795" s="645"/>
      <c r="K795" s="645"/>
      <c r="L795" s="645"/>
      <c r="M795" s="645"/>
      <c r="N795" s="644"/>
      <c r="O795" s="644"/>
      <c r="P795" s="644"/>
      <c r="Q795" s="621"/>
      <c r="R795" s="644"/>
      <c r="S795" s="640"/>
    </row>
    <row r="796" spans="3:19" s="646" customFormat="1" x14ac:dyDescent="0.35">
      <c r="C796" s="643"/>
      <c r="D796" s="621"/>
      <c r="E796" s="644"/>
      <c r="F796" s="644"/>
      <c r="G796" s="644"/>
      <c r="H796" s="644"/>
      <c r="I796" s="644"/>
      <c r="J796" s="645"/>
      <c r="K796" s="645"/>
      <c r="L796" s="645"/>
      <c r="M796" s="645"/>
      <c r="N796" s="644"/>
      <c r="O796" s="644"/>
      <c r="P796" s="644"/>
      <c r="Q796" s="621"/>
      <c r="R796" s="644"/>
      <c r="S796" s="640"/>
    </row>
    <row r="797" spans="3:19" s="646" customFormat="1" x14ac:dyDescent="0.35">
      <c r="C797" s="643"/>
      <c r="D797" s="621"/>
      <c r="E797" s="644"/>
      <c r="F797" s="644"/>
      <c r="G797" s="644"/>
      <c r="H797" s="644"/>
      <c r="I797" s="644"/>
      <c r="J797" s="645"/>
      <c r="K797" s="645"/>
      <c r="L797" s="645"/>
      <c r="M797" s="645"/>
      <c r="N797" s="644"/>
      <c r="O797" s="644"/>
      <c r="P797" s="644"/>
      <c r="Q797" s="621"/>
      <c r="R797" s="644"/>
      <c r="S797" s="640"/>
    </row>
    <row r="798" spans="3:19" s="646" customFormat="1" x14ac:dyDescent="0.35">
      <c r="C798" s="643"/>
      <c r="D798" s="621"/>
      <c r="E798" s="644"/>
      <c r="F798" s="644"/>
      <c r="G798" s="644"/>
      <c r="H798" s="644"/>
      <c r="I798" s="644"/>
      <c r="J798" s="645"/>
      <c r="K798" s="645"/>
      <c r="L798" s="645"/>
      <c r="M798" s="645"/>
      <c r="N798" s="644"/>
      <c r="O798" s="644"/>
      <c r="P798" s="644"/>
      <c r="Q798" s="621"/>
      <c r="R798" s="644"/>
      <c r="S798" s="640"/>
    </row>
    <row r="799" spans="3:19" s="646" customFormat="1" x14ac:dyDescent="0.35">
      <c r="C799" s="643"/>
      <c r="D799" s="621"/>
      <c r="E799" s="644"/>
      <c r="F799" s="644"/>
      <c r="G799" s="644"/>
      <c r="H799" s="644"/>
      <c r="I799" s="644"/>
      <c r="J799" s="645"/>
      <c r="K799" s="645"/>
      <c r="L799" s="645"/>
      <c r="M799" s="645"/>
      <c r="N799" s="644"/>
      <c r="O799" s="644"/>
      <c r="P799" s="644"/>
      <c r="Q799" s="621"/>
      <c r="R799" s="644"/>
      <c r="S799" s="640"/>
    </row>
    <row r="800" spans="3:19" s="646" customFormat="1" x14ac:dyDescent="0.35">
      <c r="C800" s="643"/>
      <c r="D800" s="621"/>
      <c r="E800" s="644"/>
      <c r="F800" s="644"/>
      <c r="G800" s="644"/>
      <c r="H800" s="644"/>
      <c r="I800" s="644"/>
      <c r="J800" s="645"/>
      <c r="K800" s="645"/>
      <c r="L800" s="645"/>
      <c r="M800" s="645"/>
      <c r="N800" s="644"/>
      <c r="O800" s="644"/>
      <c r="P800" s="644"/>
      <c r="Q800" s="621"/>
      <c r="R800" s="644"/>
      <c r="S800" s="640"/>
    </row>
    <row r="801" spans="3:19" s="646" customFormat="1" x14ac:dyDescent="0.35">
      <c r="C801" s="643"/>
      <c r="D801" s="621"/>
      <c r="E801" s="644"/>
      <c r="F801" s="644"/>
      <c r="G801" s="644"/>
      <c r="H801" s="644"/>
      <c r="I801" s="644"/>
      <c r="J801" s="645"/>
      <c r="K801" s="645"/>
      <c r="L801" s="645"/>
      <c r="M801" s="645"/>
      <c r="N801" s="644"/>
      <c r="O801" s="644"/>
      <c r="P801" s="644"/>
      <c r="Q801" s="621"/>
      <c r="R801" s="644"/>
      <c r="S801" s="640"/>
    </row>
    <row r="802" spans="3:19" s="646" customFormat="1" x14ac:dyDescent="0.35">
      <c r="C802" s="643"/>
      <c r="D802" s="621"/>
      <c r="E802" s="644"/>
      <c r="F802" s="644"/>
      <c r="G802" s="644"/>
      <c r="H802" s="644"/>
      <c r="I802" s="644"/>
      <c r="J802" s="645"/>
      <c r="K802" s="645"/>
      <c r="L802" s="645"/>
      <c r="M802" s="645"/>
      <c r="N802" s="644"/>
      <c r="O802" s="644"/>
      <c r="P802" s="644"/>
      <c r="Q802" s="621"/>
      <c r="R802" s="644"/>
      <c r="S802" s="640"/>
    </row>
    <row r="803" spans="3:19" s="646" customFormat="1" x14ac:dyDescent="0.35">
      <c r="C803" s="643"/>
      <c r="D803" s="621"/>
      <c r="E803" s="644"/>
      <c r="F803" s="644"/>
      <c r="G803" s="644"/>
      <c r="H803" s="644"/>
      <c r="I803" s="644"/>
      <c r="J803" s="645"/>
      <c r="K803" s="645"/>
      <c r="L803" s="645"/>
      <c r="M803" s="645"/>
      <c r="N803" s="644"/>
      <c r="O803" s="644"/>
      <c r="P803" s="644"/>
      <c r="Q803" s="621"/>
      <c r="R803" s="644"/>
      <c r="S803" s="640"/>
    </row>
    <row r="804" spans="3:19" s="646" customFormat="1" x14ac:dyDescent="0.35">
      <c r="C804" s="643"/>
      <c r="D804" s="621"/>
      <c r="E804" s="644"/>
      <c r="F804" s="644"/>
      <c r="G804" s="644"/>
      <c r="H804" s="644"/>
      <c r="I804" s="644"/>
      <c r="J804" s="645"/>
      <c r="K804" s="645"/>
      <c r="L804" s="645"/>
      <c r="M804" s="645"/>
      <c r="N804" s="644"/>
      <c r="O804" s="644"/>
      <c r="P804" s="644"/>
      <c r="Q804" s="621"/>
      <c r="R804" s="644"/>
      <c r="S804" s="640"/>
    </row>
    <row r="805" spans="3:19" s="646" customFormat="1" x14ac:dyDescent="0.35">
      <c r="C805" s="643"/>
      <c r="D805" s="621"/>
      <c r="E805" s="644"/>
      <c r="F805" s="644"/>
      <c r="G805" s="644"/>
      <c r="H805" s="644"/>
      <c r="I805" s="644"/>
      <c r="J805" s="645"/>
      <c r="K805" s="645"/>
      <c r="L805" s="645"/>
      <c r="M805" s="645"/>
      <c r="N805" s="644"/>
      <c r="O805" s="644"/>
      <c r="P805" s="644"/>
      <c r="Q805" s="621"/>
      <c r="R805" s="644"/>
      <c r="S805" s="640"/>
    </row>
    <row r="806" spans="3:19" s="646" customFormat="1" x14ac:dyDescent="0.35">
      <c r="C806" s="643"/>
      <c r="D806" s="621"/>
      <c r="E806" s="644"/>
      <c r="F806" s="644"/>
      <c r="G806" s="644"/>
      <c r="H806" s="644"/>
      <c r="I806" s="644"/>
      <c r="J806" s="645"/>
      <c r="K806" s="645"/>
      <c r="L806" s="645"/>
      <c r="M806" s="645"/>
      <c r="N806" s="644"/>
      <c r="O806" s="644"/>
      <c r="P806" s="644"/>
      <c r="Q806" s="621"/>
      <c r="R806" s="644"/>
      <c r="S806" s="640"/>
    </row>
    <row r="807" spans="3:19" s="646" customFormat="1" x14ac:dyDescent="0.35">
      <c r="C807" s="643"/>
      <c r="D807" s="621"/>
      <c r="E807" s="644"/>
      <c r="F807" s="644"/>
      <c r="G807" s="644"/>
      <c r="H807" s="644"/>
      <c r="I807" s="644"/>
      <c r="J807" s="645"/>
      <c r="K807" s="645"/>
      <c r="L807" s="645"/>
      <c r="M807" s="645"/>
      <c r="N807" s="644"/>
      <c r="O807" s="644"/>
      <c r="P807" s="644"/>
      <c r="Q807" s="621"/>
      <c r="R807" s="644"/>
      <c r="S807" s="640"/>
    </row>
    <row r="808" spans="3:19" s="646" customFormat="1" x14ac:dyDescent="0.35">
      <c r="C808" s="643"/>
      <c r="D808" s="621"/>
      <c r="E808" s="644"/>
      <c r="F808" s="644"/>
      <c r="G808" s="644"/>
      <c r="H808" s="644"/>
      <c r="I808" s="644"/>
      <c r="J808" s="645"/>
      <c r="K808" s="645"/>
      <c r="L808" s="645"/>
      <c r="M808" s="645"/>
      <c r="N808" s="644"/>
      <c r="O808" s="644"/>
      <c r="P808" s="644"/>
      <c r="Q808" s="621"/>
      <c r="R808" s="644"/>
      <c r="S808" s="640"/>
    </row>
    <row r="809" spans="3:19" s="646" customFormat="1" x14ac:dyDescent="0.35">
      <c r="C809" s="643"/>
      <c r="D809" s="621"/>
      <c r="E809" s="644"/>
      <c r="F809" s="644"/>
      <c r="G809" s="644"/>
      <c r="H809" s="644"/>
      <c r="I809" s="644"/>
      <c r="J809" s="645"/>
      <c r="K809" s="645"/>
      <c r="L809" s="645"/>
      <c r="M809" s="645"/>
      <c r="N809" s="644"/>
      <c r="O809" s="644"/>
      <c r="P809" s="644"/>
      <c r="Q809" s="621"/>
      <c r="R809" s="644"/>
      <c r="S809" s="640"/>
    </row>
    <row r="810" spans="3:19" s="646" customFormat="1" x14ac:dyDescent="0.35">
      <c r="C810" s="643"/>
      <c r="D810" s="621"/>
      <c r="E810" s="644"/>
      <c r="F810" s="644"/>
      <c r="G810" s="644"/>
      <c r="H810" s="644"/>
      <c r="I810" s="644"/>
      <c r="J810" s="645"/>
      <c r="K810" s="645"/>
      <c r="L810" s="645"/>
      <c r="M810" s="645"/>
      <c r="N810" s="644"/>
      <c r="O810" s="644"/>
      <c r="P810" s="644"/>
      <c r="Q810" s="621"/>
      <c r="R810" s="644"/>
      <c r="S810" s="640"/>
    </row>
    <row r="811" spans="3:19" s="646" customFormat="1" x14ac:dyDescent="0.35">
      <c r="C811" s="643"/>
      <c r="D811" s="621"/>
      <c r="E811" s="644"/>
      <c r="F811" s="644"/>
      <c r="G811" s="644"/>
      <c r="H811" s="644"/>
      <c r="I811" s="644"/>
      <c r="J811" s="645"/>
      <c r="K811" s="645"/>
      <c r="L811" s="645"/>
      <c r="M811" s="645"/>
      <c r="N811" s="644"/>
      <c r="O811" s="644"/>
      <c r="P811" s="644"/>
      <c r="Q811" s="621"/>
      <c r="R811" s="644"/>
      <c r="S811" s="640"/>
    </row>
    <row r="812" spans="3:19" s="646" customFormat="1" x14ac:dyDescent="0.35">
      <c r="C812" s="643"/>
      <c r="D812" s="621"/>
      <c r="E812" s="644"/>
      <c r="F812" s="644"/>
      <c r="G812" s="644"/>
      <c r="H812" s="644"/>
      <c r="I812" s="644"/>
      <c r="J812" s="645"/>
      <c r="K812" s="645"/>
      <c r="L812" s="645"/>
      <c r="M812" s="645"/>
      <c r="N812" s="644"/>
      <c r="O812" s="644"/>
      <c r="P812" s="644"/>
      <c r="Q812" s="621"/>
      <c r="R812" s="644"/>
      <c r="S812" s="640"/>
    </row>
    <row r="813" spans="3:19" s="646" customFormat="1" x14ac:dyDescent="0.35">
      <c r="C813" s="643"/>
      <c r="D813" s="621"/>
      <c r="E813" s="644"/>
      <c r="F813" s="644"/>
      <c r="G813" s="644"/>
      <c r="H813" s="644"/>
      <c r="I813" s="644"/>
      <c r="J813" s="645"/>
      <c r="K813" s="645"/>
      <c r="L813" s="645"/>
      <c r="M813" s="645"/>
      <c r="N813" s="644"/>
      <c r="O813" s="644"/>
      <c r="P813" s="644"/>
      <c r="Q813" s="621"/>
      <c r="R813" s="644"/>
      <c r="S813" s="640"/>
    </row>
    <row r="814" spans="3:19" s="646" customFormat="1" x14ac:dyDescent="0.35">
      <c r="C814" s="643"/>
      <c r="D814" s="621"/>
      <c r="E814" s="644"/>
      <c r="F814" s="644"/>
      <c r="G814" s="644"/>
      <c r="H814" s="644"/>
      <c r="I814" s="644"/>
      <c r="J814" s="645"/>
      <c r="K814" s="645"/>
      <c r="L814" s="645"/>
      <c r="M814" s="645"/>
      <c r="N814" s="644"/>
      <c r="O814" s="644"/>
      <c r="P814" s="644"/>
      <c r="Q814" s="621"/>
      <c r="R814" s="644"/>
      <c r="S814" s="640"/>
    </row>
    <row r="815" spans="3:19" s="646" customFormat="1" x14ac:dyDescent="0.35">
      <c r="C815" s="643"/>
      <c r="D815" s="621"/>
      <c r="E815" s="644"/>
      <c r="F815" s="644"/>
      <c r="G815" s="644"/>
      <c r="H815" s="644"/>
      <c r="I815" s="644"/>
      <c r="J815" s="645"/>
      <c r="K815" s="645"/>
      <c r="L815" s="645"/>
      <c r="M815" s="645"/>
      <c r="N815" s="644"/>
      <c r="O815" s="644"/>
      <c r="P815" s="644"/>
      <c r="Q815" s="621"/>
      <c r="R815" s="644"/>
      <c r="S815" s="640"/>
    </row>
    <row r="816" spans="3:19" s="646" customFormat="1" x14ac:dyDescent="0.35">
      <c r="C816" s="643"/>
      <c r="D816" s="621"/>
      <c r="E816" s="644"/>
      <c r="F816" s="644"/>
      <c r="G816" s="644"/>
      <c r="H816" s="644"/>
      <c r="I816" s="644"/>
      <c r="J816" s="645"/>
      <c r="K816" s="645"/>
      <c r="L816" s="645"/>
      <c r="M816" s="645"/>
      <c r="N816" s="644"/>
      <c r="O816" s="644"/>
      <c r="P816" s="644"/>
      <c r="Q816" s="621"/>
      <c r="R816" s="644"/>
      <c r="S816" s="640"/>
    </row>
    <row r="817" spans="3:19" s="646" customFormat="1" x14ac:dyDescent="0.35">
      <c r="C817" s="643"/>
      <c r="D817" s="621"/>
      <c r="E817" s="644"/>
      <c r="F817" s="644"/>
      <c r="G817" s="644"/>
      <c r="H817" s="644"/>
      <c r="I817" s="644"/>
      <c r="J817" s="645"/>
      <c r="K817" s="645"/>
      <c r="L817" s="645"/>
      <c r="M817" s="645"/>
      <c r="N817" s="644"/>
      <c r="O817" s="644"/>
      <c r="P817" s="644"/>
      <c r="Q817" s="621"/>
      <c r="R817" s="644"/>
      <c r="S817" s="640"/>
    </row>
    <row r="818" spans="3:19" s="646" customFormat="1" x14ac:dyDescent="0.35">
      <c r="C818" s="643"/>
      <c r="D818" s="621"/>
      <c r="E818" s="644"/>
      <c r="F818" s="644"/>
      <c r="G818" s="644"/>
      <c r="H818" s="644"/>
      <c r="I818" s="644"/>
      <c r="J818" s="645"/>
      <c r="K818" s="645"/>
      <c r="L818" s="645"/>
      <c r="M818" s="645"/>
      <c r="N818" s="644"/>
      <c r="O818" s="644"/>
      <c r="P818" s="644"/>
      <c r="Q818" s="621"/>
      <c r="R818" s="644"/>
      <c r="S818" s="640"/>
    </row>
    <row r="819" spans="3:19" s="646" customFormat="1" x14ac:dyDescent="0.35">
      <c r="C819" s="643"/>
      <c r="D819" s="621"/>
      <c r="E819" s="644"/>
      <c r="F819" s="644"/>
      <c r="G819" s="644"/>
      <c r="H819" s="644"/>
      <c r="I819" s="644"/>
      <c r="J819" s="645"/>
      <c r="K819" s="645"/>
      <c r="L819" s="645"/>
      <c r="M819" s="645"/>
      <c r="N819" s="644"/>
      <c r="O819" s="644"/>
      <c r="P819" s="644"/>
      <c r="Q819" s="621"/>
      <c r="R819" s="644"/>
      <c r="S819" s="640"/>
    </row>
    <row r="820" spans="3:19" s="646" customFormat="1" x14ac:dyDescent="0.35">
      <c r="C820" s="643"/>
      <c r="D820" s="621"/>
      <c r="E820" s="644"/>
      <c r="F820" s="644"/>
      <c r="G820" s="644"/>
      <c r="H820" s="644"/>
      <c r="I820" s="644"/>
      <c r="J820" s="645"/>
      <c r="K820" s="645"/>
      <c r="L820" s="645"/>
      <c r="M820" s="645"/>
      <c r="N820" s="644"/>
      <c r="O820" s="644"/>
      <c r="P820" s="644"/>
      <c r="Q820" s="621"/>
      <c r="R820" s="644"/>
      <c r="S820" s="640"/>
    </row>
    <row r="821" spans="3:19" s="646" customFormat="1" x14ac:dyDescent="0.35">
      <c r="C821" s="643"/>
      <c r="D821" s="621"/>
      <c r="E821" s="644"/>
      <c r="F821" s="644"/>
      <c r="G821" s="644"/>
      <c r="H821" s="644"/>
      <c r="I821" s="644"/>
      <c r="J821" s="645"/>
      <c r="K821" s="645"/>
      <c r="L821" s="645"/>
      <c r="M821" s="645"/>
      <c r="N821" s="644"/>
      <c r="O821" s="644"/>
      <c r="P821" s="644"/>
      <c r="Q821" s="621"/>
      <c r="R821" s="644"/>
      <c r="S821" s="640"/>
    </row>
    <row r="822" spans="3:19" s="646" customFormat="1" x14ac:dyDescent="0.35">
      <c r="C822" s="643"/>
      <c r="D822" s="621"/>
      <c r="E822" s="644"/>
      <c r="F822" s="644"/>
      <c r="G822" s="644"/>
      <c r="H822" s="644"/>
      <c r="I822" s="644"/>
      <c r="J822" s="645"/>
      <c r="K822" s="645"/>
      <c r="L822" s="645"/>
      <c r="M822" s="645"/>
      <c r="N822" s="644"/>
      <c r="O822" s="644"/>
      <c r="P822" s="644"/>
      <c r="Q822" s="621"/>
      <c r="R822" s="644"/>
      <c r="S822" s="640"/>
    </row>
    <row r="823" spans="3:19" s="646" customFormat="1" x14ac:dyDescent="0.35">
      <c r="C823" s="643"/>
      <c r="D823" s="621"/>
      <c r="E823" s="644"/>
      <c r="F823" s="644"/>
      <c r="G823" s="644"/>
      <c r="H823" s="644"/>
      <c r="I823" s="644"/>
      <c r="J823" s="645"/>
      <c r="K823" s="645"/>
      <c r="L823" s="645"/>
      <c r="M823" s="645"/>
      <c r="N823" s="644"/>
      <c r="O823" s="644"/>
      <c r="P823" s="644"/>
      <c r="Q823" s="621"/>
      <c r="R823" s="644"/>
      <c r="S823" s="640"/>
    </row>
    <row r="824" spans="3:19" s="646" customFormat="1" x14ac:dyDescent="0.35">
      <c r="C824" s="643"/>
      <c r="D824" s="621"/>
      <c r="E824" s="644"/>
      <c r="F824" s="644"/>
      <c r="G824" s="644"/>
      <c r="H824" s="644"/>
      <c r="I824" s="644"/>
      <c r="J824" s="645"/>
      <c r="K824" s="645"/>
      <c r="L824" s="645"/>
      <c r="M824" s="645"/>
      <c r="N824" s="644"/>
      <c r="O824" s="644"/>
      <c r="P824" s="644"/>
      <c r="Q824" s="621"/>
      <c r="R824" s="644"/>
      <c r="S824" s="640"/>
    </row>
    <row r="825" spans="3:19" s="646" customFormat="1" x14ac:dyDescent="0.35">
      <c r="C825" s="643"/>
      <c r="D825" s="621"/>
      <c r="E825" s="644"/>
      <c r="F825" s="644"/>
      <c r="G825" s="644"/>
      <c r="H825" s="644"/>
      <c r="I825" s="644"/>
      <c r="J825" s="645"/>
      <c r="K825" s="645"/>
      <c r="L825" s="645"/>
      <c r="M825" s="645"/>
      <c r="N825" s="644"/>
      <c r="O825" s="644"/>
      <c r="P825" s="644"/>
      <c r="Q825" s="621"/>
      <c r="R825" s="644"/>
      <c r="S825" s="640"/>
    </row>
    <row r="826" spans="3:19" s="646" customFormat="1" x14ac:dyDescent="0.35">
      <c r="C826" s="643"/>
      <c r="D826" s="621"/>
      <c r="E826" s="644"/>
      <c r="F826" s="644"/>
      <c r="G826" s="644"/>
      <c r="H826" s="644"/>
      <c r="I826" s="644"/>
      <c r="J826" s="645"/>
      <c r="K826" s="645"/>
      <c r="L826" s="645"/>
      <c r="M826" s="645"/>
      <c r="N826" s="644"/>
      <c r="O826" s="644"/>
      <c r="P826" s="644"/>
      <c r="Q826" s="621"/>
      <c r="R826" s="644"/>
      <c r="S826" s="640"/>
    </row>
    <row r="827" spans="3:19" s="646" customFormat="1" x14ac:dyDescent="0.35">
      <c r="C827" s="643"/>
      <c r="D827" s="621"/>
      <c r="E827" s="644"/>
      <c r="F827" s="644"/>
      <c r="G827" s="644"/>
      <c r="H827" s="644"/>
      <c r="I827" s="644"/>
      <c r="J827" s="645"/>
      <c r="K827" s="645"/>
      <c r="L827" s="645"/>
      <c r="M827" s="645"/>
      <c r="N827" s="644"/>
      <c r="O827" s="644"/>
      <c r="P827" s="644"/>
      <c r="Q827" s="621"/>
      <c r="R827" s="644"/>
      <c r="S827" s="640"/>
    </row>
    <row r="828" spans="3:19" s="646" customFormat="1" x14ac:dyDescent="0.35">
      <c r="C828" s="643"/>
      <c r="D828" s="621"/>
      <c r="E828" s="644"/>
      <c r="F828" s="644"/>
      <c r="G828" s="644"/>
      <c r="H828" s="644"/>
      <c r="I828" s="644"/>
      <c r="J828" s="645"/>
      <c r="K828" s="645"/>
      <c r="L828" s="645"/>
      <c r="M828" s="645"/>
      <c r="N828" s="644"/>
      <c r="O828" s="644"/>
      <c r="P828" s="644"/>
      <c r="Q828" s="621"/>
      <c r="R828" s="644"/>
      <c r="S828" s="640"/>
    </row>
  </sheetData>
  <mergeCells count="5">
    <mergeCell ref="A3:A4"/>
    <mergeCell ref="B3:B4"/>
    <mergeCell ref="C3:C4"/>
    <mergeCell ref="D3:D4"/>
    <mergeCell ref="N3:S3"/>
  </mergeCells>
  <conditionalFormatting sqref="BA6:BA63">
    <cfRule type="cellIs" dxfId="0" priority="1" operator="greaterThan">
      <formula>0.3</formula>
    </cfRule>
  </conditionalFormatting>
  <dataValidations count="1">
    <dataValidation type="list" allowBlank="1" showInputMessage="1" showErrorMessage="1" sqref="D6:D63" xr:uid="{AC1D3336-CC02-4ACE-B6BB-A2D1ECA73722}">
      <formula1>#REF!</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97533A-C194-43BB-9E4F-43F1CD643AC7}">
  <dimension ref="A1:CZ124"/>
  <sheetViews>
    <sheetView zoomScale="54" workbookViewId="0">
      <selection sqref="A1:E2"/>
    </sheetView>
  </sheetViews>
  <sheetFormatPr baseColWidth="10" defaultColWidth="11.453125" defaultRowHeight="14.5" x14ac:dyDescent="0.35"/>
  <cols>
    <col min="1" max="1" width="8.7265625" style="533" customWidth="1"/>
    <col min="2" max="2" width="22.7265625" style="533" customWidth="1"/>
    <col min="3" max="3" width="50.453125" style="533" customWidth="1"/>
    <col min="4" max="4" width="11.453125" style="533"/>
    <col min="5" max="5" width="13.26953125" style="533" customWidth="1"/>
    <col min="6" max="7" width="15.7265625" style="533" customWidth="1"/>
    <col min="8" max="8" width="19.54296875" style="533" customWidth="1"/>
    <col min="9" max="23" width="15.7265625" style="533" customWidth="1"/>
    <col min="24" max="24" width="27.453125" style="533" customWidth="1"/>
    <col min="25" max="30" width="15.7265625" style="533" customWidth="1"/>
    <col min="31" max="34" width="17" style="533" customWidth="1"/>
    <col min="35" max="35" width="20.81640625" style="533" customWidth="1"/>
    <col min="36" max="39" width="17" style="533" customWidth="1"/>
    <col min="40" max="40" width="20.1796875" style="533" customWidth="1"/>
    <col min="41" max="44" width="17" style="533" customWidth="1"/>
    <col min="45" max="45" width="19.1796875" style="533" customWidth="1"/>
    <col min="46" max="49" width="17" style="533" customWidth="1"/>
    <col min="50" max="50" width="18.54296875" style="533" customWidth="1"/>
    <col min="51" max="54" width="17" style="533" customWidth="1"/>
    <col min="55" max="55" width="19.81640625" style="533" customWidth="1"/>
    <col min="56" max="59" width="17" style="533" customWidth="1"/>
    <col min="60" max="60" width="20.54296875" style="533" customWidth="1"/>
    <col min="61" max="64" width="17" style="533" customWidth="1"/>
    <col min="65" max="65" width="18.54296875" style="533" customWidth="1"/>
    <col min="66" max="69" width="17" style="533" customWidth="1"/>
    <col min="70" max="70" width="19.7265625" style="533" customWidth="1"/>
    <col min="71" max="73" width="17" style="533" customWidth="1"/>
    <col min="74" max="74" width="18.81640625" style="533" customWidth="1"/>
    <col min="75" max="75" width="20.453125" style="533" customWidth="1"/>
    <col min="76" max="80" width="17" style="533" customWidth="1"/>
    <col min="81" max="81" width="19" style="533" customWidth="1"/>
    <col min="82" max="85" width="17" style="533" customWidth="1"/>
    <col min="86" max="86" width="19" style="533" customWidth="1"/>
    <col min="87" max="90" width="17" style="533" customWidth="1"/>
    <col min="91" max="91" width="20.1796875" style="533" customWidth="1"/>
    <col min="92" max="94" width="17" style="533" customWidth="1"/>
    <col min="95" max="97" width="15.7265625" style="562" customWidth="1"/>
    <col min="98" max="98" width="15.7265625" style="563" customWidth="1"/>
    <col min="99" max="99" width="15.54296875" style="562" customWidth="1"/>
    <col min="100" max="100" width="18.26953125" style="562" customWidth="1"/>
    <col min="101" max="101" width="18.26953125" style="564" customWidth="1"/>
    <col min="102" max="102" width="18" style="562" customWidth="1"/>
    <col min="103" max="103" width="56.1796875" style="533" customWidth="1"/>
    <col min="104" max="16384" width="11.453125" style="533"/>
  </cols>
  <sheetData>
    <row r="1" spans="1:104" ht="120" customHeight="1" x14ac:dyDescent="0.35">
      <c r="A1" s="842" t="s">
        <v>1331</v>
      </c>
      <c r="B1" s="843"/>
      <c r="C1" s="843"/>
      <c r="D1" s="843"/>
      <c r="E1" s="844"/>
      <c r="F1" s="828" t="s">
        <v>895</v>
      </c>
      <c r="G1" s="829"/>
      <c r="H1" s="830"/>
      <c r="I1" s="834" t="s">
        <v>896</v>
      </c>
      <c r="J1" s="835"/>
      <c r="K1" s="836"/>
      <c r="L1" s="828" t="s">
        <v>897</v>
      </c>
      <c r="M1" s="829"/>
      <c r="N1" s="830"/>
      <c r="O1" s="834" t="s">
        <v>898</v>
      </c>
      <c r="P1" s="835"/>
      <c r="Q1" s="836"/>
      <c r="R1" s="828" t="s">
        <v>899</v>
      </c>
      <c r="S1" s="829"/>
      <c r="T1" s="830"/>
      <c r="U1" s="834" t="s">
        <v>900</v>
      </c>
      <c r="V1" s="835"/>
      <c r="W1" s="836"/>
      <c r="X1" s="840" t="s">
        <v>901</v>
      </c>
      <c r="Y1" s="834" t="s">
        <v>902</v>
      </c>
      <c r="Z1" s="835"/>
      <c r="AA1" s="836"/>
      <c r="AB1" s="828" t="s">
        <v>903</v>
      </c>
      <c r="AC1" s="829"/>
      <c r="AD1" s="830"/>
      <c r="AE1" s="834" t="s">
        <v>904</v>
      </c>
      <c r="AF1" s="835"/>
      <c r="AG1" s="835"/>
      <c r="AH1" s="835"/>
      <c r="AI1" s="836"/>
      <c r="AJ1" s="828" t="s">
        <v>905</v>
      </c>
      <c r="AK1" s="829"/>
      <c r="AL1" s="829"/>
      <c r="AM1" s="829"/>
      <c r="AN1" s="830"/>
      <c r="AO1" s="834" t="s">
        <v>906</v>
      </c>
      <c r="AP1" s="835"/>
      <c r="AQ1" s="835"/>
      <c r="AR1" s="835"/>
      <c r="AS1" s="836"/>
      <c r="AT1" s="828" t="s">
        <v>907</v>
      </c>
      <c r="AU1" s="829"/>
      <c r="AV1" s="829"/>
      <c r="AW1" s="829"/>
      <c r="AX1" s="830"/>
      <c r="AY1" s="834" t="s">
        <v>908</v>
      </c>
      <c r="AZ1" s="835"/>
      <c r="BA1" s="835"/>
      <c r="BB1" s="835"/>
      <c r="BC1" s="836"/>
      <c r="BD1" s="828" t="s">
        <v>909</v>
      </c>
      <c r="BE1" s="829"/>
      <c r="BF1" s="829"/>
      <c r="BG1" s="829"/>
      <c r="BH1" s="830"/>
      <c r="BI1" s="834" t="s">
        <v>910</v>
      </c>
      <c r="BJ1" s="835"/>
      <c r="BK1" s="835"/>
      <c r="BL1" s="835"/>
      <c r="BM1" s="836"/>
      <c r="BN1" s="828" t="s">
        <v>911</v>
      </c>
      <c r="BO1" s="829"/>
      <c r="BP1" s="829"/>
      <c r="BQ1" s="829"/>
      <c r="BR1" s="830"/>
      <c r="BS1" s="834" t="s">
        <v>912</v>
      </c>
      <c r="BT1" s="835"/>
      <c r="BU1" s="835"/>
      <c r="BV1" s="835"/>
      <c r="BW1" s="836"/>
      <c r="BX1" s="828" t="s">
        <v>913</v>
      </c>
      <c r="BY1" s="829"/>
      <c r="BZ1" s="830"/>
      <c r="CA1" s="834" t="s">
        <v>914</v>
      </c>
      <c r="CB1" s="835"/>
      <c r="CC1" s="836"/>
      <c r="CD1" s="828" t="s">
        <v>915</v>
      </c>
      <c r="CE1" s="829"/>
      <c r="CF1" s="829"/>
      <c r="CG1" s="829"/>
      <c r="CH1" s="830"/>
      <c r="CI1" s="834" t="s">
        <v>916</v>
      </c>
      <c r="CJ1" s="835"/>
      <c r="CK1" s="835"/>
      <c r="CL1" s="835"/>
      <c r="CM1" s="836"/>
      <c r="CN1" s="828" t="s">
        <v>917</v>
      </c>
      <c r="CO1" s="829"/>
      <c r="CP1" s="830"/>
      <c r="CQ1" s="817" t="s">
        <v>247</v>
      </c>
      <c r="CR1" s="818"/>
      <c r="CS1" s="818"/>
      <c r="CT1" s="819"/>
      <c r="CU1" s="823" t="s">
        <v>605</v>
      </c>
      <c r="CV1" s="823"/>
      <c r="CW1" s="824"/>
      <c r="CX1" s="825"/>
      <c r="CY1" s="811" t="s">
        <v>617</v>
      </c>
    </row>
    <row r="2" spans="1:104" ht="81" customHeight="1" x14ac:dyDescent="0.35">
      <c r="A2" s="845"/>
      <c r="B2" s="846"/>
      <c r="C2" s="846"/>
      <c r="D2" s="846"/>
      <c r="E2" s="847"/>
      <c r="F2" s="831"/>
      <c r="G2" s="832"/>
      <c r="H2" s="833"/>
      <c r="I2" s="837"/>
      <c r="J2" s="838"/>
      <c r="K2" s="839"/>
      <c r="L2" s="831"/>
      <c r="M2" s="832"/>
      <c r="N2" s="833"/>
      <c r="O2" s="837"/>
      <c r="P2" s="838"/>
      <c r="Q2" s="839"/>
      <c r="R2" s="831"/>
      <c r="S2" s="832"/>
      <c r="T2" s="833"/>
      <c r="U2" s="837"/>
      <c r="V2" s="838"/>
      <c r="W2" s="839"/>
      <c r="X2" s="841"/>
      <c r="Y2" s="837"/>
      <c r="Z2" s="838"/>
      <c r="AA2" s="839"/>
      <c r="AB2" s="831"/>
      <c r="AC2" s="832"/>
      <c r="AD2" s="833"/>
      <c r="AE2" s="837"/>
      <c r="AF2" s="838"/>
      <c r="AG2" s="838"/>
      <c r="AH2" s="838"/>
      <c r="AI2" s="839"/>
      <c r="AJ2" s="831"/>
      <c r="AK2" s="832"/>
      <c r="AL2" s="832"/>
      <c r="AM2" s="832"/>
      <c r="AN2" s="833"/>
      <c r="AO2" s="837"/>
      <c r="AP2" s="838"/>
      <c r="AQ2" s="838"/>
      <c r="AR2" s="838"/>
      <c r="AS2" s="839"/>
      <c r="AT2" s="831"/>
      <c r="AU2" s="832"/>
      <c r="AV2" s="832"/>
      <c r="AW2" s="832"/>
      <c r="AX2" s="833"/>
      <c r="AY2" s="837"/>
      <c r="AZ2" s="838"/>
      <c r="BA2" s="838"/>
      <c r="BB2" s="838"/>
      <c r="BC2" s="839"/>
      <c r="BD2" s="831"/>
      <c r="BE2" s="832"/>
      <c r="BF2" s="832"/>
      <c r="BG2" s="832"/>
      <c r="BH2" s="833"/>
      <c r="BI2" s="837"/>
      <c r="BJ2" s="838"/>
      <c r="BK2" s="838"/>
      <c r="BL2" s="838"/>
      <c r="BM2" s="839"/>
      <c r="BN2" s="831"/>
      <c r="BO2" s="832"/>
      <c r="BP2" s="832"/>
      <c r="BQ2" s="832"/>
      <c r="BR2" s="833"/>
      <c r="BS2" s="837"/>
      <c r="BT2" s="838"/>
      <c r="BU2" s="838"/>
      <c r="BV2" s="838"/>
      <c r="BW2" s="839"/>
      <c r="BX2" s="831"/>
      <c r="BY2" s="832"/>
      <c r="BZ2" s="833"/>
      <c r="CA2" s="837"/>
      <c r="CB2" s="838"/>
      <c r="CC2" s="839"/>
      <c r="CD2" s="831"/>
      <c r="CE2" s="832"/>
      <c r="CF2" s="832"/>
      <c r="CG2" s="832"/>
      <c r="CH2" s="833"/>
      <c r="CI2" s="837"/>
      <c r="CJ2" s="838"/>
      <c r="CK2" s="838"/>
      <c r="CL2" s="838"/>
      <c r="CM2" s="839"/>
      <c r="CN2" s="831"/>
      <c r="CO2" s="832"/>
      <c r="CP2" s="833"/>
      <c r="CQ2" s="820"/>
      <c r="CR2" s="821"/>
      <c r="CS2" s="821"/>
      <c r="CT2" s="822"/>
      <c r="CU2" s="823"/>
      <c r="CV2" s="823"/>
      <c r="CW2" s="826"/>
      <c r="CX2" s="827"/>
      <c r="CY2" s="812"/>
    </row>
    <row r="3" spans="1:104" ht="66.75" customHeight="1" x14ac:dyDescent="0.35">
      <c r="A3" s="535" t="s">
        <v>918</v>
      </c>
      <c r="B3" s="535" t="s">
        <v>4</v>
      </c>
      <c r="C3" s="535" t="s">
        <v>5</v>
      </c>
      <c r="D3" s="535" t="s">
        <v>6</v>
      </c>
      <c r="E3" s="535" t="s">
        <v>325</v>
      </c>
      <c r="F3" s="536" t="s">
        <v>919</v>
      </c>
      <c r="G3" s="536" t="s">
        <v>920</v>
      </c>
      <c r="H3" s="536" t="s">
        <v>609</v>
      </c>
      <c r="I3" s="536" t="s">
        <v>919</v>
      </c>
      <c r="J3" s="536" t="s">
        <v>920</v>
      </c>
      <c r="K3" s="536" t="s">
        <v>8</v>
      </c>
      <c r="L3" s="536" t="s">
        <v>919</v>
      </c>
      <c r="M3" s="536" t="s">
        <v>920</v>
      </c>
      <c r="N3" s="536" t="s">
        <v>8</v>
      </c>
      <c r="O3" s="536" t="s">
        <v>8</v>
      </c>
      <c r="P3" s="536" t="s">
        <v>920</v>
      </c>
      <c r="Q3" s="536" t="s">
        <v>8</v>
      </c>
      <c r="R3" s="536" t="s">
        <v>919</v>
      </c>
      <c r="S3" s="536" t="s">
        <v>920</v>
      </c>
      <c r="T3" s="536" t="s">
        <v>8</v>
      </c>
      <c r="U3" s="536" t="s">
        <v>919</v>
      </c>
      <c r="V3" s="536" t="s">
        <v>920</v>
      </c>
      <c r="W3" s="536" t="s">
        <v>8</v>
      </c>
      <c r="X3" s="536" t="s">
        <v>921</v>
      </c>
      <c r="Y3" s="536" t="s">
        <v>919</v>
      </c>
      <c r="Z3" s="536" t="s">
        <v>920</v>
      </c>
      <c r="AA3" s="536" t="s">
        <v>8</v>
      </c>
      <c r="AB3" s="536" t="s">
        <v>919</v>
      </c>
      <c r="AC3" s="536" t="s">
        <v>920</v>
      </c>
      <c r="AD3" s="536" t="s">
        <v>8</v>
      </c>
      <c r="AE3" s="536" t="s">
        <v>919</v>
      </c>
      <c r="AF3" s="536" t="s">
        <v>920</v>
      </c>
      <c r="AG3" s="536" t="s">
        <v>8</v>
      </c>
      <c r="AH3" s="536" t="s">
        <v>922</v>
      </c>
      <c r="AI3" s="536" t="s">
        <v>923</v>
      </c>
      <c r="AJ3" s="536" t="s">
        <v>919</v>
      </c>
      <c r="AK3" s="536" t="s">
        <v>920</v>
      </c>
      <c r="AL3" s="536" t="s">
        <v>8</v>
      </c>
      <c r="AM3" s="536" t="s">
        <v>922</v>
      </c>
      <c r="AN3" s="536" t="s">
        <v>923</v>
      </c>
      <c r="AO3" s="536" t="s">
        <v>919</v>
      </c>
      <c r="AP3" s="536" t="s">
        <v>920</v>
      </c>
      <c r="AQ3" s="536" t="s">
        <v>8</v>
      </c>
      <c r="AR3" s="536" t="s">
        <v>922</v>
      </c>
      <c r="AS3" s="536" t="s">
        <v>923</v>
      </c>
      <c r="AT3" s="536" t="s">
        <v>919</v>
      </c>
      <c r="AU3" s="536" t="s">
        <v>920</v>
      </c>
      <c r="AV3" s="536" t="s">
        <v>8</v>
      </c>
      <c r="AW3" s="536" t="s">
        <v>922</v>
      </c>
      <c r="AX3" s="536" t="s">
        <v>923</v>
      </c>
      <c r="AY3" s="536" t="s">
        <v>919</v>
      </c>
      <c r="AZ3" s="536" t="s">
        <v>920</v>
      </c>
      <c r="BA3" s="536" t="s">
        <v>8</v>
      </c>
      <c r="BB3" s="536" t="s">
        <v>922</v>
      </c>
      <c r="BC3" s="536" t="s">
        <v>923</v>
      </c>
      <c r="BD3" s="536" t="s">
        <v>919</v>
      </c>
      <c r="BE3" s="536" t="s">
        <v>920</v>
      </c>
      <c r="BF3" s="536" t="s">
        <v>8</v>
      </c>
      <c r="BG3" s="536" t="s">
        <v>922</v>
      </c>
      <c r="BH3" s="536" t="s">
        <v>923</v>
      </c>
      <c r="BI3" s="536" t="s">
        <v>919</v>
      </c>
      <c r="BJ3" s="536" t="s">
        <v>920</v>
      </c>
      <c r="BK3" s="536" t="s">
        <v>8</v>
      </c>
      <c r="BL3" s="536" t="s">
        <v>922</v>
      </c>
      <c r="BM3" s="536" t="s">
        <v>923</v>
      </c>
      <c r="BN3" s="536" t="s">
        <v>919</v>
      </c>
      <c r="BO3" s="536" t="s">
        <v>920</v>
      </c>
      <c r="BP3" s="536" t="s">
        <v>8</v>
      </c>
      <c r="BQ3" s="536" t="s">
        <v>922</v>
      </c>
      <c r="BR3" s="536" t="s">
        <v>923</v>
      </c>
      <c r="BS3" s="536" t="s">
        <v>919</v>
      </c>
      <c r="BT3" s="536" t="s">
        <v>920</v>
      </c>
      <c r="BU3" s="536" t="s">
        <v>8</v>
      </c>
      <c r="BV3" s="536" t="s">
        <v>922</v>
      </c>
      <c r="BW3" s="536" t="s">
        <v>923</v>
      </c>
      <c r="BX3" s="536" t="s">
        <v>919</v>
      </c>
      <c r="BY3" s="536" t="s">
        <v>920</v>
      </c>
      <c r="BZ3" s="536" t="s">
        <v>8</v>
      </c>
      <c r="CA3" s="536" t="s">
        <v>919</v>
      </c>
      <c r="CB3" s="536" t="s">
        <v>920</v>
      </c>
      <c r="CC3" s="536" t="s">
        <v>8</v>
      </c>
      <c r="CD3" s="536" t="s">
        <v>919</v>
      </c>
      <c r="CE3" s="536" t="s">
        <v>920</v>
      </c>
      <c r="CF3" s="536" t="s">
        <v>8</v>
      </c>
      <c r="CG3" s="536" t="s">
        <v>922</v>
      </c>
      <c r="CH3" s="536" t="s">
        <v>923</v>
      </c>
      <c r="CI3" s="536" t="s">
        <v>919</v>
      </c>
      <c r="CJ3" s="536" t="s">
        <v>920</v>
      </c>
      <c r="CK3" s="536" t="s">
        <v>8</v>
      </c>
      <c r="CL3" s="536" t="s">
        <v>922</v>
      </c>
      <c r="CM3" s="536" t="s">
        <v>923</v>
      </c>
      <c r="CN3" s="536" t="s">
        <v>919</v>
      </c>
      <c r="CO3" s="536" t="s">
        <v>920</v>
      </c>
      <c r="CP3" s="536" t="s">
        <v>8</v>
      </c>
      <c r="CQ3" s="537" t="s">
        <v>924</v>
      </c>
      <c r="CR3" s="537" t="s">
        <v>613</v>
      </c>
      <c r="CS3" s="537" t="s">
        <v>614</v>
      </c>
      <c r="CT3" s="538" t="s">
        <v>925</v>
      </c>
      <c r="CU3" s="534" t="s">
        <v>919</v>
      </c>
      <c r="CV3" s="534" t="s">
        <v>920</v>
      </c>
      <c r="CW3" s="539" t="s">
        <v>252</v>
      </c>
      <c r="CX3" s="534" t="s">
        <v>9</v>
      </c>
      <c r="CY3" s="813"/>
    </row>
    <row r="4" spans="1:104" s="549" customFormat="1" ht="72.5" x14ac:dyDescent="0.35">
      <c r="A4" s="540">
        <v>1</v>
      </c>
      <c r="B4" s="541" t="s">
        <v>926</v>
      </c>
      <c r="C4" s="542" t="s">
        <v>927</v>
      </c>
      <c r="D4" s="543" t="s">
        <v>928</v>
      </c>
      <c r="E4" s="543">
        <v>1</v>
      </c>
      <c r="F4" s="544"/>
      <c r="G4" s="544"/>
      <c r="H4" s="544"/>
      <c r="I4" s="544"/>
      <c r="J4" s="544"/>
      <c r="K4" s="544"/>
      <c r="L4" s="544"/>
      <c r="M4" s="544"/>
      <c r="N4" s="544"/>
      <c r="O4" s="544"/>
      <c r="P4" s="544"/>
      <c r="Q4" s="544"/>
      <c r="R4" s="544"/>
      <c r="S4" s="544"/>
      <c r="T4" s="544"/>
      <c r="U4" s="544"/>
      <c r="V4" s="544"/>
      <c r="W4" s="544"/>
      <c r="X4" s="544"/>
      <c r="Y4" s="544"/>
      <c r="Z4" s="544"/>
      <c r="AA4" s="544"/>
      <c r="AB4" s="544"/>
      <c r="AC4" s="544"/>
      <c r="AD4" s="544"/>
      <c r="AE4" s="544">
        <v>25126</v>
      </c>
      <c r="AF4" s="544">
        <f>+AE4*19%</f>
        <v>4773.9400000000005</v>
      </c>
      <c r="AG4" s="544">
        <f>+AE4+AF4</f>
        <v>29899.940000000002</v>
      </c>
      <c r="AH4" s="544">
        <f>+AG4*15%</f>
        <v>4484.991</v>
      </c>
      <c r="AI4" s="544">
        <f>+AG4+AH4</f>
        <v>34384.931000000004</v>
      </c>
      <c r="AJ4" s="544"/>
      <c r="AK4" s="544"/>
      <c r="AL4" s="544"/>
      <c r="AM4" s="544"/>
      <c r="AN4" s="544"/>
      <c r="AO4" s="544"/>
      <c r="AP4" s="544"/>
      <c r="AQ4" s="544"/>
      <c r="AR4" s="544"/>
      <c r="AS4" s="544"/>
      <c r="AT4" s="544"/>
      <c r="AU4" s="544"/>
      <c r="AV4" s="544"/>
      <c r="AW4" s="544"/>
      <c r="AX4" s="544"/>
      <c r="AY4" s="544">
        <f>20500/1.19</f>
        <v>17226.89075630252</v>
      </c>
      <c r="AZ4" s="544">
        <f>+AY4*19%</f>
        <v>3273.1092436974791</v>
      </c>
      <c r="BA4" s="544">
        <f>+AY4+AZ4</f>
        <v>20500</v>
      </c>
      <c r="BB4" s="544">
        <f>+BA4*15%</f>
        <v>3075</v>
      </c>
      <c r="BC4" s="544">
        <f>+BA4+BB4</f>
        <v>23575</v>
      </c>
      <c r="BD4" s="544"/>
      <c r="BE4" s="544"/>
      <c r="BF4" s="544"/>
      <c r="BG4" s="544"/>
      <c r="BH4" s="544"/>
      <c r="BI4" s="544"/>
      <c r="BJ4" s="544"/>
      <c r="BK4" s="544"/>
      <c r="BL4" s="544"/>
      <c r="BM4" s="544"/>
      <c r="BN4" s="544"/>
      <c r="BO4" s="544"/>
      <c r="BP4" s="544"/>
      <c r="BQ4" s="544"/>
      <c r="BR4" s="544"/>
      <c r="BS4" s="544"/>
      <c r="BT4" s="544"/>
      <c r="BU4" s="544"/>
      <c r="BV4" s="544"/>
      <c r="BW4" s="544"/>
      <c r="BX4" s="544"/>
      <c r="BY4" s="544"/>
      <c r="BZ4" s="544"/>
      <c r="CA4" s="544"/>
      <c r="CB4" s="544"/>
      <c r="CC4" s="544"/>
      <c r="CD4" s="544"/>
      <c r="CE4" s="544"/>
      <c r="CF4" s="544"/>
      <c r="CG4" s="544"/>
      <c r="CH4" s="544"/>
      <c r="CI4" s="544">
        <f>26900/1.19</f>
        <v>22605.042016806725</v>
      </c>
      <c r="CJ4" s="544">
        <f>+CI4*19%</f>
        <v>4294.9579831932779</v>
      </c>
      <c r="CK4" s="544">
        <f>+CI4+CJ4</f>
        <v>26900.000000000004</v>
      </c>
      <c r="CL4" s="544">
        <f>+CK4*15%</f>
        <v>4035.0000000000005</v>
      </c>
      <c r="CM4" s="544">
        <f>+CK4+CL4</f>
        <v>30935.000000000004</v>
      </c>
      <c r="CN4" s="544"/>
      <c r="CO4" s="544"/>
      <c r="CP4" s="544"/>
      <c r="CQ4" s="544">
        <f>+MEDIAN(AI4,BC4,CM4)</f>
        <v>30935.000000000004</v>
      </c>
      <c r="CR4" s="544">
        <f>+AVERAGE(AI4,BC4,CM4)</f>
        <v>29631.64366666667</v>
      </c>
      <c r="CS4" s="544">
        <f>+STDEV(AI4,BC4,CM4)</f>
        <v>5521.567291532373</v>
      </c>
      <c r="CT4" s="545">
        <f>CS4/CR4</f>
        <v>0.18634022984501913</v>
      </c>
      <c r="CU4" s="544">
        <v>25995.798319327732</v>
      </c>
      <c r="CV4" s="544">
        <f>+CU4*19%</f>
        <v>4939.2016806722695</v>
      </c>
      <c r="CW4" s="546">
        <f t="shared" ref="CW4:CW35" si="0">+ROUNDUP(IF(CT4&lt;15%,CR4,CQ4),0)</f>
        <v>30935</v>
      </c>
      <c r="CX4" s="546">
        <f t="shared" ref="CX4:CX35" si="1">+CW4*E4</f>
        <v>30935</v>
      </c>
      <c r="CY4" s="547" t="s">
        <v>929</v>
      </c>
      <c r="CZ4" s="548"/>
    </row>
    <row r="5" spans="1:104" s="549" customFormat="1" ht="29" x14ac:dyDescent="0.35">
      <c r="A5" s="540">
        <v>2</v>
      </c>
      <c r="B5" s="541" t="s">
        <v>930</v>
      </c>
      <c r="C5" s="542" t="s">
        <v>931</v>
      </c>
      <c r="D5" s="543" t="s">
        <v>928</v>
      </c>
      <c r="E5" s="543">
        <v>1</v>
      </c>
      <c r="F5" s="544"/>
      <c r="G5" s="544"/>
      <c r="H5" s="544"/>
      <c r="I5" s="544"/>
      <c r="J5" s="544"/>
      <c r="K5" s="544"/>
      <c r="L5" s="544"/>
      <c r="M5" s="544"/>
      <c r="N5" s="544"/>
      <c r="O5" s="544"/>
      <c r="P5" s="544"/>
      <c r="Q5" s="544"/>
      <c r="R5" s="544"/>
      <c r="S5" s="544"/>
      <c r="T5" s="544"/>
      <c r="U5" s="544">
        <v>3697.4789915966389</v>
      </c>
      <c r="V5" s="544">
        <f t="shared" ref="V5:V14" si="2">+U5*0.19</f>
        <v>702.52100840336141</v>
      </c>
      <c r="W5" s="544">
        <f>+U5+V5</f>
        <v>4400</v>
      </c>
      <c r="X5" s="544"/>
      <c r="Y5" s="544">
        <v>3865.546218487395</v>
      </c>
      <c r="Z5" s="544">
        <f t="shared" ref="Z5:Z14" si="3">+Y5*0.19</f>
        <v>734.45378151260502</v>
      </c>
      <c r="AA5" s="544">
        <f>+Y5+Z5</f>
        <v>4600</v>
      </c>
      <c r="AB5" s="544"/>
      <c r="AC5" s="544"/>
      <c r="AD5" s="544"/>
      <c r="AE5" s="544"/>
      <c r="AF5" s="544"/>
      <c r="AG5" s="544"/>
      <c r="AH5" s="544"/>
      <c r="AI5" s="544"/>
      <c r="AJ5" s="544"/>
      <c r="AK5" s="544"/>
      <c r="AL5" s="544"/>
      <c r="AM5" s="544"/>
      <c r="AN5" s="544"/>
      <c r="AO5" s="544"/>
      <c r="AP5" s="544"/>
      <c r="AQ5" s="544"/>
      <c r="AR5" s="544"/>
      <c r="AS5" s="544"/>
      <c r="AT5" s="544"/>
      <c r="AU5" s="544"/>
      <c r="AV5" s="544"/>
      <c r="AW5" s="544"/>
      <c r="AX5" s="544"/>
      <c r="AY5" s="544"/>
      <c r="AZ5" s="544"/>
      <c r="BA5" s="544"/>
      <c r="BB5" s="544"/>
      <c r="BC5" s="544"/>
      <c r="BD5" s="544"/>
      <c r="BE5" s="544"/>
      <c r="BF5" s="544"/>
      <c r="BG5" s="544"/>
      <c r="BH5" s="544"/>
      <c r="BI5" s="544"/>
      <c r="BJ5" s="544"/>
      <c r="BK5" s="544"/>
      <c r="BL5" s="544"/>
      <c r="BM5" s="544"/>
      <c r="BN5" s="544"/>
      <c r="BO5" s="544"/>
      <c r="BP5" s="544"/>
      <c r="BQ5" s="544"/>
      <c r="BR5" s="544"/>
      <c r="BS5" s="544"/>
      <c r="BT5" s="544"/>
      <c r="BU5" s="544"/>
      <c r="BV5" s="544"/>
      <c r="BW5" s="544"/>
      <c r="BX5" s="544"/>
      <c r="BY5" s="544"/>
      <c r="BZ5" s="544"/>
      <c r="CA5" s="544"/>
      <c r="CB5" s="544"/>
      <c r="CC5" s="544"/>
      <c r="CD5" s="544"/>
      <c r="CE5" s="544"/>
      <c r="CF5" s="544"/>
      <c r="CG5" s="544"/>
      <c r="CH5" s="544"/>
      <c r="CI5" s="544"/>
      <c r="CJ5" s="544"/>
      <c r="CK5" s="544"/>
      <c r="CL5" s="544"/>
      <c r="CM5" s="544"/>
      <c r="CN5" s="544"/>
      <c r="CO5" s="544"/>
      <c r="CP5" s="544"/>
      <c r="CQ5" s="544">
        <f>+MEDIAN(W5,AA5)</f>
        <v>4500</v>
      </c>
      <c r="CR5" s="544">
        <f>+AVERAGE(W5,AA5)</f>
        <v>4500</v>
      </c>
      <c r="CS5" s="544">
        <f>+STDEV(W5,AA5)</f>
        <v>141.42135623730951</v>
      </c>
      <c r="CT5" s="545">
        <f t="shared" ref="CT5:CT22" si="4">CS5/CR5</f>
        <v>3.1426968052735448E-2</v>
      </c>
      <c r="CU5" s="544">
        <v>3781.5126050420172</v>
      </c>
      <c r="CV5" s="544">
        <f>+CU5*19%</f>
        <v>718.48739495798327</v>
      </c>
      <c r="CW5" s="546">
        <f t="shared" si="0"/>
        <v>4500</v>
      </c>
      <c r="CX5" s="546">
        <f t="shared" si="1"/>
        <v>4500</v>
      </c>
      <c r="CY5" s="547" t="s">
        <v>932</v>
      </c>
    </row>
    <row r="6" spans="1:104" s="549" customFormat="1" ht="33.75" customHeight="1" x14ac:dyDescent="0.35">
      <c r="A6" s="540">
        <v>3</v>
      </c>
      <c r="B6" s="541" t="s">
        <v>933</v>
      </c>
      <c r="C6" s="542" t="s">
        <v>934</v>
      </c>
      <c r="D6" s="543" t="s">
        <v>24</v>
      </c>
      <c r="E6" s="543">
        <v>1</v>
      </c>
      <c r="F6" s="544"/>
      <c r="G6" s="544"/>
      <c r="H6" s="544"/>
      <c r="I6" s="544"/>
      <c r="J6" s="544"/>
      <c r="K6" s="544"/>
      <c r="L6" s="544">
        <v>531.93277310924373</v>
      </c>
      <c r="M6" s="544">
        <f>+L6*0.19</f>
        <v>101.0672268907563</v>
      </c>
      <c r="N6" s="544">
        <f>+L6+M6</f>
        <v>633</v>
      </c>
      <c r="O6" s="544"/>
      <c r="P6" s="544"/>
      <c r="Q6" s="544"/>
      <c r="R6" s="544"/>
      <c r="S6" s="544"/>
      <c r="T6" s="544"/>
      <c r="U6" s="544">
        <v>504.20168067226894</v>
      </c>
      <c r="V6" s="544">
        <f t="shared" si="2"/>
        <v>95.798319327731093</v>
      </c>
      <c r="W6" s="544">
        <f>+U6+V6</f>
        <v>600</v>
      </c>
      <c r="X6" s="544"/>
      <c r="Y6" s="544">
        <v>546.21848739495806</v>
      </c>
      <c r="Z6" s="544">
        <f t="shared" si="3"/>
        <v>103.78151260504204</v>
      </c>
      <c r="AA6" s="544">
        <f>+Y6+Z6</f>
        <v>650.00000000000011</v>
      </c>
      <c r="AB6" s="544"/>
      <c r="AC6" s="544"/>
      <c r="AD6" s="544"/>
      <c r="AE6" s="544"/>
      <c r="AF6" s="544"/>
      <c r="AG6" s="544"/>
      <c r="AH6" s="544"/>
      <c r="AI6" s="544"/>
      <c r="AJ6" s="544"/>
      <c r="AK6" s="544"/>
      <c r="AL6" s="544"/>
      <c r="AM6" s="544"/>
      <c r="AN6" s="544"/>
      <c r="AO6" s="544"/>
      <c r="AP6" s="544"/>
      <c r="AQ6" s="544"/>
      <c r="AR6" s="544"/>
      <c r="AS6" s="544"/>
      <c r="AT6" s="544"/>
      <c r="AU6" s="544"/>
      <c r="AV6" s="544"/>
      <c r="AW6" s="544"/>
      <c r="AX6" s="544"/>
      <c r="AY6" s="544"/>
      <c r="AZ6" s="544"/>
      <c r="BA6" s="544"/>
      <c r="BB6" s="544"/>
      <c r="BC6" s="544"/>
      <c r="BD6" s="544"/>
      <c r="BE6" s="544"/>
      <c r="BF6" s="544"/>
      <c r="BG6" s="544"/>
      <c r="BH6" s="544"/>
      <c r="BI6" s="544"/>
      <c r="BJ6" s="544"/>
      <c r="BK6" s="544"/>
      <c r="BL6" s="544"/>
      <c r="BM6" s="544"/>
      <c r="BN6" s="544"/>
      <c r="BO6" s="544"/>
      <c r="BP6" s="544"/>
      <c r="BQ6" s="544"/>
      <c r="BR6" s="544"/>
      <c r="BS6" s="544"/>
      <c r="BT6" s="544"/>
      <c r="BU6" s="544"/>
      <c r="BV6" s="544"/>
      <c r="BW6" s="544"/>
      <c r="BX6" s="544"/>
      <c r="BY6" s="544"/>
      <c r="BZ6" s="544"/>
      <c r="CA6" s="544"/>
      <c r="CB6" s="544"/>
      <c r="CC6" s="544"/>
      <c r="CD6" s="544"/>
      <c r="CE6" s="544"/>
      <c r="CF6" s="544"/>
      <c r="CG6" s="544"/>
      <c r="CH6" s="544"/>
      <c r="CI6" s="544"/>
      <c r="CJ6" s="544"/>
      <c r="CK6" s="544"/>
      <c r="CL6" s="544"/>
      <c r="CM6" s="544"/>
      <c r="CN6" s="544"/>
      <c r="CO6" s="544"/>
      <c r="CP6" s="544"/>
      <c r="CQ6" s="544">
        <f>+MEDIAN(N6,W6,AA6)</f>
        <v>633</v>
      </c>
      <c r="CR6" s="544">
        <f>+AVERAGE(N6,W6,AA6)</f>
        <v>627.66666666666663</v>
      </c>
      <c r="CS6" s="544">
        <f>+STDEV(N6,W6,AA6)</f>
        <v>25.423086620891173</v>
      </c>
      <c r="CT6" s="545">
        <f t="shared" si="4"/>
        <v>4.0504121010447966E-2</v>
      </c>
      <c r="CU6" s="544">
        <v>527.73109243697479</v>
      </c>
      <c r="CV6" s="544">
        <f>+CU6*19%</f>
        <v>100.26890756302521</v>
      </c>
      <c r="CW6" s="546">
        <f t="shared" si="0"/>
        <v>628</v>
      </c>
      <c r="CX6" s="546">
        <f t="shared" si="1"/>
        <v>628</v>
      </c>
      <c r="CY6" s="547" t="s">
        <v>932</v>
      </c>
    </row>
    <row r="7" spans="1:104" s="549" customFormat="1" ht="48" customHeight="1" x14ac:dyDescent="0.35">
      <c r="A7" s="540">
        <v>4</v>
      </c>
      <c r="B7" s="541" t="s">
        <v>935</v>
      </c>
      <c r="C7" s="542" t="s">
        <v>936</v>
      </c>
      <c r="D7" s="543" t="s">
        <v>928</v>
      </c>
      <c r="E7" s="543">
        <v>1</v>
      </c>
      <c r="F7" s="544">
        <v>5462</v>
      </c>
      <c r="G7" s="544">
        <f t="shared" ref="G7:G22" si="5">+F7*19%</f>
        <v>1037.78</v>
      </c>
      <c r="H7" s="544">
        <f t="shared" ref="H7:H30" si="6">+F7+G7</f>
        <v>6499.78</v>
      </c>
      <c r="I7" s="544">
        <v>4907.5630252100846</v>
      </c>
      <c r="J7" s="544">
        <f t="shared" ref="J7:J21" si="7">+I7*0.19</f>
        <v>932.43697478991612</v>
      </c>
      <c r="K7" s="544">
        <f t="shared" ref="K7:K30" si="8">+I7+J7</f>
        <v>5840.0000000000009</v>
      </c>
      <c r="L7" s="544"/>
      <c r="M7" s="544"/>
      <c r="N7" s="544"/>
      <c r="O7" s="550"/>
      <c r="P7" s="550"/>
      <c r="Q7" s="550"/>
      <c r="R7" s="550"/>
      <c r="S7" s="550"/>
      <c r="T7" s="550"/>
      <c r="U7" s="550"/>
      <c r="V7" s="550"/>
      <c r="W7" s="550"/>
      <c r="X7" s="550"/>
      <c r="Y7" s="550"/>
      <c r="Z7" s="550"/>
      <c r="AA7" s="550"/>
      <c r="AB7" s="550"/>
      <c r="AC7" s="550"/>
      <c r="AD7" s="550"/>
      <c r="AE7" s="550"/>
      <c r="AF7" s="550"/>
      <c r="AG7" s="550"/>
      <c r="AH7" s="550"/>
      <c r="AI7" s="550"/>
      <c r="AJ7" s="550"/>
      <c r="AK7" s="550"/>
      <c r="AL7" s="550"/>
      <c r="AM7" s="550"/>
      <c r="AN7" s="550"/>
      <c r="AO7" s="550"/>
      <c r="AP7" s="550"/>
      <c r="AQ7" s="550"/>
      <c r="AR7" s="550"/>
      <c r="AS7" s="550"/>
      <c r="AT7" s="550"/>
      <c r="AU7" s="550"/>
      <c r="AV7" s="550"/>
      <c r="AW7" s="550"/>
      <c r="AX7" s="550"/>
      <c r="AY7" s="550"/>
      <c r="AZ7" s="550"/>
      <c r="BA7" s="550"/>
      <c r="BB7" s="550"/>
      <c r="BC7" s="550"/>
      <c r="BD7" s="550"/>
      <c r="BE7" s="550"/>
      <c r="BF7" s="550"/>
      <c r="BG7" s="550"/>
      <c r="BH7" s="550"/>
      <c r="BI7" s="550"/>
      <c r="BJ7" s="550"/>
      <c r="BK7" s="550"/>
      <c r="BL7" s="550"/>
      <c r="BM7" s="550"/>
      <c r="BN7" s="550"/>
      <c r="BO7" s="550"/>
      <c r="BP7" s="550"/>
      <c r="BQ7" s="550"/>
      <c r="BR7" s="550"/>
      <c r="BS7" s="550"/>
      <c r="BT7" s="550"/>
      <c r="BU7" s="550"/>
      <c r="BV7" s="550"/>
      <c r="BW7" s="550"/>
      <c r="BX7" s="544"/>
      <c r="BY7" s="544"/>
      <c r="BZ7" s="544"/>
      <c r="CA7" s="544"/>
      <c r="CB7" s="544"/>
      <c r="CC7" s="544"/>
      <c r="CD7" s="544"/>
      <c r="CE7" s="544"/>
      <c r="CF7" s="544"/>
      <c r="CG7" s="544"/>
      <c r="CH7" s="544"/>
      <c r="CI7" s="544"/>
      <c r="CJ7" s="544"/>
      <c r="CK7" s="544"/>
      <c r="CL7" s="544"/>
      <c r="CM7" s="544"/>
      <c r="CN7" s="544"/>
      <c r="CO7" s="544"/>
      <c r="CP7" s="544"/>
      <c r="CQ7" s="544">
        <f>+MEDIAN(H7,K7)</f>
        <v>6169.89</v>
      </c>
      <c r="CR7" s="544">
        <f>+AVERAGE(H7,K7)</f>
        <v>6169.89</v>
      </c>
      <c r="CS7" s="544">
        <f>STDEV(H7,K7)</f>
        <v>466.53491209125951</v>
      </c>
      <c r="CT7" s="545">
        <f t="shared" si="4"/>
        <v>7.5614786015838126E-2</v>
      </c>
      <c r="CU7" s="544">
        <v>5184.8739495798318</v>
      </c>
      <c r="CV7" s="544">
        <f t="shared" ref="CV7:CV69" si="9">+CU7*19%</f>
        <v>985.1260504201681</v>
      </c>
      <c r="CW7" s="546">
        <f t="shared" si="0"/>
        <v>6170</v>
      </c>
      <c r="CX7" s="546">
        <f t="shared" si="1"/>
        <v>6170</v>
      </c>
      <c r="CY7" s="551" t="s">
        <v>932</v>
      </c>
    </row>
    <row r="8" spans="1:104" s="549" customFormat="1" ht="66" customHeight="1" x14ac:dyDescent="0.35">
      <c r="A8" s="540">
        <v>5</v>
      </c>
      <c r="B8" s="541" t="s">
        <v>937</v>
      </c>
      <c r="C8" s="542" t="s">
        <v>938</v>
      </c>
      <c r="D8" s="543" t="s">
        <v>928</v>
      </c>
      <c r="E8" s="543">
        <v>1</v>
      </c>
      <c r="F8" s="544">
        <v>4202</v>
      </c>
      <c r="G8" s="544">
        <f t="shared" si="5"/>
        <v>798.38</v>
      </c>
      <c r="H8" s="544">
        <f t="shared" si="6"/>
        <v>5000.38</v>
      </c>
      <c r="I8" s="544">
        <v>2689.0756302521008</v>
      </c>
      <c r="J8" s="544">
        <f t="shared" si="7"/>
        <v>510.92436974789916</v>
      </c>
      <c r="K8" s="544">
        <f t="shared" si="8"/>
        <v>3200</v>
      </c>
      <c r="L8" s="544">
        <v>3415</v>
      </c>
      <c r="M8" s="544">
        <f>+L8*0.19</f>
        <v>648.85</v>
      </c>
      <c r="N8" s="544">
        <f>+L8+M8</f>
        <v>4063.85</v>
      </c>
      <c r="O8" s="550"/>
      <c r="P8" s="550"/>
      <c r="Q8" s="550"/>
      <c r="R8" s="550"/>
      <c r="S8" s="550"/>
      <c r="T8" s="550"/>
      <c r="U8" s="550">
        <v>2436.9747899159665</v>
      </c>
      <c r="V8" s="550">
        <f t="shared" si="2"/>
        <v>463.02521008403363</v>
      </c>
      <c r="W8" s="550">
        <f>+U8+V8</f>
        <v>2900</v>
      </c>
      <c r="X8" s="550"/>
      <c r="Y8" s="550">
        <v>2605.0420168067226</v>
      </c>
      <c r="Z8" s="550">
        <f t="shared" si="3"/>
        <v>494.9579831932773</v>
      </c>
      <c r="AA8" s="550">
        <f>+Y8+Z8</f>
        <v>3100</v>
      </c>
      <c r="AB8" s="550"/>
      <c r="AC8" s="550"/>
      <c r="AD8" s="550"/>
      <c r="AE8" s="550"/>
      <c r="AF8" s="550"/>
      <c r="AG8" s="550"/>
      <c r="AH8" s="550"/>
      <c r="AI8" s="550"/>
      <c r="AJ8" s="550"/>
      <c r="AK8" s="550"/>
      <c r="AL8" s="550"/>
      <c r="AM8" s="550"/>
      <c r="AN8" s="550"/>
      <c r="AO8" s="550"/>
      <c r="AP8" s="550"/>
      <c r="AQ8" s="550"/>
      <c r="AR8" s="550"/>
      <c r="AS8" s="550"/>
      <c r="AT8" s="550"/>
      <c r="AU8" s="550"/>
      <c r="AV8" s="550"/>
      <c r="AW8" s="550"/>
      <c r="AX8" s="550"/>
      <c r="AY8" s="550"/>
      <c r="AZ8" s="550"/>
      <c r="BA8" s="550"/>
      <c r="BB8" s="550"/>
      <c r="BC8" s="550"/>
      <c r="BD8" s="550"/>
      <c r="BE8" s="550"/>
      <c r="BF8" s="550"/>
      <c r="BG8" s="550"/>
      <c r="BH8" s="550"/>
      <c r="BI8" s="550"/>
      <c r="BJ8" s="550"/>
      <c r="BK8" s="550"/>
      <c r="BL8" s="550"/>
      <c r="BM8" s="550"/>
      <c r="BN8" s="550"/>
      <c r="BO8" s="550"/>
      <c r="BP8" s="550"/>
      <c r="BQ8" s="550"/>
      <c r="BR8" s="550"/>
      <c r="BS8" s="550"/>
      <c r="BT8" s="550"/>
      <c r="BU8" s="550"/>
      <c r="BV8" s="550"/>
      <c r="BW8" s="550"/>
      <c r="BX8" s="544"/>
      <c r="BY8" s="544"/>
      <c r="BZ8" s="544"/>
      <c r="CA8" s="544"/>
      <c r="CB8" s="544"/>
      <c r="CC8" s="544"/>
      <c r="CD8" s="544"/>
      <c r="CE8" s="544"/>
      <c r="CF8" s="544"/>
      <c r="CG8" s="544"/>
      <c r="CH8" s="544"/>
      <c r="CI8" s="544"/>
      <c r="CJ8" s="544"/>
      <c r="CK8" s="544"/>
      <c r="CL8" s="544"/>
      <c r="CM8" s="544"/>
      <c r="CN8" s="544"/>
      <c r="CO8" s="544"/>
      <c r="CP8" s="544"/>
      <c r="CQ8" s="544">
        <f>+MEDIAN(H8,K8,N8,W8,AA8)</f>
        <v>3200</v>
      </c>
      <c r="CR8" s="544">
        <f>+AVERAGE(H8,K8,N8,W8,AA8)</f>
        <v>3652.8460000000005</v>
      </c>
      <c r="CS8" s="544">
        <f>+STDEV(H8,K8,N8,W8,AA8)</f>
        <v>874.96535193114471</v>
      </c>
      <c r="CT8" s="545">
        <f t="shared" si="4"/>
        <v>0.23952976718184796</v>
      </c>
      <c r="CU8" s="544">
        <v>2689.0756302521008</v>
      </c>
      <c r="CV8" s="544">
        <f t="shared" si="9"/>
        <v>510.92436974789916</v>
      </c>
      <c r="CW8" s="546">
        <f t="shared" si="0"/>
        <v>3200</v>
      </c>
      <c r="CX8" s="546">
        <f t="shared" si="1"/>
        <v>3200</v>
      </c>
      <c r="CY8" s="551" t="s">
        <v>929</v>
      </c>
    </row>
    <row r="9" spans="1:104" s="549" customFormat="1" ht="45.75" customHeight="1" x14ac:dyDescent="0.35">
      <c r="A9" s="540">
        <v>6</v>
      </c>
      <c r="B9" s="541" t="s">
        <v>939</v>
      </c>
      <c r="C9" s="542" t="s">
        <v>940</v>
      </c>
      <c r="D9" s="543" t="s">
        <v>24</v>
      </c>
      <c r="E9" s="543">
        <v>1</v>
      </c>
      <c r="F9" s="544">
        <v>6555</v>
      </c>
      <c r="G9" s="544">
        <f t="shared" si="5"/>
        <v>1245.45</v>
      </c>
      <c r="H9" s="544">
        <f t="shared" si="6"/>
        <v>7800.45</v>
      </c>
      <c r="I9" s="544">
        <v>4537.8151260504201</v>
      </c>
      <c r="J9" s="544">
        <f t="shared" si="7"/>
        <v>862.18487394957981</v>
      </c>
      <c r="K9" s="544">
        <f t="shared" si="8"/>
        <v>5400</v>
      </c>
      <c r="L9" s="544">
        <v>5724</v>
      </c>
      <c r="M9" s="544">
        <f>+L9*0.19</f>
        <v>1087.56</v>
      </c>
      <c r="N9" s="544">
        <f>+L9+M9</f>
        <v>6811.5599999999995</v>
      </c>
      <c r="O9" s="544"/>
      <c r="P9" s="544"/>
      <c r="Q9" s="550"/>
      <c r="R9" s="550"/>
      <c r="S9" s="550"/>
      <c r="T9" s="550"/>
      <c r="U9" s="550"/>
      <c r="V9" s="550"/>
      <c r="W9" s="550"/>
      <c r="X9" s="550"/>
      <c r="Y9" s="550"/>
      <c r="Z9" s="550"/>
      <c r="AA9" s="550"/>
      <c r="AB9" s="550"/>
      <c r="AC9" s="550"/>
      <c r="AD9" s="550"/>
      <c r="AE9" s="550"/>
      <c r="AF9" s="550"/>
      <c r="AG9" s="550"/>
      <c r="AH9" s="550"/>
      <c r="AI9" s="550"/>
      <c r="AJ9" s="550"/>
      <c r="AK9" s="550"/>
      <c r="AL9" s="550"/>
      <c r="AM9" s="550"/>
      <c r="AN9" s="550"/>
      <c r="AO9" s="550"/>
      <c r="AP9" s="550"/>
      <c r="AQ9" s="550"/>
      <c r="AR9" s="550"/>
      <c r="AS9" s="550"/>
      <c r="AT9" s="550"/>
      <c r="AU9" s="550"/>
      <c r="AV9" s="550"/>
      <c r="AW9" s="550"/>
      <c r="AX9" s="550"/>
      <c r="AY9" s="550"/>
      <c r="AZ9" s="550"/>
      <c r="BA9" s="550"/>
      <c r="BB9" s="550"/>
      <c r="BC9" s="550"/>
      <c r="BD9" s="550"/>
      <c r="BE9" s="550"/>
      <c r="BF9" s="550"/>
      <c r="BG9" s="550"/>
      <c r="BH9" s="550"/>
      <c r="BI9" s="550"/>
      <c r="BJ9" s="550"/>
      <c r="BK9" s="550"/>
      <c r="BL9" s="550"/>
      <c r="BM9" s="550"/>
      <c r="BN9" s="550"/>
      <c r="BO9" s="550"/>
      <c r="BP9" s="550"/>
      <c r="BQ9" s="550"/>
      <c r="BR9" s="550"/>
      <c r="BS9" s="550"/>
      <c r="BT9" s="550"/>
      <c r="BU9" s="550"/>
      <c r="BV9" s="550"/>
      <c r="BW9" s="550"/>
      <c r="BX9" s="544"/>
      <c r="BY9" s="544"/>
      <c r="BZ9" s="544"/>
      <c r="CA9" s="544"/>
      <c r="CB9" s="544"/>
      <c r="CC9" s="544"/>
      <c r="CD9" s="544"/>
      <c r="CE9" s="544"/>
      <c r="CF9" s="544"/>
      <c r="CG9" s="544"/>
      <c r="CH9" s="544"/>
      <c r="CI9" s="544"/>
      <c r="CJ9" s="544"/>
      <c r="CK9" s="544"/>
      <c r="CL9" s="544"/>
      <c r="CM9" s="544"/>
      <c r="CN9" s="544"/>
      <c r="CO9" s="544"/>
      <c r="CP9" s="544"/>
      <c r="CQ9" s="544">
        <f>+MEDIAN(H9,K9,N9)</f>
        <v>6811.5599999999995</v>
      </c>
      <c r="CR9" s="544">
        <f>+AVERAGE(H9,K9,N9)</f>
        <v>6670.670000000001</v>
      </c>
      <c r="CS9" s="544">
        <f>+STDEV(H9,K9,N9)</f>
        <v>1206.4110181443032</v>
      </c>
      <c r="CT9" s="545">
        <f t="shared" si="4"/>
        <v>0.18085305046484132</v>
      </c>
      <c r="CU9" s="544">
        <v>5724.3697478991598</v>
      </c>
      <c r="CV9" s="544">
        <f t="shared" si="9"/>
        <v>1087.6302521008404</v>
      </c>
      <c r="CW9" s="546">
        <f t="shared" si="0"/>
        <v>6812</v>
      </c>
      <c r="CX9" s="546">
        <f t="shared" si="1"/>
        <v>6812</v>
      </c>
      <c r="CY9" s="551" t="s">
        <v>929</v>
      </c>
    </row>
    <row r="10" spans="1:104" s="549" customFormat="1" ht="29" x14ac:dyDescent="0.35">
      <c r="A10" s="540">
        <v>7</v>
      </c>
      <c r="B10" s="541" t="s">
        <v>941</v>
      </c>
      <c r="C10" s="542" t="s">
        <v>942</v>
      </c>
      <c r="D10" s="543" t="s">
        <v>928</v>
      </c>
      <c r="E10" s="543">
        <v>1</v>
      </c>
      <c r="F10" s="544">
        <v>2521</v>
      </c>
      <c r="G10" s="544">
        <f t="shared" si="5"/>
        <v>478.99</v>
      </c>
      <c r="H10" s="544">
        <f t="shared" si="6"/>
        <v>2999.99</v>
      </c>
      <c r="I10" s="544">
        <v>1849</v>
      </c>
      <c r="J10" s="544">
        <f t="shared" si="7"/>
        <v>351.31</v>
      </c>
      <c r="K10" s="544">
        <f t="shared" si="8"/>
        <v>2200.31</v>
      </c>
      <c r="L10" s="544"/>
      <c r="M10" s="544"/>
      <c r="N10" s="544"/>
      <c r="O10" s="550"/>
      <c r="P10" s="550"/>
      <c r="Q10" s="550"/>
      <c r="R10" s="550"/>
      <c r="S10" s="550"/>
      <c r="T10" s="550"/>
      <c r="U10" s="550"/>
      <c r="V10" s="550"/>
      <c r="W10" s="550"/>
      <c r="X10" s="550"/>
      <c r="Y10" s="550"/>
      <c r="Z10" s="550"/>
      <c r="AA10" s="550"/>
      <c r="AB10" s="550"/>
      <c r="AC10" s="550"/>
      <c r="AD10" s="550"/>
      <c r="AE10" s="550"/>
      <c r="AF10" s="550"/>
      <c r="AG10" s="550"/>
      <c r="AH10" s="550"/>
      <c r="AI10" s="550"/>
      <c r="AJ10" s="550"/>
      <c r="AK10" s="550"/>
      <c r="AL10" s="550"/>
      <c r="AM10" s="550"/>
      <c r="AN10" s="550"/>
      <c r="AO10" s="550"/>
      <c r="AP10" s="550"/>
      <c r="AQ10" s="550"/>
      <c r="AR10" s="550"/>
      <c r="AS10" s="550"/>
      <c r="AT10" s="550"/>
      <c r="AU10" s="550"/>
      <c r="AV10" s="550"/>
      <c r="AW10" s="550"/>
      <c r="AX10" s="550"/>
      <c r="AY10" s="550"/>
      <c r="AZ10" s="550"/>
      <c r="BA10" s="550"/>
      <c r="BB10" s="550"/>
      <c r="BC10" s="550"/>
      <c r="BD10" s="550"/>
      <c r="BE10" s="550"/>
      <c r="BF10" s="550"/>
      <c r="BG10" s="550"/>
      <c r="BH10" s="550"/>
      <c r="BI10" s="550"/>
      <c r="BJ10" s="550"/>
      <c r="BK10" s="550"/>
      <c r="BL10" s="550"/>
      <c r="BM10" s="550"/>
      <c r="BN10" s="550"/>
      <c r="BO10" s="550"/>
      <c r="BP10" s="550"/>
      <c r="BQ10" s="550"/>
      <c r="BR10" s="550"/>
      <c r="BS10" s="550"/>
      <c r="BT10" s="550"/>
      <c r="BU10" s="550"/>
      <c r="BV10" s="550"/>
      <c r="BW10" s="550"/>
      <c r="BX10" s="544"/>
      <c r="BY10" s="544"/>
      <c r="BZ10" s="544"/>
      <c r="CA10" s="544"/>
      <c r="CB10" s="544"/>
      <c r="CC10" s="544"/>
      <c r="CD10" s="544"/>
      <c r="CE10" s="544"/>
      <c r="CF10" s="544"/>
      <c r="CG10" s="544"/>
      <c r="CH10" s="544"/>
      <c r="CI10" s="544"/>
      <c r="CJ10" s="544"/>
      <c r="CK10" s="544"/>
      <c r="CL10" s="544"/>
      <c r="CM10" s="544"/>
      <c r="CN10" s="544"/>
      <c r="CO10" s="544"/>
      <c r="CP10" s="544"/>
      <c r="CQ10" s="544">
        <f>+MEDIAN(H10,K10)</f>
        <v>2600.1499999999996</v>
      </c>
      <c r="CR10" s="544">
        <f>+AVERAGE(H10,K10)</f>
        <v>2600.1499999999996</v>
      </c>
      <c r="CS10" s="544">
        <f>+STDEV(H10,K10)</f>
        <v>565.45915077925883</v>
      </c>
      <c r="CT10" s="545">
        <f t="shared" si="4"/>
        <v>0.21747174231458144</v>
      </c>
      <c r="CU10" s="544">
        <v>2185.7142857142858</v>
      </c>
      <c r="CV10" s="544">
        <f t="shared" si="9"/>
        <v>415.28571428571428</v>
      </c>
      <c r="CW10" s="546">
        <f t="shared" si="0"/>
        <v>2601</v>
      </c>
      <c r="CX10" s="546">
        <f t="shared" si="1"/>
        <v>2601</v>
      </c>
      <c r="CY10" s="551" t="s">
        <v>929</v>
      </c>
    </row>
    <row r="11" spans="1:104" s="549" customFormat="1" ht="29" x14ac:dyDescent="0.35">
      <c r="A11" s="540">
        <v>8</v>
      </c>
      <c r="B11" s="541" t="s">
        <v>943</v>
      </c>
      <c r="C11" s="542" t="s">
        <v>944</v>
      </c>
      <c r="D11" s="543" t="s">
        <v>928</v>
      </c>
      <c r="E11" s="543">
        <v>1</v>
      </c>
      <c r="F11" s="544">
        <v>1261</v>
      </c>
      <c r="G11" s="544">
        <f t="shared" si="5"/>
        <v>239.59</v>
      </c>
      <c r="H11" s="544">
        <f t="shared" si="6"/>
        <v>1500.59</v>
      </c>
      <c r="I11" s="544"/>
      <c r="J11" s="544"/>
      <c r="K11" s="544"/>
      <c r="L11" s="544"/>
      <c r="M11" s="544"/>
      <c r="N11" s="544"/>
      <c r="O11" s="550"/>
      <c r="P11" s="550"/>
      <c r="Q11" s="550"/>
      <c r="R11" s="544">
        <v>1120.4481792717088</v>
      </c>
      <c r="S11" s="544">
        <f>+R11*19%</f>
        <v>212.88515406162466</v>
      </c>
      <c r="T11" s="544">
        <f>+R11+S11</f>
        <v>1333.3333333333335</v>
      </c>
      <c r="U11" s="550"/>
      <c r="V11" s="550"/>
      <c r="W11" s="550"/>
      <c r="X11" s="550"/>
      <c r="Y11" s="550"/>
      <c r="Z11" s="550"/>
      <c r="AA11" s="550"/>
      <c r="AB11" s="550"/>
      <c r="AC11" s="550"/>
      <c r="AD11" s="550"/>
      <c r="AE11" s="550"/>
      <c r="AF11" s="550"/>
      <c r="AG11" s="550"/>
      <c r="AH11" s="550"/>
      <c r="AI11" s="550"/>
      <c r="AJ11" s="550"/>
      <c r="AK11" s="550"/>
      <c r="AL11" s="550"/>
      <c r="AM11" s="550"/>
      <c r="AN11" s="550"/>
      <c r="AO11" s="550"/>
      <c r="AP11" s="550"/>
      <c r="AQ11" s="550"/>
      <c r="AR11" s="550"/>
      <c r="AS11" s="550"/>
      <c r="AT11" s="550"/>
      <c r="AU11" s="550"/>
      <c r="AV11" s="550"/>
      <c r="AW11" s="550"/>
      <c r="AX11" s="550"/>
      <c r="AY11" s="550"/>
      <c r="AZ11" s="550"/>
      <c r="BA11" s="550"/>
      <c r="BB11" s="550"/>
      <c r="BC11" s="550"/>
      <c r="BD11" s="550"/>
      <c r="BE11" s="550"/>
      <c r="BF11" s="550"/>
      <c r="BG11" s="550"/>
      <c r="BH11" s="550"/>
      <c r="BI11" s="550"/>
      <c r="BJ11" s="550"/>
      <c r="BK11" s="550"/>
      <c r="BL11" s="550"/>
      <c r="BM11" s="550"/>
      <c r="BN11" s="550"/>
      <c r="BO11" s="550"/>
      <c r="BP11" s="550"/>
      <c r="BQ11" s="550"/>
      <c r="BR11" s="550"/>
      <c r="BS11" s="550"/>
      <c r="BT11" s="550"/>
      <c r="BU11" s="550"/>
      <c r="BV11" s="550"/>
      <c r="BW11" s="550"/>
      <c r="BX11" s="544"/>
      <c r="BY11" s="544"/>
      <c r="BZ11" s="544"/>
      <c r="CA11" s="544"/>
      <c r="CB11" s="544"/>
      <c r="CC11" s="544"/>
      <c r="CD11" s="544"/>
      <c r="CE11" s="544"/>
      <c r="CF11" s="544"/>
      <c r="CG11" s="544"/>
      <c r="CH11" s="544"/>
      <c r="CI11" s="544"/>
      <c r="CJ11" s="544"/>
      <c r="CK11" s="544"/>
      <c r="CL11" s="544"/>
      <c r="CM11" s="544"/>
      <c r="CN11" s="544"/>
      <c r="CO11" s="544"/>
      <c r="CP11" s="544"/>
      <c r="CQ11" s="544">
        <f>+MEDIAN(H11,T11)</f>
        <v>1416.9616666666666</v>
      </c>
      <c r="CR11" s="544">
        <f>+AVERAGE(H11,T11)</f>
        <v>1416.9616666666666</v>
      </c>
      <c r="CS11" s="544">
        <f>+STDEV(H11,T11)</f>
        <v>118.26832319865782</v>
      </c>
      <c r="CT11" s="545">
        <f t="shared" si="4"/>
        <v>8.346614166131841E-2</v>
      </c>
      <c r="CU11" s="544">
        <v>1190.7563025210084</v>
      </c>
      <c r="CV11" s="544">
        <f t="shared" si="9"/>
        <v>226.24369747899158</v>
      </c>
      <c r="CW11" s="546">
        <f t="shared" si="0"/>
        <v>1417</v>
      </c>
      <c r="CX11" s="546">
        <f t="shared" si="1"/>
        <v>1417</v>
      </c>
      <c r="CY11" s="551" t="s">
        <v>932</v>
      </c>
    </row>
    <row r="12" spans="1:104" s="549" customFormat="1" ht="122.25" customHeight="1" x14ac:dyDescent="0.35">
      <c r="A12" s="540">
        <v>9</v>
      </c>
      <c r="B12" s="541" t="s">
        <v>945</v>
      </c>
      <c r="C12" s="542" t="s">
        <v>946</v>
      </c>
      <c r="D12" s="543" t="s">
        <v>928</v>
      </c>
      <c r="E12" s="543">
        <v>1</v>
      </c>
      <c r="F12" s="544"/>
      <c r="G12" s="544"/>
      <c r="H12" s="544"/>
      <c r="I12" s="544"/>
      <c r="J12" s="544"/>
      <c r="K12" s="544"/>
      <c r="L12" s="544"/>
      <c r="M12" s="544"/>
      <c r="N12" s="544"/>
      <c r="O12" s="550"/>
      <c r="P12" s="550"/>
      <c r="Q12" s="550"/>
      <c r="R12" s="544"/>
      <c r="S12" s="544"/>
      <c r="T12" s="544"/>
      <c r="U12" s="550">
        <v>2941.1764705882356</v>
      </c>
      <c r="V12" s="550">
        <f t="shared" si="2"/>
        <v>558.82352941176475</v>
      </c>
      <c r="W12" s="550">
        <f>+U12+V12</f>
        <v>3500.0000000000005</v>
      </c>
      <c r="X12" s="550"/>
      <c r="Y12" s="550">
        <v>3193.2773109243699</v>
      </c>
      <c r="Z12" s="550">
        <f t="shared" si="3"/>
        <v>606.72268907563034</v>
      </c>
      <c r="AA12" s="550">
        <f>+Y12+Z12</f>
        <v>3800</v>
      </c>
      <c r="AB12" s="544"/>
      <c r="AC12" s="544"/>
      <c r="AD12" s="544"/>
      <c r="AE12" s="544"/>
      <c r="AF12" s="544"/>
      <c r="AG12" s="544"/>
      <c r="AH12" s="544"/>
      <c r="AI12" s="544"/>
      <c r="AJ12" s="544"/>
      <c r="AK12" s="544"/>
      <c r="AL12" s="544"/>
      <c r="AM12" s="544"/>
      <c r="AN12" s="544"/>
      <c r="AO12" s="544"/>
      <c r="AP12" s="544"/>
      <c r="AQ12" s="544"/>
      <c r="AR12" s="544"/>
      <c r="AS12" s="544"/>
      <c r="AT12" s="544"/>
      <c r="AU12" s="544"/>
      <c r="AV12" s="544"/>
      <c r="AW12" s="544"/>
      <c r="AX12" s="544"/>
      <c r="AY12" s="544"/>
      <c r="AZ12" s="544"/>
      <c r="BA12" s="544"/>
      <c r="BB12" s="544"/>
      <c r="BC12" s="544"/>
      <c r="BD12" s="544"/>
      <c r="BE12" s="544"/>
      <c r="BF12" s="544"/>
      <c r="BG12" s="544"/>
      <c r="BH12" s="544"/>
      <c r="BI12" s="544"/>
      <c r="BJ12" s="544"/>
      <c r="BK12" s="544"/>
      <c r="BL12" s="544"/>
      <c r="BM12" s="544"/>
      <c r="BN12" s="544"/>
      <c r="BO12" s="544"/>
      <c r="BP12" s="544"/>
      <c r="BQ12" s="544"/>
      <c r="BR12" s="544"/>
      <c r="BS12" s="544"/>
      <c r="BT12" s="544"/>
      <c r="BU12" s="544"/>
      <c r="BV12" s="544"/>
      <c r="BW12" s="544"/>
      <c r="BX12" s="544"/>
      <c r="BY12" s="544"/>
      <c r="BZ12" s="544"/>
      <c r="CA12" s="544"/>
      <c r="CB12" s="544"/>
      <c r="CC12" s="544"/>
      <c r="CD12" s="544"/>
      <c r="CE12" s="544"/>
      <c r="CF12" s="544"/>
      <c r="CG12" s="544"/>
      <c r="CH12" s="544"/>
      <c r="CI12" s="544"/>
      <c r="CJ12" s="544"/>
      <c r="CK12" s="544"/>
      <c r="CL12" s="544"/>
      <c r="CM12" s="544"/>
      <c r="CN12" s="544"/>
      <c r="CO12" s="544"/>
      <c r="CP12" s="544"/>
      <c r="CQ12" s="544">
        <f>+MEDIAN(W12,AA12)</f>
        <v>3650</v>
      </c>
      <c r="CR12" s="544">
        <f>+AVERAGE(W12,AA12)</f>
        <v>3650</v>
      </c>
      <c r="CS12" s="544">
        <f>+STDEV(W12,AA12)</f>
        <v>212.13203435596392</v>
      </c>
      <c r="CT12" s="545">
        <f t="shared" si="4"/>
        <v>5.8118365576976416E-2</v>
      </c>
      <c r="CU12" s="544">
        <v>3067.2268907563025</v>
      </c>
      <c r="CV12" s="544">
        <f t="shared" si="9"/>
        <v>582.77310924369749</v>
      </c>
      <c r="CW12" s="546">
        <f t="shared" si="0"/>
        <v>3650</v>
      </c>
      <c r="CX12" s="546">
        <f t="shared" si="1"/>
        <v>3650</v>
      </c>
      <c r="CY12" s="547" t="s">
        <v>932</v>
      </c>
    </row>
    <row r="13" spans="1:104" s="549" customFormat="1" ht="29" x14ac:dyDescent="0.35">
      <c r="A13" s="540">
        <v>10</v>
      </c>
      <c r="B13" s="541" t="s">
        <v>947</v>
      </c>
      <c r="C13" s="542" t="s">
        <v>948</v>
      </c>
      <c r="D13" s="543" t="s">
        <v>928</v>
      </c>
      <c r="E13" s="543">
        <v>1</v>
      </c>
      <c r="F13" s="544"/>
      <c r="G13" s="544"/>
      <c r="H13" s="544"/>
      <c r="I13" s="544"/>
      <c r="J13" s="544"/>
      <c r="K13" s="544"/>
      <c r="L13" s="544"/>
      <c r="M13" s="544"/>
      <c r="N13" s="544"/>
      <c r="O13" s="544"/>
      <c r="P13" s="544"/>
      <c r="Q13" s="544"/>
      <c r="R13" s="544"/>
      <c r="S13" s="544"/>
      <c r="T13" s="544"/>
      <c r="U13" s="544">
        <v>1680.6722689075632</v>
      </c>
      <c r="V13" s="544">
        <f t="shared" si="2"/>
        <v>319.32773109243703</v>
      </c>
      <c r="W13" s="544">
        <f>+U13+V13</f>
        <v>2000.0000000000002</v>
      </c>
      <c r="X13" s="544"/>
      <c r="Y13" s="544">
        <v>2016.8067226890757</v>
      </c>
      <c r="Z13" s="544">
        <f t="shared" si="3"/>
        <v>383.19327731092437</v>
      </c>
      <c r="AA13" s="544">
        <f>+Y13+Z13</f>
        <v>2400</v>
      </c>
      <c r="AB13" s="544"/>
      <c r="AC13" s="544"/>
      <c r="AD13" s="544"/>
      <c r="AE13" s="544"/>
      <c r="AF13" s="544"/>
      <c r="AG13" s="544"/>
      <c r="AH13" s="544"/>
      <c r="AI13" s="544"/>
      <c r="AJ13" s="544"/>
      <c r="AK13" s="544"/>
      <c r="AL13" s="544"/>
      <c r="AM13" s="544"/>
      <c r="AN13" s="544"/>
      <c r="AO13" s="544"/>
      <c r="AP13" s="544"/>
      <c r="AQ13" s="544"/>
      <c r="AR13" s="544"/>
      <c r="AS13" s="544"/>
      <c r="AT13" s="544"/>
      <c r="AU13" s="544"/>
      <c r="AV13" s="544"/>
      <c r="AW13" s="544"/>
      <c r="AX13" s="544"/>
      <c r="AY13" s="544"/>
      <c r="AZ13" s="544"/>
      <c r="BA13" s="544"/>
      <c r="BB13" s="544"/>
      <c r="BC13" s="544"/>
      <c r="BD13" s="544"/>
      <c r="BE13" s="544"/>
      <c r="BF13" s="544"/>
      <c r="BG13" s="544"/>
      <c r="BH13" s="544"/>
      <c r="BI13" s="544"/>
      <c r="BJ13" s="544"/>
      <c r="BK13" s="544"/>
      <c r="BL13" s="544"/>
      <c r="BM13" s="544"/>
      <c r="BN13" s="544"/>
      <c r="BO13" s="544"/>
      <c r="BP13" s="544"/>
      <c r="BQ13" s="544"/>
      <c r="BR13" s="544"/>
      <c r="BS13" s="544"/>
      <c r="BT13" s="544"/>
      <c r="BU13" s="544"/>
      <c r="BV13" s="544"/>
      <c r="BW13" s="544"/>
      <c r="BX13" s="544"/>
      <c r="BY13" s="544"/>
      <c r="BZ13" s="544"/>
      <c r="CA13" s="544"/>
      <c r="CB13" s="544"/>
      <c r="CC13" s="544"/>
      <c r="CD13" s="544"/>
      <c r="CE13" s="544"/>
      <c r="CF13" s="544"/>
      <c r="CG13" s="544"/>
      <c r="CH13" s="544"/>
      <c r="CI13" s="544"/>
      <c r="CJ13" s="544"/>
      <c r="CK13" s="544"/>
      <c r="CL13" s="544"/>
      <c r="CM13" s="544"/>
      <c r="CN13" s="544"/>
      <c r="CO13" s="544"/>
      <c r="CP13" s="544"/>
      <c r="CQ13" s="544">
        <f>+MEDIAN(W13,AA13)</f>
        <v>2200</v>
      </c>
      <c r="CR13" s="544">
        <f>+AVERAGE(W13,AA13)</f>
        <v>2200</v>
      </c>
      <c r="CS13" s="544">
        <f>+STDEV(W13,AA13)</f>
        <v>282.84271247461885</v>
      </c>
      <c r="CT13" s="545">
        <f t="shared" si="4"/>
        <v>0.12856486930664493</v>
      </c>
      <c r="CU13" s="544">
        <v>1848.7394957983195</v>
      </c>
      <c r="CV13" s="544">
        <f t="shared" si="9"/>
        <v>351.2605042016807</v>
      </c>
      <c r="CW13" s="546">
        <f t="shared" si="0"/>
        <v>2200</v>
      </c>
      <c r="CX13" s="546">
        <f t="shared" si="1"/>
        <v>2200</v>
      </c>
      <c r="CY13" s="547" t="s">
        <v>932</v>
      </c>
    </row>
    <row r="14" spans="1:104" s="549" customFormat="1" ht="72.5" x14ac:dyDescent="0.35">
      <c r="A14" s="540">
        <v>11</v>
      </c>
      <c r="B14" s="541" t="s">
        <v>949</v>
      </c>
      <c r="C14" s="542" t="s">
        <v>950</v>
      </c>
      <c r="D14" s="543" t="s">
        <v>928</v>
      </c>
      <c r="E14" s="543">
        <v>1</v>
      </c>
      <c r="F14" s="544"/>
      <c r="G14" s="544"/>
      <c r="H14" s="544"/>
      <c r="I14" s="544"/>
      <c r="J14" s="544"/>
      <c r="K14" s="544"/>
      <c r="L14" s="544"/>
      <c r="M14" s="544"/>
      <c r="N14" s="544"/>
      <c r="O14" s="544"/>
      <c r="P14" s="544"/>
      <c r="Q14" s="544"/>
      <c r="R14" s="544"/>
      <c r="S14" s="544"/>
      <c r="T14" s="544"/>
      <c r="U14" s="544">
        <v>1596.6386554621849</v>
      </c>
      <c r="V14" s="544">
        <f t="shared" si="2"/>
        <v>303.36134453781517</v>
      </c>
      <c r="W14" s="550">
        <f>+U14+V14</f>
        <v>1900</v>
      </c>
      <c r="X14" s="550"/>
      <c r="Y14" s="550">
        <v>1596.6386554621849</v>
      </c>
      <c r="Z14" s="550">
        <f t="shared" si="3"/>
        <v>303.36134453781517</v>
      </c>
      <c r="AA14" s="550">
        <f>+Y14+Z14</f>
        <v>1900</v>
      </c>
      <c r="AB14" s="544"/>
      <c r="AC14" s="544"/>
      <c r="AD14" s="544"/>
      <c r="AE14" s="544"/>
      <c r="AF14" s="544"/>
      <c r="AG14" s="544"/>
      <c r="AH14" s="544"/>
      <c r="AI14" s="544"/>
      <c r="AJ14" s="544"/>
      <c r="AK14" s="544"/>
      <c r="AL14" s="544"/>
      <c r="AM14" s="544"/>
      <c r="AN14" s="544"/>
      <c r="AO14" s="544"/>
      <c r="AP14" s="544"/>
      <c r="AQ14" s="544"/>
      <c r="AR14" s="544"/>
      <c r="AS14" s="544"/>
      <c r="AT14" s="544"/>
      <c r="AU14" s="544"/>
      <c r="AV14" s="544"/>
      <c r="AW14" s="544"/>
      <c r="AX14" s="544"/>
      <c r="AY14" s="544"/>
      <c r="AZ14" s="544"/>
      <c r="BA14" s="544"/>
      <c r="BB14" s="544"/>
      <c r="BC14" s="544"/>
      <c r="BD14" s="544"/>
      <c r="BE14" s="544"/>
      <c r="BF14" s="544"/>
      <c r="BG14" s="544"/>
      <c r="BH14" s="544"/>
      <c r="BI14" s="544"/>
      <c r="BJ14" s="544"/>
      <c r="BK14" s="544"/>
      <c r="BL14" s="544"/>
      <c r="BM14" s="544"/>
      <c r="BN14" s="544"/>
      <c r="BO14" s="544"/>
      <c r="BP14" s="544"/>
      <c r="BQ14" s="544"/>
      <c r="BR14" s="544"/>
      <c r="BS14" s="544"/>
      <c r="BT14" s="544"/>
      <c r="BU14" s="544"/>
      <c r="BV14" s="544"/>
      <c r="BW14" s="544"/>
      <c r="BX14" s="544"/>
      <c r="BY14" s="544"/>
      <c r="BZ14" s="544"/>
      <c r="CA14" s="544"/>
      <c r="CB14" s="544"/>
      <c r="CC14" s="544"/>
      <c r="CD14" s="544"/>
      <c r="CE14" s="544"/>
      <c r="CF14" s="544"/>
      <c r="CG14" s="544"/>
      <c r="CH14" s="544"/>
      <c r="CI14" s="544"/>
      <c r="CJ14" s="544"/>
      <c r="CK14" s="544"/>
      <c r="CL14" s="544"/>
      <c r="CM14" s="544"/>
      <c r="CN14" s="544"/>
      <c r="CO14" s="544"/>
      <c r="CP14" s="544"/>
      <c r="CQ14" s="544">
        <f>+MEDIAN(W14,AA14)</f>
        <v>1900</v>
      </c>
      <c r="CR14" s="544">
        <f>+AVERAGE(W14,AA14)</f>
        <v>1900</v>
      </c>
      <c r="CS14" s="544">
        <f>+STDEV(W14,AA14)</f>
        <v>0</v>
      </c>
      <c r="CT14" s="545">
        <f t="shared" si="4"/>
        <v>0</v>
      </c>
      <c r="CU14" s="544">
        <v>1596.6386554621849</v>
      </c>
      <c r="CV14" s="544">
        <f t="shared" si="9"/>
        <v>303.36134453781517</v>
      </c>
      <c r="CW14" s="546">
        <f t="shared" si="0"/>
        <v>1900</v>
      </c>
      <c r="CX14" s="546">
        <f t="shared" si="1"/>
        <v>1900</v>
      </c>
      <c r="CY14" s="551" t="s">
        <v>932</v>
      </c>
    </row>
    <row r="15" spans="1:104" s="549" customFormat="1" ht="149.25" customHeight="1" x14ac:dyDescent="0.35">
      <c r="A15" s="540">
        <v>12</v>
      </c>
      <c r="B15" s="541" t="s">
        <v>951</v>
      </c>
      <c r="C15" s="542" t="s">
        <v>952</v>
      </c>
      <c r="D15" s="543" t="s">
        <v>67</v>
      </c>
      <c r="E15" s="543">
        <v>1</v>
      </c>
      <c r="F15" s="544"/>
      <c r="G15" s="544"/>
      <c r="H15" s="544"/>
      <c r="I15" s="544">
        <v>10000</v>
      </c>
      <c r="J15" s="544">
        <f t="shared" si="7"/>
        <v>1900</v>
      </c>
      <c r="K15" s="544">
        <f t="shared" si="8"/>
        <v>11900</v>
      </c>
      <c r="L15" s="544">
        <v>14800</v>
      </c>
      <c r="M15" s="544">
        <f>+L15*0.19</f>
        <v>2812</v>
      </c>
      <c r="N15" s="544">
        <f>+L15+M15</f>
        <v>17612</v>
      </c>
      <c r="O15" s="550"/>
      <c r="P15" s="550"/>
      <c r="Q15" s="550"/>
      <c r="R15" s="550"/>
      <c r="S15" s="550"/>
      <c r="T15" s="550"/>
      <c r="U15" s="550"/>
      <c r="V15" s="550"/>
      <c r="W15" s="550"/>
      <c r="X15" s="550"/>
      <c r="Y15" s="550"/>
      <c r="Z15" s="550"/>
      <c r="AA15" s="550"/>
      <c r="AB15" s="550"/>
      <c r="AC15" s="550"/>
      <c r="AD15" s="550"/>
      <c r="AE15" s="550"/>
      <c r="AF15" s="550"/>
      <c r="AG15" s="550"/>
      <c r="AH15" s="550"/>
      <c r="AI15" s="550"/>
      <c r="AJ15" s="550"/>
      <c r="AK15" s="550"/>
      <c r="AL15" s="550"/>
      <c r="AM15" s="550"/>
      <c r="AN15" s="550"/>
      <c r="AO15" s="550"/>
      <c r="AP15" s="550"/>
      <c r="AQ15" s="550"/>
      <c r="AR15" s="550"/>
      <c r="AS15" s="550"/>
      <c r="AT15" s="550"/>
      <c r="AU15" s="550"/>
      <c r="AV15" s="550"/>
      <c r="AW15" s="550"/>
      <c r="AX15" s="550"/>
      <c r="AY15" s="550"/>
      <c r="AZ15" s="550"/>
      <c r="BA15" s="550"/>
      <c r="BB15" s="550"/>
      <c r="BC15" s="550"/>
      <c r="BD15" s="550"/>
      <c r="BE15" s="550"/>
      <c r="BF15" s="550"/>
      <c r="BG15" s="550"/>
      <c r="BH15" s="550"/>
      <c r="BI15" s="550"/>
      <c r="BJ15" s="550"/>
      <c r="BK15" s="550"/>
      <c r="BL15" s="550"/>
      <c r="BM15" s="550"/>
      <c r="BN15" s="550"/>
      <c r="BO15" s="550"/>
      <c r="BP15" s="550"/>
      <c r="BQ15" s="550"/>
      <c r="BR15" s="550"/>
      <c r="BS15" s="550"/>
      <c r="BT15" s="550"/>
      <c r="BU15" s="550"/>
      <c r="BV15" s="550"/>
      <c r="BW15" s="550"/>
      <c r="BX15" s="544"/>
      <c r="BY15" s="544"/>
      <c r="BZ15" s="544"/>
      <c r="CA15" s="544"/>
      <c r="CB15" s="544"/>
      <c r="CC15" s="544"/>
      <c r="CD15" s="544"/>
      <c r="CE15" s="544"/>
      <c r="CF15" s="544"/>
      <c r="CG15" s="544"/>
      <c r="CH15" s="544"/>
      <c r="CI15" s="544"/>
      <c r="CJ15" s="544"/>
      <c r="CK15" s="544"/>
      <c r="CL15" s="544"/>
      <c r="CM15" s="544"/>
      <c r="CN15" s="544"/>
      <c r="CO15" s="544"/>
      <c r="CP15" s="544"/>
      <c r="CQ15" s="544">
        <f>+MEDIAN(K15,N15)</f>
        <v>14756</v>
      </c>
      <c r="CR15" s="544">
        <f>+AVERAGE(K15,N15)</f>
        <v>14756</v>
      </c>
      <c r="CS15" s="544">
        <f>+STDEV(K15,N15)</f>
        <v>4038.9939341375593</v>
      </c>
      <c r="CT15" s="545">
        <f t="shared" si="4"/>
        <v>0.2737187540076958</v>
      </c>
      <c r="CU15" s="544">
        <v>12400</v>
      </c>
      <c r="CV15" s="544">
        <f t="shared" si="9"/>
        <v>2356</v>
      </c>
      <c r="CW15" s="546">
        <f t="shared" si="0"/>
        <v>14756</v>
      </c>
      <c r="CX15" s="546">
        <f t="shared" si="1"/>
        <v>14756</v>
      </c>
      <c r="CY15" s="551" t="s">
        <v>929</v>
      </c>
    </row>
    <row r="16" spans="1:104" s="549" customFormat="1" ht="29" x14ac:dyDescent="0.35">
      <c r="A16" s="540">
        <v>13</v>
      </c>
      <c r="B16" s="541" t="s">
        <v>953</v>
      </c>
      <c r="C16" s="542" t="s">
        <v>954</v>
      </c>
      <c r="D16" s="543" t="s">
        <v>67</v>
      </c>
      <c r="E16" s="543">
        <v>1</v>
      </c>
      <c r="F16" s="544">
        <f>1513*30</f>
        <v>45390</v>
      </c>
      <c r="G16" s="544">
        <f>+F16*19%</f>
        <v>8624.1</v>
      </c>
      <c r="H16" s="544">
        <f t="shared" si="6"/>
        <v>54014.1</v>
      </c>
      <c r="I16" s="544"/>
      <c r="J16" s="544"/>
      <c r="K16" s="544"/>
      <c r="L16" s="544"/>
      <c r="M16" s="544"/>
      <c r="N16" s="544"/>
      <c r="O16" s="550"/>
      <c r="P16" s="550"/>
      <c r="Q16" s="550"/>
      <c r="R16" s="544"/>
      <c r="S16" s="544"/>
      <c r="T16" s="544"/>
      <c r="U16" s="550"/>
      <c r="V16" s="550"/>
      <c r="W16" s="550"/>
      <c r="X16" s="550"/>
      <c r="Y16" s="550"/>
      <c r="Z16" s="550"/>
      <c r="AA16" s="550"/>
      <c r="AB16" s="550"/>
      <c r="AC16" s="550"/>
      <c r="AD16" s="550"/>
      <c r="AE16" s="550"/>
      <c r="AF16" s="550"/>
      <c r="AG16" s="550"/>
      <c r="AH16" s="550"/>
      <c r="AI16" s="550"/>
      <c r="AJ16" s="550"/>
      <c r="AK16" s="550"/>
      <c r="AL16" s="550"/>
      <c r="AM16" s="550"/>
      <c r="AN16" s="550"/>
      <c r="AO16" s="550"/>
      <c r="AP16" s="550"/>
      <c r="AQ16" s="550"/>
      <c r="AR16" s="550"/>
      <c r="AS16" s="550"/>
      <c r="AT16" s="550"/>
      <c r="AU16" s="550"/>
      <c r="AV16" s="550"/>
      <c r="AW16" s="550"/>
      <c r="AX16" s="550"/>
      <c r="AY16" s="550"/>
      <c r="AZ16" s="550"/>
      <c r="BA16" s="550"/>
      <c r="BB16" s="550"/>
      <c r="BC16" s="550"/>
      <c r="BD16" s="550"/>
      <c r="BE16" s="550"/>
      <c r="BF16" s="550"/>
      <c r="BG16" s="550"/>
      <c r="BH16" s="550"/>
      <c r="BI16" s="550"/>
      <c r="BJ16" s="550"/>
      <c r="BK16" s="550"/>
      <c r="BL16" s="550"/>
      <c r="BM16" s="550"/>
      <c r="BN16" s="550"/>
      <c r="BO16" s="550"/>
      <c r="BP16" s="550"/>
      <c r="BQ16" s="550"/>
      <c r="BR16" s="550"/>
      <c r="BS16" s="550"/>
      <c r="BT16" s="550"/>
      <c r="BU16" s="550"/>
      <c r="BV16" s="550"/>
      <c r="BW16" s="550"/>
      <c r="BX16" s="544"/>
      <c r="BY16" s="544"/>
      <c r="BZ16" s="544"/>
      <c r="CA16" s="544"/>
      <c r="CB16" s="544"/>
      <c r="CC16" s="544"/>
      <c r="CD16" s="544">
        <f>1300*30</f>
        <v>39000</v>
      </c>
      <c r="CE16" s="544">
        <f>+CD16*19%</f>
        <v>7410</v>
      </c>
      <c r="CF16" s="544">
        <f>+CD16+CE16</f>
        <v>46410</v>
      </c>
      <c r="CG16" s="544">
        <f>+CF16*15%</f>
        <v>6961.5</v>
      </c>
      <c r="CH16" s="544">
        <f>+CF16+CG16</f>
        <v>53371.5</v>
      </c>
      <c r="CI16" s="544"/>
      <c r="CJ16" s="544"/>
      <c r="CK16" s="544"/>
      <c r="CL16" s="544"/>
      <c r="CM16" s="544"/>
      <c r="CN16" s="544"/>
      <c r="CO16" s="544"/>
      <c r="CP16" s="544"/>
      <c r="CQ16" s="544">
        <f>+MEDIAN(H16,CH16)</f>
        <v>53692.800000000003</v>
      </c>
      <c r="CR16" s="544">
        <f>+AVERAGE(H16,CH16)</f>
        <v>53692.800000000003</v>
      </c>
      <c r="CS16" s="544">
        <f>+STDEV(H16,CH16)</f>
        <v>454.38681759047444</v>
      </c>
      <c r="CT16" s="545">
        <f t="shared" si="4"/>
        <v>8.4627141365411079E-3</v>
      </c>
      <c r="CU16" s="544">
        <v>45120.168067226892</v>
      </c>
      <c r="CV16" s="544">
        <f t="shared" si="9"/>
        <v>8572.8319327731097</v>
      </c>
      <c r="CW16" s="546">
        <f t="shared" si="0"/>
        <v>53693</v>
      </c>
      <c r="CX16" s="546">
        <f t="shared" si="1"/>
        <v>53693</v>
      </c>
      <c r="CY16" s="551" t="s">
        <v>932</v>
      </c>
    </row>
    <row r="17" spans="1:103" s="549" customFormat="1" x14ac:dyDescent="0.35">
      <c r="A17" s="540">
        <v>14</v>
      </c>
      <c r="B17" s="541" t="s">
        <v>955</v>
      </c>
      <c r="C17" s="542" t="s">
        <v>50</v>
      </c>
      <c r="D17" s="543" t="s">
        <v>273</v>
      </c>
      <c r="E17" s="543">
        <v>1</v>
      </c>
      <c r="F17" s="544">
        <v>5462</v>
      </c>
      <c r="G17" s="544">
        <f t="shared" si="5"/>
        <v>1037.78</v>
      </c>
      <c r="H17" s="544">
        <f t="shared" si="6"/>
        <v>6499.78</v>
      </c>
      <c r="I17" s="544">
        <v>3361.3445378151264</v>
      </c>
      <c r="J17" s="544">
        <f t="shared" si="7"/>
        <v>638.65546218487407</v>
      </c>
      <c r="K17" s="544">
        <f t="shared" si="8"/>
        <v>4000.0000000000005</v>
      </c>
      <c r="L17" s="544">
        <v>4095.7983193277314</v>
      </c>
      <c r="M17" s="544">
        <f>+L17*0.19</f>
        <v>778.20168067226894</v>
      </c>
      <c r="N17" s="544">
        <f>+L17+M17</f>
        <v>4874</v>
      </c>
      <c r="O17" s="550"/>
      <c r="P17" s="550"/>
      <c r="Q17" s="550"/>
      <c r="R17" s="550"/>
      <c r="S17" s="550"/>
      <c r="T17" s="550"/>
      <c r="U17" s="550"/>
      <c r="V17" s="550"/>
      <c r="W17" s="550"/>
      <c r="X17" s="550"/>
      <c r="Y17" s="550"/>
      <c r="Z17" s="550"/>
      <c r="AA17" s="550"/>
      <c r="AB17" s="550"/>
      <c r="AC17" s="550"/>
      <c r="AD17" s="550"/>
      <c r="AE17" s="550"/>
      <c r="AF17" s="550"/>
      <c r="AG17" s="550"/>
      <c r="AH17" s="550"/>
      <c r="AI17" s="550"/>
      <c r="AJ17" s="550"/>
      <c r="AK17" s="550"/>
      <c r="AL17" s="550"/>
      <c r="AM17" s="550"/>
      <c r="AN17" s="550"/>
      <c r="AO17" s="550"/>
      <c r="AP17" s="550"/>
      <c r="AQ17" s="550"/>
      <c r="AR17" s="550"/>
      <c r="AS17" s="550"/>
      <c r="AT17" s="550"/>
      <c r="AU17" s="550"/>
      <c r="AV17" s="550"/>
      <c r="AW17" s="550"/>
      <c r="AX17" s="550"/>
      <c r="AY17" s="550"/>
      <c r="AZ17" s="550"/>
      <c r="BA17" s="550"/>
      <c r="BB17" s="550"/>
      <c r="BC17" s="550"/>
      <c r="BD17" s="550"/>
      <c r="BE17" s="550"/>
      <c r="BF17" s="550"/>
      <c r="BG17" s="550"/>
      <c r="BH17" s="550"/>
      <c r="BI17" s="550"/>
      <c r="BJ17" s="550"/>
      <c r="BK17" s="550"/>
      <c r="BL17" s="550"/>
      <c r="BM17" s="550"/>
      <c r="BN17" s="550"/>
      <c r="BO17" s="550"/>
      <c r="BP17" s="550"/>
      <c r="BQ17" s="550"/>
      <c r="BR17" s="550"/>
      <c r="BS17" s="550"/>
      <c r="BT17" s="550"/>
      <c r="BU17" s="550"/>
      <c r="BV17" s="550"/>
      <c r="BW17" s="550"/>
      <c r="BX17" s="544"/>
      <c r="BY17" s="544"/>
      <c r="BZ17" s="544"/>
      <c r="CA17" s="544"/>
      <c r="CB17" s="544"/>
      <c r="CC17" s="544"/>
      <c r="CD17" s="544"/>
      <c r="CE17" s="544"/>
      <c r="CF17" s="544"/>
      <c r="CG17" s="544"/>
      <c r="CH17" s="544"/>
      <c r="CI17" s="544"/>
      <c r="CJ17" s="544"/>
      <c r="CK17" s="544"/>
      <c r="CL17" s="544"/>
      <c r="CM17" s="544"/>
      <c r="CN17" s="544"/>
      <c r="CO17" s="544"/>
      <c r="CP17" s="544"/>
      <c r="CQ17" s="544">
        <f>+MEDIAN(H17,K17,N17)</f>
        <v>4874</v>
      </c>
      <c r="CR17" s="544">
        <f>+AVERAGE(H17,K17,N17)</f>
        <v>5124.5933333333332</v>
      </c>
      <c r="CS17" s="544">
        <f>+STDEV(H17,K17,N17)</f>
        <v>1268.5908623876055</v>
      </c>
      <c r="CT17" s="545">
        <f t="shared" si="4"/>
        <v>0.24754956732585068</v>
      </c>
      <c r="CU17" s="544">
        <v>4095.7983193277314</v>
      </c>
      <c r="CV17" s="544">
        <f t="shared" si="9"/>
        <v>778.20168067226894</v>
      </c>
      <c r="CW17" s="546">
        <f t="shared" si="0"/>
        <v>4874</v>
      </c>
      <c r="CX17" s="546">
        <f t="shared" si="1"/>
        <v>4874</v>
      </c>
      <c r="CY17" s="551" t="s">
        <v>929</v>
      </c>
    </row>
    <row r="18" spans="1:103" s="549" customFormat="1" ht="29" x14ac:dyDescent="0.35">
      <c r="A18" s="540">
        <v>15</v>
      </c>
      <c r="B18" s="541" t="s">
        <v>955</v>
      </c>
      <c r="C18" s="542" t="s">
        <v>956</v>
      </c>
      <c r="D18" s="543" t="s">
        <v>273</v>
      </c>
      <c r="E18" s="543">
        <v>1</v>
      </c>
      <c r="F18" s="544">
        <v>2941</v>
      </c>
      <c r="G18" s="544">
        <f t="shared" si="5"/>
        <v>558.79</v>
      </c>
      <c r="H18" s="544">
        <f t="shared" si="6"/>
        <v>3499.79</v>
      </c>
      <c r="I18" s="544">
        <v>2605.0420168067226</v>
      </c>
      <c r="J18" s="544">
        <f t="shared" si="7"/>
        <v>494.9579831932773</v>
      </c>
      <c r="K18" s="544">
        <f t="shared" si="8"/>
        <v>3100</v>
      </c>
      <c r="L18" s="550"/>
      <c r="M18" s="550"/>
      <c r="N18" s="550"/>
      <c r="O18" s="550"/>
      <c r="P18" s="550"/>
      <c r="Q18" s="550"/>
      <c r="R18" s="550"/>
      <c r="S18" s="550"/>
      <c r="T18" s="550"/>
      <c r="U18" s="550"/>
      <c r="V18" s="550"/>
      <c r="W18" s="550"/>
      <c r="X18" s="550"/>
      <c r="Y18" s="550"/>
      <c r="Z18" s="550"/>
      <c r="AA18" s="550"/>
      <c r="AB18" s="550"/>
      <c r="AC18" s="550"/>
      <c r="AD18" s="550"/>
      <c r="AE18" s="550"/>
      <c r="AF18" s="550"/>
      <c r="AG18" s="550"/>
      <c r="AH18" s="550"/>
      <c r="AI18" s="550"/>
      <c r="AJ18" s="550"/>
      <c r="AK18" s="550"/>
      <c r="AL18" s="550"/>
      <c r="AM18" s="550"/>
      <c r="AN18" s="550"/>
      <c r="AO18" s="550"/>
      <c r="AP18" s="550"/>
      <c r="AQ18" s="550"/>
      <c r="AR18" s="550"/>
      <c r="AS18" s="550"/>
      <c r="AT18" s="550"/>
      <c r="AU18" s="550"/>
      <c r="AV18" s="550"/>
      <c r="AW18" s="550"/>
      <c r="AX18" s="550"/>
      <c r="AY18" s="550"/>
      <c r="AZ18" s="550"/>
      <c r="BA18" s="550"/>
      <c r="BB18" s="550"/>
      <c r="BC18" s="550"/>
      <c r="BD18" s="550"/>
      <c r="BE18" s="550"/>
      <c r="BF18" s="550"/>
      <c r="BG18" s="550"/>
      <c r="BH18" s="550"/>
      <c r="BI18" s="550"/>
      <c r="BJ18" s="550"/>
      <c r="BK18" s="550"/>
      <c r="BL18" s="550"/>
      <c r="BM18" s="550"/>
      <c r="BN18" s="550"/>
      <c r="BO18" s="550"/>
      <c r="BP18" s="550"/>
      <c r="BQ18" s="550"/>
      <c r="BR18" s="550"/>
      <c r="BS18" s="550"/>
      <c r="BT18" s="550"/>
      <c r="BU18" s="550"/>
      <c r="BV18" s="550"/>
      <c r="BW18" s="550"/>
      <c r="BX18" s="544"/>
      <c r="BY18" s="544"/>
      <c r="BZ18" s="544"/>
      <c r="CA18" s="544"/>
      <c r="CB18" s="544"/>
      <c r="CC18" s="544"/>
      <c r="CD18" s="544"/>
      <c r="CE18" s="544"/>
      <c r="CF18" s="544"/>
      <c r="CG18" s="544"/>
      <c r="CH18" s="544"/>
      <c r="CI18" s="544"/>
      <c r="CJ18" s="544"/>
      <c r="CK18" s="544"/>
      <c r="CL18" s="544"/>
      <c r="CM18" s="544"/>
      <c r="CN18" s="544"/>
      <c r="CO18" s="544"/>
      <c r="CP18" s="544"/>
      <c r="CQ18" s="544">
        <f>+MEDIAN(H18,K18)</f>
        <v>3299.895</v>
      </c>
      <c r="CR18" s="544">
        <f>+AVERAGE(H18,K18)</f>
        <v>3299.895</v>
      </c>
      <c r="CS18" s="544">
        <f>+STDEV(H18,K18)</f>
        <v>282.69422005056981</v>
      </c>
      <c r="CT18" s="545">
        <f t="shared" si="4"/>
        <v>8.5667640955415195E-2</v>
      </c>
      <c r="CU18" s="544">
        <v>2773.1092436974791</v>
      </c>
      <c r="CV18" s="544">
        <f t="shared" si="9"/>
        <v>526.89075630252103</v>
      </c>
      <c r="CW18" s="546">
        <f t="shared" si="0"/>
        <v>3300</v>
      </c>
      <c r="CX18" s="546">
        <f t="shared" si="1"/>
        <v>3300</v>
      </c>
      <c r="CY18" s="551" t="s">
        <v>932</v>
      </c>
    </row>
    <row r="19" spans="1:103" s="549" customFormat="1" ht="51" customHeight="1" x14ac:dyDescent="0.35">
      <c r="A19" s="540">
        <v>16</v>
      </c>
      <c r="B19" s="541" t="s">
        <v>955</v>
      </c>
      <c r="C19" s="542" t="s">
        <v>957</v>
      </c>
      <c r="D19" s="543" t="s">
        <v>273</v>
      </c>
      <c r="E19" s="543">
        <v>1</v>
      </c>
      <c r="F19" s="544"/>
      <c r="G19" s="544"/>
      <c r="H19" s="544"/>
      <c r="I19" s="544"/>
      <c r="J19" s="544"/>
      <c r="K19" s="544"/>
      <c r="L19" s="544"/>
      <c r="M19" s="544"/>
      <c r="N19" s="544"/>
      <c r="O19" s="550"/>
      <c r="P19" s="550"/>
      <c r="Q19" s="550"/>
      <c r="R19" s="544">
        <v>26470.588235294119</v>
      </c>
      <c r="S19" s="544">
        <f>+R19*19%</f>
        <v>5029.4117647058829</v>
      </c>
      <c r="T19" s="544">
        <f>+R19+S19</f>
        <v>31500</v>
      </c>
      <c r="U19" s="550"/>
      <c r="V19" s="550"/>
      <c r="W19" s="550"/>
      <c r="X19" s="550"/>
      <c r="Y19" s="550"/>
      <c r="Z19" s="550"/>
      <c r="AA19" s="550"/>
      <c r="AB19" s="550"/>
      <c r="AC19" s="550"/>
      <c r="AD19" s="550"/>
      <c r="AE19" s="550">
        <f>24900/1.19</f>
        <v>20924.36974789916</v>
      </c>
      <c r="AF19" s="550">
        <f>+AE19*19%</f>
        <v>3975.6302521008406</v>
      </c>
      <c r="AG19" s="550">
        <f>+AE19+AF19</f>
        <v>24900</v>
      </c>
      <c r="AH19" s="544">
        <f>+AG19*15%</f>
        <v>3735</v>
      </c>
      <c r="AI19" s="544">
        <f>+AG19+AH19</f>
        <v>28635</v>
      </c>
      <c r="AJ19" s="550"/>
      <c r="AK19" s="550"/>
      <c r="AL19" s="550"/>
      <c r="AM19" s="550"/>
      <c r="AN19" s="550"/>
      <c r="AO19" s="550"/>
      <c r="AP19" s="550"/>
      <c r="AQ19" s="550"/>
      <c r="AR19" s="550"/>
      <c r="AS19" s="550"/>
      <c r="AT19" s="550"/>
      <c r="AU19" s="550"/>
      <c r="AV19" s="550"/>
      <c r="AW19" s="550"/>
      <c r="AX19" s="550"/>
      <c r="AY19" s="550"/>
      <c r="AZ19" s="550"/>
      <c r="BA19" s="550"/>
      <c r="BB19" s="550"/>
      <c r="BC19" s="550"/>
      <c r="BD19" s="550"/>
      <c r="BE19" s="550"/>
      <c r="BF19" s="550"/>
      <c r="BG19" s="550"/>
      <c r="BH19" s="550"/>
      <c r="BI19" s="550"/>
      <c r="BJ19" s="550"/>
      <c r="BK19" s="550"/>
      <c r="BL19" s="550"/>
      <c r="BM19" s="550"/>
      <c r="BN19" s="550"/>
      <c r="BO19" s="550"/>
      <c r="BP19" s="550"/>
      <c r="BQ19" s="550"/>
      <c r="BR19" s="550"/>
      <c r="BS19" s="550"/>
      <c r="BT19" s="550"/>
      <c r="BU19" s="550"/>
      <c r="BV19" s="550"/>
      <c r="BW19" s="550"/>
      <c r="BX19" s="544"/>
      <c r="BY19" s="544"/>
      <c r="BZ19" s="544"/>
      <c r="CA19" s="544"/>
      <c r="CB19" s="544"/>
      <c r="CC19" s="544"/>
      <c r="CD19" s="544"/>
      <c r="CE19" s="544"/>
      <c r="CF19" s="544"/>
      <c r="CG19" s="544"/>
      <c r="CH19" s="544"/>
      <c r="CI19" s="544">
        <f>20900/1.19</f>
        <v>17563.025210084033</v>
      </c>
      <c r="CJ19" s="544">
        <f>+CI19*19%</f>
        <v>3336.9747899159665</v>
      </c>
      <c r="CK19" s="544">
        <f>+CI19+CJ19</f>
        <v>20900</v>
      </c>
      <c r="CL19" s="544">
        <f>+CK19*15%</f>
        <v>3135</v>
      </c>
      <c r="CM19" s="544">
        <f>+CK19+CL19</f>
        <v>24035</v>
      </c>
      <c r="CN19" s="544"/>
      <c r="CO19" s="544"/>
      <c r="CP19" s="544"/>
      <c r="CQ19" s="544">
        <f>+MEDIAN(T19,AI19,CM19)</f>
        <v>28635</v>
      </c>
      <c r="CR19" s="544">
        <f>+AVERAGE(T19,AI19,CM19)</f>
        <v>28056.666666666668</v>
      </c>
      <c r="CS19" s="544">
        <f>+STDEV(T19,AI19,CM19)</f>
        <v>3765.9538411049671</v>
      </c>
      <c r="CT19" s="545">
        <f t="shared" si="4"/>
        <v>0.1342267021897933</v>
      </c>
      <c r="CU19" s="544">
        <v>23577.310924369747</v>
      </c>
      <c r="CV19" s="544">
        <f>+CU19*19%</f>
        <v>4479.6890756302519</v>
      </c>
      <c r="CW19" s="546">
        <f t="shared" si="0"/>
        <v>28057</v>
      </c>
      <c r="CX19" s="546">
        <f t="shared" si="1"/>
        <v>28057</v>
      </c>
      <c r="CY19" s="551" t="s">
        <v>932</v>
      </c>
    </row>
    <row r="20" spans="1:103" s="549" customFormat="1" ht="29" x14ac:dyDescent="0.35">
      <c r="A20" s="540">
        <v>17</v>
      </c>
      <c r="B20" s="541" t="s">
        <v>955</v>
      </c>
      <c r="C20" s="542" t="s">
        <v>958</v>
      </c>
      <c r="D20" s="543" t="s">
        <v>273</v>
      </c>
      <c r="E20" s="543">
        <v>1</v>
      </c>
      <c r="F20" s="544">
        <v>1261</v>
      </c>
      <c r="G20" s="544">
        <f t="shared" si="5"/>
        <v>239.59</v>
      </c>
      <c r="H20" s="544">
        <f t="shared" si="6"/>
        <v>1500.59</v>
      </c>
      <c r="I20" s="544">
        <v>1513</v>
      </c>
      <c r="J20" s="544">
        <f t="shared" si="7"/>
        <v>287.47000000000003</v>
      </c>
      <c r="K20" s="544">
        <f t="shared" si="8"/>
        <v>1800.47</v>
      </c>
      <c r="L20" s="544"/>
      <c r="M20" s="544"/>
      <c r="N20" s="544"/>
      <c r="O20" s="550"/>
      <c r="P20" s="550"/>
      <c r="Q20" s="550"/>
      <c r="R20" s="550"/>
      <c r="S20" s="550"/>
      <c r="T20" s="550"/>
      <c r="U20" s="550"/>
      <c r="V20" s="550"/>
      <c r="W20" s="550"/>
      <c r="X20" s="550"/>
      <c r="Y20" s="550"/>
      <c r="Z20" s="550"/>
      <c r="AA20" s="550"/>
      <c r="AB20" s="550"/>
      <c r="AC20" s="550"/>
      <c r="AD20" s="550"/>
      <c r="AE20" s="550"/>
      <c r="AF20" s="550"/>
      <c r="AG20" s="550"/>
      <c r="AH20" s="550"/>
      <c r="AI20" s="550"/>
      <c r="AJ20" s="550"/>
      <c r="AK20" s="550"/>
      <c r="AL20" s="550"/>
      <c r="AM20" s="550"/>
      <c r="AN20" s="550"/>
      <c r="AO20" s="550"/>
      <c r="AP20" s="550"/>
      <c r="AQ20" s="550"/>
      <c r="AR20" s="550"/>
      <c r="AS20" s="550"/>
      <c r="AT20" s="550"/>
      <c r="AU20" s="550"/>
      <c r="AV20" s="550"/>
      <c r="AW20" s="550"/>
      <c r="AX20" s="550"/>
      <c r="AY20" s="550"/>
      <c r="AZ20" s="550"/>
      <c r="BA20" s="550"/>
      <c r="BB20" s="550"/>
      <c r="BC20" s="550"/>
      <c r="BD20" s="550"/>
      <c r="BE20" s="550"/>
      <c r="BF20" s="550"/>
      <c r="BG20" s="550"/>
      <c r="BH20" s="550"/>
      <c r="BI20" s="550"/>
      <c r="BJ20" s="550"/>
      <c r="BK20" s="550"/>
      <c r="BL20" s="550"/>
      <c r="BM20" s="550"/>
      <c r="BN20" s="550"/>
      <c r="BO20" s="550"/>
      <c r="BP20" s="550"/>
      <c r="BQ20" s="550"/>
      <c r="BR20" s="550"/>
      <c r="BS20" s="550"/>
      <c r="BT20" s="550"/>
      <c r="BU20" s="550"/>
      <c r="BV20" s="550"/>
      <c r="BW20" s="550"/>
      <c r="BX20" s="544"/>
      <c r="BY20" s="544"/>
      <c r="BZ20" s="544"/>
      <c r="CA20" s="544"/>
      <c r="CB20" s="544"/>
      <c r="CC20" s="544"/>
      <c r="CD20" s="544"/>
      <c r="CE20" s="544"/>
      <c r="CF20" s="544"/>
      <c r="CG20" s="544"/>
      <c r="CH20" s="544"/>
      <c r="CI20" s="544"/>
      <c r="CJ20" s="544"/>
      <c r="CK20" s="544"/>
      <c r="CL20" s="544"/>
      <c r="CM20" s="544"/>
      <c r="CN20" s="544"/>
      <c r="CO20" s="544"/>
      <c r="CP20" s="544"/>
      <c r="CQ20" s="544">
        <f>+MEDIAN(H20,K20)</f>
        <v>1650.53</v>
      </c>
      <c r="CR20" s="544">
        <f>+AVERAGE(H20,K20)</f>
        <v>1650.53</v>
      </c>
      <c r="CS20" s="544">
        <f>+STDEV(H20,K20)</f>
        <v>212.04718154222195</v>
      </c>
      <c r="CT20" s="545">
        <f t="shared" si="4"/>
        <v>0.1284721765385797</v>
      </c>
      <c r="CU20" s="544">
        <v>1387.3949579831933</v>
      </c>
      <c r="CV20" s="544">
        <f t="shared" si="9"/>
        <v>263.60504201680675</v>
      </c>
      <c r="CW20" s="546">
        <f t="shared" si="0"/>
        <v>1651</v>
      </c>
      <c r="CX20" s="546">
        <f t="shared" si="1"/>
        <v>1651</v>
      </c>
      <c r="CY20" s="551" t="s">
        <v>932</v>
      </c>
    </row>
    <row r="21" spans="1:103" s="549" customFormat="1" ht="29" x14ac:dyDescent="0.35">
      <c r="A21" s="540">
        <v>18</v>
      </c>
      <c r="B21" s="541" t="s">
        <v>955</v>
      </c>
      <c r="C21" s="542" t="s">
        <v>959</v>
      </c>
      <c r="D21" s="543" t="s">
        <v>273</v>
      </c>
      <c r="E21" s="543">
        <v>1</v>
      </c>
      <c r="F21" s="544">
        <v>2521</v>
      </c>
      <c r="G21" s="544">
        <f t="shared" si="5"/>
        <v>478.99</v>
      </c>
      <c r="H21" s="544">
        <f t="shared" si="6"/>
        <v>2999.99</v>
      </c>
      <c r="I21" s="544">
        <v>3361</v>
      </c>
      <c r="J21" s="544">
        <f t="shared" si="7"/>
        <v>638.59</v>
      </c>
      <c r="K21" s="544">
        <f t="shared" si="8"/>
        <v>3999.59</v>
      </c>
      <c r="L21" s="544"/>
      <c r="M21" s="544"/>
      <c r="N21" s="544"/>
      <c r="O21" s="550"/>
      <c r="P21" s="550"/>
      <c r="Q21" s="550"/>
      <c r="R21" s="550"/>
      <c r="S21" s="550"/>
      <c r="T21" s="550"/>
      <c r="U21" s="550"/>
      <c r="V21" s="550"/>
      <c r="W21" s="550"/>
      <c r="X21" s="550"/>
      <c r="Y21" s="550"/>
      <c r="Z21" s="550"/>
      <c r="AA21" s="550"/>
      <c r="AB21" s="550"/>
      <c r="AC21" s="550"/>
      <c r="AD21" s="550"/>
      <c r="AE21" s="550"/>
      <c r="AF21" s="550"/>
      <c r="AG21" s="550"/>
      <c r="AH21" s="550"/>
      <c r="AI21" s="550"/>
      <c r="AJ21" s="550"/>
      <c r="AK21" s="550"/>
      <c r="AL21" s="550"/>
      <c r="AM21" s="550"/>
      <c r="AN21" s="550"/>
      <c r="AO21" s="550"/>
      <c r="AP21" s="550"/>
      <c r="AQ21" s="550"/>
      <c r="AR21" s="550"/>
      <c r="AS21" s="550"/>
      <c r="AT21" s="550"/>
      <c r="AU21" s="550"/>
      <c r="AV21" s="550"/>
      <c r="AW21" s="550"/>
      <c r="AX21" s="550"/>
      <c r="AY21" s="550"/>
      <c r="AZ21" s="550"/>
      <c r="BA21" s="550"/>
      <c r="BB21" s="550"/>
      <c r="BC21" s="550"/>
      <c r="BD21" s="550"/>
      <c r="BE21" s="550"/>
      <c r="BF21" s="550"/>
      <c r="BG21" s="550"/>
      <c r="BH21" s="550"/>
      <c r="BI21" s="550"/>
      <c r="BJ21" s="550"/>
      <c r="BK21" s="550"/>
      <c r="BL21" s="550"/>
      <c r="BM21" s="550"/>
      <c r="BN21" s="550"/>
      <c r="BO21" s="550"/>
      <c r="BP21" s="550"/>
      <c r="BQ21" s="550"/>
      <c r="BR21" s="550"/>
      <c r="BS21" s="550"/>
      <c r="BT21" s="550"/>
      <c r="BU21" s="550"/>
      <c r="BV21" s="550"/>
      <c r="BW21" s="550"/>
      <c r="BX21" s="544"/>
      <c r="BY21" s="544"/>
      <c r="BZ21" s="544"/>
      <c r="CA21" s="544"/>
      <c r="CB21" s="544"/>
      <c r="CC21" s="544"/>
      <c r="CD21" s="544"/>
      <c r="CE21" s="544"/>
      <c r="CF21" s="544"/>
      <c r="CG21" s="544"/>
      <c r="CH21" s="544"/>
      <c r="CI21" s="544"/>
      <c r="CJ21" s="544"/>
      <c r="CK21" s="544"/>
      <c r="CL21" s="544"/>
      <c r="CM21" s="544"/>
      <c r="CN21" s="544"/>
      <c r="CO21" s="544"/>
      <c r="CP21" s="544"/>
      <c r="CQ21" s="544">
        <f>+MEDIAN(H21,K21)</f>
        <v>3499.79</v>
      </c>
      <c r="CR21" s="544">
        <f>+AVERAGE(H21,K21)</f>
        <v>3499.79</v>
      </c>
      <c r="CS21" s="544">
        <f>+STDEV(H21,K21)</f>
        <v>706.82393847407423</v>
      </c>
      <c r="CT21" s="545">
        <f t="shared" si="4"/>
        <v>0.20196181441574329</v>
      </c>
      <c r="CU21" s="544">
        <v>2941.1764705882356</v>
      </c>
      <c r="CV21" s="544">
        <f t="shared" si="9"/>
        <v>558.82352941176475</v>
      </c>
      <c r="CW21" s="546">
        <f t="shared" si="0"/>
        <v>3500</v>
      </c>
      <c r="CX21" s="546">
        <f t="shared" si="1"/>
        <v>3500</v>
      </c>
      <c r="CY21" s="551" t="s">
        <v>929</v>
      </c>
    </row>
    <row r="22" spans="1:103" s="549" customFormat="1" ht="29" x14ac:dyDescent="0.35">
      <c r="A22" s="540">
        <v>19</v>
      </c>
      <c r="B22" s="541" t="s">
        <v>960</v>
      </c>
      <c r="C22" s="542" t="s">
        <v>961</v>
      </c>
      <c r="D22" s="543" t="s">
        <v>24</v>
      </c>
      <c r="E22" s="543">
        <v>1</v>
      </c>
      <c r="F22" s="544">
        <v>3782</v>
      </c>
      <c r="G22" s="544">
        <f t="shared" si="5"/>
        <v>718.58</v>
      </c>
      <c r="H22" s="544">
        <f t="shared" si="6"/>
        <v>4500.58</v>
      </c>
      <c r="I22" s="544"/>
      <c r="J22" s="544"/>
      <c r="K22" s="544"/>
      <c r="L22" s="544"/>
      <c r="M22" s="544"/>
      <c r="N22" s="544"/>
      <c r="O22" s="550"/>
      <c r="P22" s="550"/>
      <c r="Q22" s="550"/>
      <c r="R22" s="544">
        <v>3763.3053221288524</v>
      </c>
      <c r="S22" s="544">
        <f>+R22*19%</f>
        <v>715.02801120448191</v>
      </c>
      <c r="T22" s="544">
        <f>+R22+S22</f>
        <v>4478.3333333333339</v>
      </c>
      <c r="U22" s="550"/>
      <c r="V22" s="550"/>
      <c r="W22" s="550"/>
      <c r="X22" s="550"/>
      <c r="Y22" s="550"/>
      <c r="Z22" s="550"/>
      <c r="AA22" s="550"/>
      <c r="AB22" s="550"/>
      <c r="AC22" s="550"/>
      <c r="AD22" s="550"/>
      <c r="AE22" s="550"/>
      <c r="AF22" s="550"/>
      <c r="AG22" s="550"/>
      <c r="AH22" s="550"/>
      <c r="AI22" s="550"/>
      <c r="AJ22" s="550"/>
      <c r="AK22" s="550"/>
      <c r="AL22" s="550"/>
      <c r="AM22" s="550"/>
      <c r="AN22" s="550"/>
      <c r="AO22" s="550"/>
      <c r="AP22" s="550"/>
      <c r="AQ22" s="550"/>
      <c r="AR22" s="550"/>
      <c r="AS22" s="550"/>
      <c r="AT22" s="550"/>
      <c r="AU22" s="550"/>
      <c r="AV22" s="550"/>
      <c r="AW22" s="550"/>
      <c r="AX22" s="550"/>
      <c r="AY22" s="550"/>
      <c r="AZ22" s="550"/>
      <c r="BA22" s="550"/>
      <c r="BB22" s="550"/>
      <c r="BC22" s="550"/>
      <c r="BD22" s="550"/>
      <c r="BE22" s="550"/>
      <c r="BF22" s="550"/>
      <c r="BG22" s="550"/>
      <c r="BH22" s="550"/>
      <c r="BI22" s="550"/>
      <c r="BJ22" s="550"/>
      <c r="BK22" s="550"/>
      <c r="BL22" s="550"/>
      <c r="BM22" s="550"/>
      <c r="BN22" s="550"/>
      <c r="BO22" s="550"/>
      <c r="BP22" s="550"/>
      <c r="BQ22" s="550"/>
      <c r="BR22" s="550"/>
      <c r="BS22" s="550"/>
      <c r="BT22" s="550"/>
      <c r="BU22" s="550"/>
      <c r="BV22" s="550"/>
      <c r="BW22" s="550"/>
      <c r="BX22" s="544"/>
      <c r="BY22" s="544"/>
      <c r="BZ22" s="544"/>
      <c r="CA22" s="544"/>
      <c r="CB22" s="544"/>
      <c r="CC22" s="544"/>
      <c r="CD22" s="544"/>
      <c r="CE22" s="544"/>
      <c r="CF22" s="544"/>
      <c r="CG22" s="544"/>
      <c r="CH22" s="544"/>
      <c r="CI22" s="544"/>
      <c r="CJ22" s="544"/>
      <c r="CK22" s="544"/>
      <c r="CL22" s="544"/>
      <c r="CM22" s="544"/>
      <c r="CN22" s="544"/>
      <c r="CO22" s="544"/>
      <c r="CP22" s="544"/>
      <c r="CQ22" s="544">
        <f>+MEDIAN(H22,T22)</f>
        <v>4489.4566666666669</v>
      </c>
      <c r="CR22" s="544">
        <f>+AVERAGE(H22,T22)</f>
        <v>4489.4566666666669</v>
      </c>
      <c r="CS22" s="544">
        <f>+STDEV(H22,T22)</f>
        <v>15.730768858796248</v>
      </c>
      <c r="CT22" s="545">
        <f t="shared" si="4"/>
        <v>3.5039360053509623E-3</v>
      </c>
      <c r="CU22" s="544">
        <v>3773.1092436974791</v>
      </c>
      <c r="CV22" s="544">
        <f t="shared" si="9"/>
        <v>716.89075630252103</v>
      </c>
      <c r="CW22" s="546">
        <f t="shared" si="0"/>
        <v>4490</v>
      </c>
      <c r="CX22" s="546">
        <f t="shared" si="1"/>
        <v>4490</v>
      </c>
      <c r="CY22" s="551" t="s">
        <v>932</v>
      </c>
    </row>
    <row r="23" spans="1:103" s="549" customFormat="1" ht="29" x14ac:dyDescent="0.35">
      <c r="A23" s="540">
        <v>20</v>
      </c>
      <c r="B23" s="541" t="s">
        <v>962</v>
      </c>
      <c r="C23" s="542" t="s">
        <v>963</v>
      </c>
      <c r="D23" s="543" t="s">
        <v>24</v>
      </c>
      <c r="E23" s="543">
        <v>1</v>
      </c>
      <c r="F23" s="544"/>
      <c r="G23" s="544"/>
      <c r="H23" s="544"/>
      <c r="I23" s="544"/>
      <c r="J23" s="544"/>
      <c r="K23" s="544"/>
      <c r="L23" s="544"/>
      <c r="M23" s="544"/>
      <c r="N23" s="544"/>
      <c r="O23" s="550"/>
      <c r="P23" s="550"/>
      <c r="Q23" s="550"/>
      <c r="R23" s="544"/>
      <c r="S23" s="544"/>
      <c r="T23" s="544"/>
      <c r="U23" s="550">
        <v>10000</v>
      </c>
      <c r="V23" s="550">
        <v>0</v>
      </c>
      <c r="W23" s="550">
        <f>+U23+V23</f>
        <v>10000</v>
      </c>
      <c r="X23" s="550"/>
      <c r="Y23" s="550">
        <v>11500</v>
      </c>
      <c r="Z23" s="550">
        <v>0</v>
      </c>
      <c r="AA23" s="550">
        <f>+Y23+Z23</f>
        <v>11500</v>
      </c>
      <c r="AB23" s="550"/>
      <c r="AC23" s="550"/>
      <c r="AD23" s="550"/>
      <c r="AE23" s="550"/>
      <c r="AF23" s="550"/>
      <c r="AG23" s="550"/>
      <c r="AH23" s="550"/>
      <c r="AI23" s="550"/>
      <c r="AJ23" s="544"/>
      <c r="AK23" s="544"/>
      <c r="AL23" s="544"/>
      <c r="AM23" s="544"/>
      <c r="AN23" s="544"/>
      <c r="AO23" s="544"/>
      <c r="AP23" s="544"/>
      <c r="AQ23" s="550"/>
      <c r="AR23" s="550"/>
      <c r="AS23" s="550"/>
      <c r="AT23" s="550"/>
      <c r="AU23" s="550"/>
      <c r="AV23" s="550"/>
      <c r="AW23" s="550"/>
      <c r="AX23" s="550"/>
      <c r="AY23" s="550"/>
      <c r="AZ23" s="550"/>
      <c r="BA23" s="550"/>
      <c r="BB23" s="550"/>
      <c r="BC23" s="550"/>
      <c r="BD23" s="550"/>
      <c r="BE23" s="550"/>
      <c r="BF23" s="550"/>
      <c r="BG23" s="550"/>
      <c r="BH23" s="550"/>
      <c r="BI23" s="550"/>
      <c r="BJ23" s="550"/>
      <c r="BK23" s="550"/>
      <c r="BL23" s="550"/>
      <c r="BM23" s="550"/>
      <c r="BN23" s="550"/>
      <c r="BO23" s="550"/>
      <c r="BP23" s="550"/>
      <c r="BQ23" s="550"/>
      <c r="BR23" s="550"/>
      <c r="BS23" s="550"/>
      <c r="BT23" s="550"/>
      <c r="BU23" s="550"/>
      <c r="BV23" s="550"/>
      <c r="BW23" s="550"/>
      <c r="BX23" s="544"/>
      <c r="BY23" s="544"/>
      <c r="BZ23" s="544"/>
      <c r="CA23" s="544"/>
      <c r="CB23" s="544"/>
      <c r="CC23" s="544"/>
      <c r="CD23" s="544"/>
      <c r="CE23" s="544"/>
      <c r="CF23" s="544"/>
      <c r="CG23" s="544"/>
      <c r="CH23" s="544"/>
      <c r="CI23" s="544"/>
      <c r="CJ23" s="544"/>
      <c r="CK23" s="544"/>
      <c r="CL23" s="544"/>
      <c r="CM23" s="544"/>
      <c r="CN23" s="544"/>
      <c r="CO23" s="544"/>
      <c r="CP23" s="544"/>
      <c r="CQ23" s="544">
        <f>+MEDIAN(W23,AA23)</f>
        <v>10750</v>
      </c>
      <c r="CR23" s="544">
        <f>+AVERAGE(W23,AA23)</f>
        <v>10750</v>
      </c>
      <c r="CS23" s="544">
        <f>+STDEV(W23,AA23)</f>
        <v>1060.6601717798212</v>
      </c>
      <c r="CT23" s="545">
        <f>+CS23/CR23</f>
        <v>9.8666062491146164E-2</v>
      </c>
      <c r="CU23" s="544">
        <v>9033.6134453781524</v>
      </c>
      <c r="CV23" s="544">
        <v>0</v>
      </c>
      <c r="CW23" s="546">
        <f t="shared" si="0"/>
        <v>10750</v>
      </c>
      <c r="CX23" s="546">
        <f t="shared" si="1"/>
        <v>10750</v>
      </c>
      <c r="CY23" s="551" t="s">
        <v>932</v>
      </c>
    </row>
    <row r="24" spans="1:103" s="549" customFormat="1" x14ac:dyDescent="0.35">
      <c r="A24" s="540">
        <v>21</v>
      </c>
      <c r="B24" s="541" t="s">
        <v>964</v>
      </c>
      <c r="C24" s="542" t="s">
        <v>965</v>
      </c>
      <c r="D24" s="543" t="s">
        <v>24</v>
      </c>
      <c r="E24" s="543">
        <v>1</v>
      </c>
      <c r="F24" s="544">
        <v>10500</v>
      </c>
      <c r="G24" s="544">
        <v>0</v>
      </c>
      <c r="H24" s="544">
        <f t="shared" si="6"/>
        <v>10500</v>
      </c>
      <c r="I24" s="544">
        <v>11100</v>
      </c>
      <c r="J24" s="544">
        <v>0</v>
      </c>
      <c r="K24" s="544">
        <f t="shared" si="8"/>
        <v>11100</v>
      </c>
      <c r="L24" s="544"/>
      <c r="M24" s="544"/>
      <c r="N24" s="544"/>
      <c r="O24" s="550"/>
      <c r="P24" s="550"/>
      <c r="Q24" s="550"/>
      <c r="R24" s="544">
        <v>16667</v>
      </c>
      <c r="S24" s="544">
        <v>0</v>
      </c>
      <c r="T24" s="544">
        <f>+R24+S24</f>
        <v>16667</v>
      </c>
      <c r="U24" s="550"/>
      <c r="V24" s="550"/>
      <c r="W24" s="550"/>
      <c r="X24" s="550"/>
      <c r="Y24" s="550"/>
      <c r="Z24" s="550"/>
      <c r="AA24" s="550"/>
      <c r="AB24" s="550"/>
      <c r="AC24" s="550"/>
      <c r="AD24" s="550"/>
      <c r="AE24" s="550"/>
      <c r="AF24" s="550"/>
      <c r="AG24" s="550"/>
      <c r="AH24" s="550"/>
      <c r="AI24" s="550"/>
      <c r="AJ24" s="550"/>
      <c r="AK24" s="550"/>
      <c r="AL24" s="550"/>
      <c r="AM24" s="550"/>
      <c r="AN24" s="550"/>
      <c r="AO24" s="550"/>
      <c r="AP24" s="550"/>
      <c r="AQ24" s="550"/>
      <c r="AR24" s="550"/>
      <c r="AS24" s="550"/>
      <c r="AT24" s="550"/>
      <c r="AU24" s="550"/>
      <c r="AV24" s="550"/>
      <c r="AW24" s="550"/>
      <c r="AX24" s="550"/>
      <c r="AY24" s="550"/>
      <c r="AZ24" s="550"/>
      <c r="BA24" s="550"/>
      <c r="BB24" s="550"/>
      <c r="BC24" s="550"/>
      <c r="BD24" s="550"/>
      <c r="BE24" s="550"/>
      <c r="BF24" s="550"/>
      <c r="BG24" s="550"/>
      <c r="BH24" s="550"/>
      <c r="BI24" s="550"/>
      <c r="BJ24" s="550"/>
      <c r="BK24" s="550"/>
      <c r="BL24" s="550"/>
      <c r="BM24" s="550"/>
      <c r="BN24" s="550"/>
      <c r="BO24" s="550"/>
      <c r="BP24" s="550"/>
      <c r="BQ24" s="550"/>
      <c r="BR24" s="550"/>
      <c r="BS24" s="550"/>
      <c r="BT24" s="550"/>
      <c r="BU24" s="550"/>
      <c r="BV24" s="550"/>
      <c r="BW24" s="550"/>
      <c r="BX24" s="544"/>
      <c r="BY24" s="544"/>
      <c r="BZ24" s="544"/>
      <c r="CA24" s="544"/>
      <c r="CB24" s="544"/>
      <c r="CC24" s="544"/>
      <c r="CD24" s="544"/>
      <c r="CE24" s="544"/>
      <c r="CF24" s="544"/>
      <c r="CG24" s="544"/>
      <c r="CH24" s="544"/>
      <c r="CI24" s="544"/>
      <c r="CJ24" s="544"/>
      <c r="CK24" s="544"/>
      <c r="CL24" s="544"/>
      <c r="CM24" s="544"/>
      <c r="CN24" s="544"/>
      <c r="CO24" s="544"/>
      <c r="CP24" s="544"/>
      <c r="CQ24" s="544">
        <f>+MEDIAN(H24,K24,T24)</f>
        <v>11100</v>
      </c>
      <c r="CR24" s="544">
        <f>+AVERAGE(H24,K24,T24)</f>
        <v>12755.666666666666</v>
      </c>
      <c r="CS24" s="544">
        <f>+STDEV(H24,K24,T24)</f>
        <v>3400.5729419221907</v>
      </c>
      <c r="CT24" s="545">
        <f>+CS24/CR24</f>
        <v>0.2665931174580336</v>
      </c>
      <c r="CU24" s="544">
        <v>9327.7310924369758</v>
      </c>
      <c r="CV24" s="544">
        <v>0</v>
      </c>
      <c r="CW24" s="546">
        <f t="shared" si="0"/>
        <v>11100</v>
      </c>
      <c r="CX24" s="546">
        <f t="shared" si="1"/>
        <v>11100</v>
      </c>
      <c r="CY24" s="551" t="s">
        <v>929</v>
      </c>
    </row>
    <row r="25" spans="1:103" s="549" customFormat="1" ht="42.75" customHeight="1" x14ac:dyDescent="0.35">
      <c r="A25" s="540">
        <v>22</v>
      </c>
      <c r="B25" s="541" t="s">
        <v>966</v>
      </c>
      <c r="C25" s="542" t="s">
        <v>967</v>
      </c>
      <c r="D25" s="543" t="s">
        <v>24</v>
      </c>
      <c r="E25" s="543">
        <v>1</v>
      </c>
      <c r="F25" s="544">
        <v>40332</v>
      </c>
      <c r="G25" s="544">
        <f>+F25*19%</f>
        <v>7663.08</v>
      </c>
      <c r="H25" s="544">
        <f t="shared" si="6"/>
        <v>47995.08</v>
      </c>
      <c r="I25" s="552"/>
      <c r="J25" s="552"/>
      <c r="K25" s="552"/>
      <c r="L25" s="544">
        <v>20100</v>
      </c>
      <c r="M25" s="544">
        <f>+L25*0.19</f>
        <v>3819</v>
      </c>
      <c r="N25" s="544">
        <f>+L25+M25</f>
        <v>23919</v>
      </c>
      <c r="O25" s="550"/>
      <c r="P25" s="550"/>
      <c r="Q25" s="550"/>
      <c r="R25" s="544">
        <v>42016.806722689078</v>
      </c>
      <c r="S25" s="544">
        <f>+R25*19%</f>
        <v>7983.1932773109247</v>
      </c>
      <c r="T25" s="544">
        <f>+R25+S25</f>
        <v>50000</v>
      </c>
      <c r="U25" s="550"/>
      <c r="V25" s="550"/>
      <c r="W25" s="550"/>
      <c r="X25" s="550"/>
      <c r="Y25" s="550"/>
      <c r="Z25" s="550"/>
      <c r="AA25" s="550"/>
      <c r="AB25" s="550"/>
      <c r="AC25" s="550"/>
      <c r="AD25" s="550"/>
      <c r="AE25" s="550"/>
      <c r="AF25" s="550"/>
      <c r="AG25" s="550"/>
      <c r="AH25" s="550"/>
      <c r="AI25" s="550"/>
      <c r="AJ25" s="550"/>
      <c r="AK25" s="550"/>
      <c r="AL25" s="550"/>
      <c r="AM25" s="550"/>
      <c r="AN25" s="550"/>
      <c r="AO25" s="550"/>
      <c r="AP25" s="550"/>
      <c r="AQ25" s="550"/>
      <c r="AR25" s="550"/>
      <c r="AS25" s="550"/>
      <c r="AT25" s="550"/>
      <c r="AU25" s="550"/>
      <c r="AV25" s="550"/>
      <c r="AW25" s="550"/>
      <c r="AX25" s="550"/>
      <c r="AY25" s="550"/>
      <c r="AZ25" s="550"/>
      <c r="BA25" s="550"/>
      <c r="BB25" s="550"/>
      <c r="BC25" s="550"/>
      <c r="BD25" s="550"/>
      <c r="BE25" s="550"/>
      <c r="BF25" s="550"/>
      <c r="BG25" s="550"/>
      <c r="BH25" s="550"/>
      <c r="BI25" s="550"/>
      <c r="BJ25" s="550"/>
      <c r="BK25" s="550"/>
      <c r="BL25" s="550"/>
      <c r="BM25" s="550"/>
      <c r="BN25" s="550"/>
      <c r="BO25" s="550"/>
      <c r="BP25" s="550"/>
      <c r="BQ25" s="550"/>
      <c r="BR25" s="550"/>
      <c r="BS25" s="550"/>
      <c r="BT25" s="550"/>
      <c r="BU25" s="550"/>
      <c r="BV25" s="550"/>
      <c r="BW25" s="550"/>
      <c r="BX25" s="544"/>
      <c r="BY25" s="544"/>
      <c r="BZ25" s="544"/>
      <c r="CA25" s="544"/>
      <c r="CB25" s="544"/>
      <c r="CC25" s="544"/>
      <c r="CD25" s="544"/>
      <c r="CE25" s="544"/>
      <c r="CF25" s="544"/>
      <c r="CG25" s="544"/>
      <c r="CH25" s="544"/>
      <c r="CI25" s="544"/>
      <c r="CJ25" s="544"/>
      <c r="CK25" s="544"/>
      <c r="CL25" s="544"/>
      <c r="CM25" s="544"/>
      <c r="CN25" s="544"/>
      <c r="CO25" s="544"/>
      <c r="CP25" s="544"/>
      <c r="CQ25" s="544">
        <f>+MEDIAN(H25,T25)</f>
        <v>48997.54</v>
      </c>
      <c r="CR25" s="544">
        <f>+AVERAGE(H25,T25)</f>
        <v>48997.54</v>
      </c>
      <c r="CS25" s="544">
        <f>+STDEV(H25,T25)</f>
        <v>1417.6925277365317</v>
      </c>
      <c r="CT25" s="545">
        <f>+CS25/CR25</f>
        <v>2.8933953168598498E-2</v>
      </c>
      <c r="CU25" s="544">
        <v>41174.789915966387</v>
      </c>
      <c r="CV25" s="544">
        <f t="shared" si="9"/>
        <v>7823.2100840336134</v>
      </c>
      <c r="CW25" s="546">
        <f t="shared" si="0"/>
        <v>48998</v>
      </c>
      <c r="CX25" s="546">
        <f t="shared" si="1"/>
        <v>48998</v>
      </c>
      <c r="CY25" s="551" t="s">
        <v>932</v>
      </c>
    </row>
    <row r="26" spans="1:103" s="549" customFormat="1" ht="34.5" customHeight="1" x14ac:dyDescent="0.35">
      <c r="A26" s="540">
        <v>23</v>
      </c>
      <c r="B26" s="541" t="s">
        <v>968</v>
      </c>
      <c r="C26" s="542" t="s">
        <v>969</v>
      </c>
      <c r="D26" s="543" t="s">
        <v>928</v>
      </c>
      <c r="E26" s="543">
        <v>1</v>
      </c>
      <c r="F26" s="544"/>
      <c r="G26" s="544"/>
      <c r="H26" s="544"/>
      <c r="I26" s="544"/>
      <c r="J26" s="544"/>
      <c r="K26" s="544"/>
      <c r="L26" s="544"/>
      <c r="M26" s="544"/>
      <c r="N26" s="544"/>
      <c r="O26" s="544"/>
      <c r="P26" s="544"/>
      <c r="Q26" s="544"/>
      <c r="R26" s="544">
        <v>17997.198879551823</v>
      </c>
      <c r="S26" s="544">
        <f>+R26*19%</f>
        <v>3419.4677871148465</v>
      </c>
      <c r="T26" s="544">
        <f>+R26+S26</f>
        <v>21416.666666666668</v>
      </c>
      <c r="U26" s="544"/>
      <c r="V26" s="544"/>
      <c r="W26" s="544"/>
      <c r="X26" s="544"/>
      <c r="Y26" s="544"/>
      <c r="Z26" s="544"/>
      <c r="AA26" s="544"/>
      <c r="AB26" s="544"/>
      <c r="AC26" s="544"/>
      <c r="AD26" s="544"/>
      <c r="AE26" s="544">
        <f>27000/1.19</f>
        <v>22689.0756302521</v>
      </c>
      <c r="AF26" s="544">
        <f>+AE26*19%</f>
        <v>4310.9243697478987</v>
      </c>
      <c r="AG26" s="544">
        <f>+AE26+AF26</f>
        <v>27000</v>
      </c>
      <c r="AH26" s="544">
        <f>+AG26*15%</f>
        <v>4050</v>
      </c>
      <c r="AI26" s="544">
        <f>+AG26+AH26</f>
        <v>31050</v>
      </c>
      <c r="AJ26" s="544"/>
      <c r="AK26" s="544"/>
      <c r="AL26" s="544"/>
      <c r="AM26" s="544"/>
      <c r="AN26" s="544"/>
      <c r="AO26" s="544"/>
      <c r="AP26" s="544"/>
      <c r="AQ26" s="550"/>
      <c r="AR26" s="550"/>
      <c r="AS26" s="550"/>
      <c r="AT26" s="550"/>
      <c r="AU26" s="550"/>
      <c r="AV26" s="550"/>
      <c r="AW26" s="550"/>
      <c r="AX26" s="550"/>
      <c r="AY26" s="550"/>
      <c r="AZ26" s="550"/>
      <c r="BA26" s="550"/>
      <c r="BB26" s="550"/>
      <c r="BC26" s="550"/>
      <c r="BD26" s="550"/>
      <c r="BE26" s="550"/>
      <c r="BF26" s="550"/>
      <c r="BG26" s="550"/>
      <c r="BH26" s="550"/>
      <c r="BI26" s="550"/>
      <c r="BJ26" s="550"/>
      <c r="BK26" s="550"/>
      <c r="BL26" s="550"/>
      <c r="BM26" s="550"/>
      <c r="BN26" s="550"/>
      <c r="BO26" s="550"/>
      <c r="BP26" s="550"/>
      <c r="BQ26" s="550"/>
      <c r="BR26" s="550"/>
      <c r="BS26" s="550"/>
      <c r="BT26" s="550"/>
      <c r="BU26" s="550"/>
      <c r="BV26" s="550"/>
      <c r="BW26" s="550"/>
      <c r="BX26" s="544"/>
      <c r="BY26" s="544"/>
      <c r="BZ26" s="544"/>
      <c r="CA26" s="544"/>
      <c r="CB26" s="544"/>
      <c r="CC26" s="544"/>
      <c r="CD26" s="544"/>
      <c r="CE26" s="544"/>
      <c r="CF26" s="544"/>
      <c r="CG26" s="544"/>
      <c r="CH26" s="544"/>
      <c r="CI26" s="544"/>
      <c r="CJ26" s="544"/>
      <c r="CK26" s="544"/>
      <c r="CL26" s="544"/>
      <c r="CM26" s="544"/>
      <c r="CN26" s="544"/>
      <c r="CO26" s="544"/>
      <c r="CP26" s="544"/>
      <c r="CQ26" s="544">
        <f>+MEDIAN(T26,AI26)</f>
        <v>26233.333333333336</v>
      </c>
      <c r="CR26" s="544">
        <f>+AVERAGE(T26,AI26)</f>
        <v>26233.333333333336</v>
      </c>
      <c r="CS26" s="544">
        <f>+STDEV(T26,AI26)</f>
        <v>6811.795325430392</v>
      </c>
      <c r="CT26" s="545">
        <f>+CS26/CR26</f>
        <v>0.25966182943190819</v>
      </c>
      <c r="CU26" s="544">
        <v>22045.378151260506</v>
      </c>
      <c r="CV26" s="544">
        <f>+CU26*19%</f>
        <v>4188.6218487394963</v>
      </c>
      <c r="CW26" s="546">
        <f t="shared" si="0"/>
        <v>26234</v>
      </c>
      <c r="CX26" s="546">
        <f t="shared" si="1"/>
        <v>26234</v>
      </c>
      <c r="CY26" s="551" t="s">
        <v>929</v>
      </c>
    </row>
    <row r="27" spans="1:103" s="549" customFormat="1" ht="29" x14ac:dyDescent="0.35">
      <c r="A27" s="540">
        <v>24</v>
      </c>
      <c r="B27" s="541" t="s">
        <v>968</v>
      </c>
      <c r="C27" s="542" t="s">
        <v>970</v>
      </c>
      <c r="D27" s="543" t="s">
        <v>928</v>
      </c>
      <c r="E27" s="543">
        <v>1</v>
      </c>
      <c r="F27" s="544"/>
      <c r="G27" s="544"/>
      <c r="H27" s="544"/>
      <c r="I27" s="544"/>
      <c r="J27" s="544"/>
      <c r="K27" s="544"/>
      <c r="L27" s="544"/>
      <c r="M27" s="544"/>
      <c r="N27" s="544"/>
      <c r="O27" s="550"/>
      <c r="P27" s="550"/>
      <c r="Q27" s="550"/>
      <c r="R27" s="544"/>
      <c r="S27" s="544"/>
      <c r="T27" s="544"/>
      <c r="U27" s="550">
        <v>15294.117647058823</v>
      </c>
      <c r="V27" s="550">
        <f>+U27*0.19</f>
        <v>2905.8823529411766</v>
      </c>
      <c r="W27" s="550">
        <f>+U27+V27</f>
        <v>18200</v>
      </c>
      <c r="X27" s="550"/>
      <c r="Y27" s="550">
        <v>12605.042016806723</v>
      </c>
      <c r="Z27" s="550">
        <f>+Y27*0.19</f>
        <v>2394.9579831932774</v>
      </c>
      <c r="AA27" s="550">
        <f>+Y27+Z27</f>
        <v>15000</v>
      </c>
      <c r="AB27" s="550"/>
      <c r="AC27" s="550"/>
      <c r="AD27" s="550"/>
      <c r="AE27" s="550"/>
      <c r="AF27" s="550"/>
      <c r="AG27" s="550"/>
      <c r="AH27" s="550"/>
      <c r="AI27" s="550"/>
      <c r="AJ27" s="550"/>
      <c r="AK27" s="550"/>
      <c r="AL27" s="550"/>
      <c r="AM27" s="550"/>
      <c r="AN27" s="550"/>
      <c r="AO27" s="550"/>
      <c r="AP27" s="550"/>
      <c r="AQ27" s="550"/>
      <c r="AR27" s="550"/>
      <c r="AS27" s="550"/>
      <c r="AT27" s="550"/>
      <c r="AU27" s="550"/>
      <c r="AV27" s="550"/>
      <c r="AW27" s="550"/>
      <c r="AX27" s="550"/>
      <c r="AY27" s="550"/>
      <c r="AZ27" s="550"/>
      <c r="BA27" s="550"/>
      <c r="BB27" s="550"/>
      <c r="BC27" s="550"/>
      <c r="BD27" s="550"/>
      <c r="BE27" s="550"/>
      <c r="BF27" s="550"/>
      <c r="BG27" s="550"/>
      <c r="BH27" s="550"/>
      <c r="BI27" s="550"/>
      <c r="BJ27" s="550"/>
      <c r="BK27" s="550"/>
      <c r="BL27" s="550"/>
      <c r="BM27" s="550"/>
      <c r="BN27" s="550"/>
      <c r="BO27" s="550"/>
      <c r="BP27" s="550"/>
      <c r="BQ27" s="550"/>
      <c r="BR27" s="550"/>
      <c r="BS27" s="550"/>
      <c r="BT27" s="550"/>
      <c r="BU27" s="550"/>
      <c r="BV27" s="550"/>
      <c r="BW27" s="550"/>
      <c r="BX27" s="544"/>
      <c r="BY27" s="544"/>
      <c r="BZ27" s="544"/>
      <c r="CA27" s="544"/>
      <c r="CB27" s="544"/>
      <c r="CC27" s="544"/>
      <c r="CD27" s="544"/>
      <c r="CE27" s="544"/>
      <c r="CF27" s="544"/>
      <c r="CG27" s="544"/>
      <c r="CH27" s="544"/>
      <c r="CI27" s="544"/>
      <c r="CJ27" s="544"/>
      <c r="CK27" s="544"/>
      <c r="CL27" s="544"/>
      <c r="CM27" s="544"/>
      <c r="CN27" s="544"/>
      <c r="CO27" s="544"/>
      <c r="CP27" s="544"/>
      <c r="CQ27" s="544">
        <f>+MEDIAN(W27,AA27)</f>
        <v>16600</v>
      </c>
      <c r="CR27" s="544">
        <f>+AVERAGE(W27,AA27)</f>
        <v>16600</v>
      </c>
      <c r="CS27" s="544">
        <f>+STDEV(W27,AA27)</f>
        <v>2262.7416997969522</v>
      </c>
      <c r="CT27" s="545">
        <f t="shared" ref="CT27:CT90" si="10">CS27/CR27</f>
        <v>0.13630974095162363</v>
      </c>
      <c r="CU27" s="544">
        <v>13949.579831932773</v>
      </c>
      <c r="CV27" s="544">
        <f t="shared" si="9"/>
        <v>2650.4201680672268</v>
      </c>
      <c r="CW27" s="546">
        <f t="shared" si="0"/>
        <v>16600</v>
      </c>
      <c r="CX27" s="546">
        <f t="shared" si="1"/>
        <v>16600</v>
      </c>
      <c r="CY27" s="551" t="s">
        <v>932</v>
      </c>
    </row>
    <row r="28" spans="1:103" s="549" customFormat="1" ht="29" x14ac:dyDescent="0.35">
      <c r="A28" s="540">
        <v>25</v>
      </c>
      <c r="B28" s="541" t="s">
        <v>971</v>
      </c>
      <c r="C28" s="542" t="s">
        <v>972</v>
      </c>
      <c r="D28" s="543" t="s">
        <v>24</v>
      </c>
      <c r="E28" s="543">
        <v>1</v>
      </c>
      <c r="F28" s="552"/>
      <c r="G28" s="552"/>
      <c r="H28" s="552"/>
      <c r="I28" s="544">
        <v>1933</v>
      </c>
      <c r="J28" s="544">
        <f>+I28*0.19</f>
        <v>367.27</v>
      </c>
      <c r="K28" s="544">
        <f t="shared" si="8"/>
        <v>2300.27</v>
      </c>
      <c r="L28" s="544">
        <v>1746</v>
      </c>
      <c r="M28" s="544">
        <f>+L28*0.19</f>
        <v>331.74</v>
      </c>
      <c r="N28" s="544">
        <f>+L28+M28</f>
        <v>2077.7399999999998</v>
      </c>
      <c r="O28" s="550"/>
      <c r="P28" s="550"/>
      <c r="Q28" s="550"/>
      <c r="R28" s="544"/>
      <c r="S28" s="544"/>
      <c r="T28" s="553"/>
      <c r="U28" s="550"/>
      <c r="V28" s="550"/>
      <c r="W28" s="550"/>
      <c r="X28" s="550"/>
      <c r="Y28" s="550"/>
      <c r="Z28" s="550"/>
      <c r="AA28" s="550"/>
      <c r="AB28" s="550"/>
      <c r="AC28" s="550"/>
      <c r="AD28" s="550"/>
      <c r="AE28" s="550"/>
      <c r="AF28" s="550"/>
      <c r="AG28" s="550"/>
      <c r="AH28" s="550"/>
      <c r="AI28" s="550"/>
      <c r="AJ28" s="550"/>
      <c r="AK28" s="550"/>
      <c r="AL28" s="550"/>
      <c r="AM28" s="550"/>
      <c r="AN28" s="550"/>
      <c r="AO28" s="550"/>
      <c r="AP28" s="550"/>
      <c r="AQ28" s="550"/>
      <c r="AR28" s="550"/>
      <c r="AS28" s="550"/>
      <c r="AT28" s="550"/>
      <c r="AU28" s="550"/>
      <c r="AV28" s="550"/>
      <c r="AW28" s="550"/>
      <c r="AX28" s="550"/>
      <c r="AY28" s="550"/>
      <c r="AZ28" s="550"/>
      <c r="BA28" s="550"/>
      <c r="BB28" s="550"/>
      <c r="BC28" s="550"/>
      <c r="BD28" s="550"/>
      <c r="BE28" s="550"/>
      <c r="BF28" s="550"/>
      <c r="BG28" s="550"/>
      <c r="BH28" s="550"/>
      <c r="BI28" s="550"/>
      <c r="BJ28" s="550"/>
      <c r="BK28" s="550"/>
      <c r="BL28" s="550"/>
      <c r="BM28" s="550"/>
      <c r="BN28" s="550"/>
      <c r="BO28" s="550"/>
      <c r="BP28" s="550"/>
      <c r="BQ28" s="550"/>
      <c r="BR28" s="550"/>
      <c r="BS28" s="550"/>
      <c r="BT28" s="550"/>
      <c r="BU28" s="550"/>
      <c r="BV28" s="550"/>
      <c r="BW28" s="550"/>
      <c r="BX28" s="544"/>
      <c r="BY28" s="544"/>
      <c r="BZ28" s="544"/>
      <c r="CA28" s="544"/>
      <c r="CB28" s="544"/>
      <c r="CC28" s="544"/>
      <c r="CD28" s="544"/>
      <c r="CE28" s="544"/>
      <c r="CF28" s="544"/>
      <c r="CG28" s="544"/>
      <c r="CH28" s="544"/>
      <c r="CI28" s="544"/>
      <c r="CJ28" s="544"/>
      <c r="CK28" s="544"/>
      <c r="CL28" s="544"/>
      <c r="CM28" s="544"/>
      <c r="CN28" s="544"/>
      <c r="CO28" s="544"/>
      <c r="CP28" s="544"/>
      <c r="CQ28" s="544">
        <f>+MEDIAN(K28,N28)</f>
        <v>2189.0050000000001</v>
      </c>
      <c r="CR28" s="544">
        <f>+AVERAGE(K28,N28)</f>
        <v>2189.0050000000001</v>
      </c>
      <c r="CS28" s="544">
        <f>+STDEV(K28,N28)</f>
        <v>157.35247201744258</v>
      </c>
      <c r="CT28" s="545">
        <f t="shared" si="10"/>
        <v>7.1883103061638767E-2</v>
      </c>
      <c r="CU28" s="544">
        <v>1840.3361344537816</v>
      </c>
      <c r="CV28" s="544">
        <f t="shared" si="9"/>
        <v>349.66386554621852</v>
      </c>
      <c r="CW28" s="546">
        <f t="shared" si="0"/>
        <v>2190</v>
      </c>
      <c r="CX28" s="546">
        <f t="shared" si="1"/>
        <v>2190</v>
      </c>
      <c r="CY28" s="551" t="s">
        <v>932</v>
      </c>
    </row>
    <row r="29" spans="1:103" s="549" customFormat="1" x14ac:dyDescent="0.35">
      <c r="A29" s="540">
        <v>26</v>
      </c>
      <c r="B29" s="541" t="s">
        <v>973</v>
      </c>
      <c r="C29" s="542" t="s">
        <v>974</v>
      </c>
      <c r="D29" s="543" t="s">
        <v>928</v>
      </c>
      <c r="E29" s="543">
        <v>1</v>
      </c>
      <c r="F29" s="544"/>
      <c r="G29" s="544"/>
      <c r="H29" s="544"/>
      <c r="I29" s="544"/>
      <c r="J29" s="544"/>
      <c r="K29" s="544"/>
      <c r="L29" s="544"/>
      <c r="M29" s="544"/>
      <c r="N29" s="544"/>
      <c r="O29" s="550"/>
      <c r="P29" s="550"/>
      <c r="Q29" s="550"/>
      <c r="R29" s="544"/>
      <c r="S29" s="544"/>
      <c r="T29" s="544"/>
      <c r="U29" s="550">
        <v>4200</v>
      </c>
      <c r="V29" s="550">
        <v>0</v>
      </c>
      <c r="W29" s="550">
        <f>+U29+V29</f>
        <v>4200</v>
      </c>
      <c r="X29" s="550"/>
      <c r="Y29" s="550">
        <v>3200</v>
      </c>
      <c r="Z29" s="550">
        <v>0</v>
      </c>
      <c r="AA29" s="550">
        <f>+Y29+Z29</f>
        <v>3200</v>
      </c>
      <c r="AB29" s="544"/>
      <c r="AC29" s="544"/>
      <c r="AD29" s="544"/>
      <c r="AE29" s="544"/>
      <c r="AF29" s="544"/>
      <c r="AG29" s="544"/>
      <c r="AH29" s="544"/>
      <c r="AI29" s="544"/>
      <c r="AJ29" s="544"/>
      <c r="AK29" s="544"/>
      <c r="AL29" s="544"/>
      <c r="AM29" s="544"/>
      <c r="AN29" s="544"/>
      <c r="AO29" s="544"/>
      <c r="AP29" s="544"/>
      <c r="AQ29" s="544"/>
      <c r="AR29" s="544"/>
      <c r="AS29" s="544"/>
      <c r="AT29" s="544"/>
      <c r="AU29" s="544"/>
      <c r="AV29" s="544"/>
      <c r="AW29" s="544"/>
      <c r="AX29" s="544"/>
      <c r="AY29" s="544"/>
      <c r="AZ29" s="544"/>
      <c r="BA29" s="544"/>
      <c r="BB29" s="544"/>
      <c r="BC29" s="544"/>
      <c r="BD29" s="544"/>
      <c r="BE29" s="544"/>
      <c r="BF29" s="544"/>
      <c r="BG29" s="544"/>
      <c r="BH29" s="544"/>
      <c r="BI29" s="544"/>
      <c r="BJ29" s="544"/>
      <c r="BK29" s="544"/>
      <c r="BL29" s="544"/>
      <c r="BM29" s="544"/>
      <c r="BN29" s="544"/>
      <c r="BO29" s="544"/>
      <c r="BP29" s="544"/>
      <c r="BQ29" s="544"/>
      <c r="BR29" s="544"/>
      <c r="BS29" s="544"/>
      <c r="BT29" s="544"/>
      <c r="BU29" s="544"/>
      <c r="BV29" s="544"/>
      <c r="BW29" s="544"/>
      <c r="BX29" s="544"/>
      <c r="BY29" s="544"/>
      <c r="BZ29" s="544"/>
      <c r="CA29" s="544"/>
      <c r="CB29" s="544"/>
      <c r="CC29" s="544"/>
      <c r="CD29" s="544"/>
      <c r="CE29" s="544"/>
      <c r="CF29" s="544"/>
      <c r="CG29" s="544"/>
      <c r="CH29" s="544"/>
      <c r="CI29" s="544"/>
      <c r="CJ29" s="544"/>
      <c r="CK29" s="544"/>
      <c r="CL29" s="544"/>
      <c r="CM29" s="544"/>
      <c r="CN29" s="544"/>
      <c r="CO29" s="544"/>
      <c r="CP29" s="544"/>
      <c r="CQ29" s="544">
        <f>+MEDIAN(W29,AA29)</f>
        <v>3700</v>
      </c>
      <c r="CR29" s="544">
        <f>+AVERAGE(W29,AA29)</f>
        <v>3700</v>
      </c>
      <c r="CS29" s="544">
        <f>+STDEV(W29,AA29)</f>
        <v>707.10678118654755</v>
      </c>
      <c r="CT29" s="545">
        <f t="shared" si="10"/>
        <v>0.19110994086122907</v>
      </c>
      <c r="CU29" s="544">
        <v>3109.2436974789916</v>
      </c>
      <c r="CV29" s="544">
        <v>0</v>
      </c>
      <c r="CW29" s="546">
        <f t="shared" si="0"/>
        <v>3700</v>
      </c>
      <c r="CX29" s="546">
        <f t="shared" si="1"/>
        <v>3700</v>
      </c>
      <c r="CY29" s="551" t="s">
        <v>929</v>
      </c>
    </row>
    <row r="30" spans="1:103" s="549" customFormat="1" x14ac:dyDescent="0.35">
      <c r="A30" s="540">
        <v>27</v>
      </c>
      <c r="B30" s="541" t="s">
        <v>973</v>
      </c>
      <c r="C30" s="542" t="s">
        <v>88</v>
      </c>
      <c r="D30" s="543" t="s">
        <v>928</v>
      </c>
      <c r="E30" s="543">
        <v>1</v>
      </c>
      <c r="F30" s="544">
        <v>2200</v>
      </c>
      <c r="G30" s="544">
        <v>0</v>
      </c>
      <c r="H30" s="544">
        <f t="shared" si="6"/>
        <v>2200</v>
      </c>
      <c r="I30" s="544">
        <v>1650</v>
      </c>
      <c r="J30" s="544">
        <v>0</v>
      </c>
      <c r="K30" s="544">
        <f t="shared" si="8"/>
        <v>1650</v>
      </c>
      <c r="L30" s="544">
        <v>2459</v>
      </c>
      <c r="M30" s="544">
        <v>0</v>
      </c>
      <c r="N30" s="544">
        <f>+L30+M30</f>
        <v>2459</v>
      </c>
      <c r="O30" s="550"/>
      <c r="P30" s="550"/>
      <c r="Q30" s="550"/>
      <c r="R30" s="544"/>
      <c r="S30" s="544"/>
      <c r="T30" s="553"/>
      <c r="U30" s="550"/>
      <c r="V30" s="550"/>
      <c r="W30" s="550"/>
      <c r="X30" s="550"/>
      <c r="Y30" s="550"/>
      <c r="Z30" s="550"/>
      <c r="AA30" s="550"/>
      <c r="AB30" s="550"/>
      <c r="AC30" s="550"/>
      <c r="AD30" s="550"/>
      <c r="AE30" s="550"/>
      <c r="AF30" s="550"/>
      <c r="AG30" s="550"/>
      <c r="AH30" s="550"/>
      <c r="AI30" s="550"/>
      <c r="AJ30" s="550"/>
      <c r="AK30" s="550"/>
      <c r="AL30" s="550"/>
      <c r="AM30" s="550"/>
      <c r="AN30" s="550"/>
      <c r="AO30" s="550"/>
      <c r="AP30" s="550"/>
      <c r="AQ30" s="550"/>
      <c r="AR30" s="550"/>
      <c r="AS30" s="550"/>
      <c r="AT30" s="550"/>
      <c r="AU30" s="550"/>
      <c r="AV30" s="550"/>
      <c r="AW30" s="550"/>
      <c r="AX30" s="550"/>
      <c r="AY30" s="550"/>
      <c r="AZ30" s="550"/>
      <c r="BA30" s="550"/>
      <c r="BB30" s="550"/>
      <c r="BC30" s="550"/>
      <c r="BD30" s="550"/>
      <c r="BE30" s="550"/>
      <c r="BF30" s="550"/>
      <c r="BG30" s="550"/>
      <c r="BH30" s="550"/>
      <c r="BI30" s="550"/>
      <c r="BJ30" s="550"/>
      <c r="BK30" s="550"/>
      <c r="BL30" s="550"/>
      <c r="BM30" s="550"/>
      <c r="BN30" s="550"/>
      <c r="BO30" s="550"/>
      <c r="BP30" s="550"/>
      <c r="BQ30" s="550"/>
      <c r="BR30" s="550"/>
      <c r="BS30" s="550"/>
      <c r="BT30" s="550"/>
      <c r="BU30" s="550"/>
      <c r="BV30" s="550"/>
      <c r="BW30" s="550"/>
      <c r="BX30" s="544"/>
      <c r="BY30" s="544"/>
      <c r="BZ30" s="544"/>
      <c r="CA30" s="544"/>
      <c r="CB30" s="544"/>
      <c r="CC30" s="544"/>
      <c r="CD30" s="544"/>
      <c r="CE30" s="544"/>
      <c r="CF30" s="544"/>
      <c r="CG30" s="544"/>
      <c r="CH30" s="544"/>
      <c r="CI30" s="544"/>
      <c r="CJ30" s="544"/>
      <c r="CK30" s="544"/>
      <c r="CL30" s="544"/>
      <c r="CM30" s="544"/>
      <c r="CN30" s="544"/>
      <c r="CO30" s="544"/>
      <c r="CP30" s="544"/>
      <c r="CQ30" s="544">
        <f>+MEDIAN(H30,K30,N30)</f>
        <v>2200</v>
      </c>
      <c r="CR30" s="544">
        <f>+AVERAGE(H30,K30,N30)</f>
        <v>2103</v>
      </c>
      <c r="CS30" s="544">
        <f>+STDEV(H30,K30,N30)</f>
        <v>413.13072991487815</v>
      </c>
      <c r="CT30" s="545">
        <f t="shared" si="10"/>
        <v>0.19644827860907188</v>
      </c>
      <c r="CU30" s="544">
        <v>1848.7394957983195</v>
      </c>
      <c r="CV30" s="544">
        <v>0</v>
      </c>
      <c r="CW30" s="546">
        <f t="shared" si="0"/>
        <v>2200</v>
      </c>
      <c r="CX30" s="546">
        <f t="shared" si="1"/>
        <v>2200</v>
      </c>
      <c r="CY30" s="551" t="s">
        <v>929</v>
      </c>
    </row>
    <row r="31" spans="1:103" s="549" customFormat="1" ht="29" x14ac:dyDescent="0.35">
      <c r="A31" s="540">
        <v>28</v>
      </c>
      <c r="B31" s="541" t="s">
        <v>975</v>
      </c>
      <c r="C31" s="542" t="s">
        <v>49</v>
      </c>
      <c r="D31" s="543" t="s">
        <v>67</v>
      </c>
      <c r="E31" s="543">
        <v>1</v>
      </c>
      <c r="F31" s="544"/>
      <c r="G31" s="544"/>
      <c r="H31" s="544"/>
      <c r="I31" s="544"/>
      <c r="J31" s="544"/>
      <c r="K31" s="544"/>
      <c r="L31" s="544"/>
      <c r="M31" s="544"/>
      <c r="N31" s="544"/>
      <c r="O31" s="550"/>
      <c r="P31" s="550"/>
      <c r="Q31" s="550"/>
      <c r="R31" s="544"/>
      <c r="S31" s="544"/>
      <c r="T31" s="544"/>
      <c r="U31" s="550">
        <v>1596.6386554621849</v>
      </c>
      <c r="V31" s="550">
        <f>+U31*0.19</f>
        <v>303.36134453781517</v>
      </c>
      <c r="W31" s="550">
        <f>+U31+V31</f>
        <v>1900</v>
      </c>
      <c r="X31" s="550"/>
      <c r="Y31" s="550">
        <v>1680.6722689075632</v>
      </c>
      <c r="Z31" s="550">
        <f>+Y31*0.19</f>
        <v>319.32773109243703</v>
      </c>
      <c r="AA31" s="550">
        <f>+Y31+Z31</f>
        <v>2000.0000000000002</v>
      </c>
      <c r="AB31" s="550"/>
      <c r="AC31" s="550"/>
      <c r="AD31" s="550"/>
      <c r="AE31" s="550"/>
      <c r="AF31" s="550"/>
      <c r="AG31" s="550"/>
      <c r="AH31" s="550"/>
      <c r="AI31" s="550"/>
      <c r="AJ31" s="544"/>
      <c r="AK31" s="544"/>
      <c r="AL31" s="544"/>
      <c r="AM31" s="544"/>
      <c r="AN31" s="544"/>
      <c r="AO31" s="544"/>
      <c r="AP31" s="544"/>
      <c r="AQ31" s="550"/>
      <c r="AR31" s="550"/>
      <c r="AS31" s="550"/>
      <c r="AT31" s="550"/>
      <c r="AU31" s="550"/>
      <c r="AV31" s="550"/>
      <c r="AW31" s="550"/>
      <c r="AX31" s="550"/>
      <c r="AY31" s="550"/>
      <c r="AZ31" s="550"/>
      <c r="BA31" s="550"/>
      <c r="BB31" s="550"/>
      <c r="BC31" s="550"/>
      <c r="BD31" s="550"/>
      <c r="BE31" s="550"/>
      <c r="BF31" s="550"/>
      <c r="BG31" s="550"/>
      <c r="BH31" s="550"/>
      <c r="BI31" s="550"/>
      <c r="BJ31" s="550"/>
      <c r="BK31" s="550"/>
      <c r="BL31" s="550"/>
      <c r="BM31" s="550"/>
      <c r="BN31" s="550"/>
      <c r="BO31" s="550"/>
      <c r="BP31" s="550"/>
      <c r="BQ31" s="550"/>
      <c r="BR31" s="550"/>
      <c r="BS31" s="550"/>
      <c r="BT31" s="550"/>
      <c r="BU31" s="550"/>
      <c r="BV31" s="550"/>
      <c r="BW31" s="550"/>
      <c r="BX31" s="544"/>
      <c r="BY31" s="544"/>
      <c r="BZ31" s="544"/>
      <c r="CA31" s="544"/>
      <c r="CB31" s="544"/>
      <c r="CC31" s="544"/>
      <c r="CD31" s="544"/>
      <c r="CE31" s="544"/>
      <c r="CF31" s="544"/>
      <c r="CG31" s="544"/>
      <c r="CH31" s="544"/>
      <c r="CI31" s="544"/>
      <c r="CJ31" s="544"/>
      <c r="CK31" s="544"/>
      <c r="CL31" s="544"/>
      <c r="CM31" s="544"/>
      <c r="CN31" s="544"/>
      <c r="CO31" s="544"/>
      <c r="CP31" s="544"/>
      <c r="CQ31" s="544">
        <f>+MEDIAN(W31,AA31)</f>
        <v>1950</v>
      </c>
      <c r="CR31" s="544">
        <f>+AVERAGE(W31,AA31)</f>
        <v>1950</v>
      </c>
      <c r="CS31" s="544">
        <f>+STDEV(W31,AA31)</f>
        <v>70.710678118654911</v>
      </c>
      <c r="CT31" s="545">
        <f t="shared" si="10"/>
        <v>3.6261886214694825E-2</v>
      </c>
      <c r="CU31" s="544">
        <v>1638.6554621848741</v>
      </c>
      <c r="CV31" s="544">
        <f t="shared" si="9"/>
        <v>311.3445378151261</v>
      </c>
      <c r="CW31" s="546">
        <f t="shared" si="0"/>
        <v>1950</v>
      </c>
      <c r="CX31" s="546">
        <f t="shared" si="1"/>
        <v>1950</v>
      </c>
      <c r="CY31" s="551" t="s">
        <v>932</v>
      </c>
    </row>
    <row r="32" spans="1:103" s="549" customFormat="1" ht="29" x14ac:dyDescent="0.35">
      <c r="A32" s="540">
        <v>29</v>
      </c>
      <c r="B32" s="541" t="s">
        <v>976</v>
      </c>
      <c r="C32" s="542" t="s">
        <v>977</v>
      </c>
      <c r="D32" s="543" t="s">
        <v>928</v>
      </c>
      <c r="E32" s="543">
        <v>1</v>
      </c>
      <c r="F32" s="544"/>
      <c r="G32" s="544"/>
      <c r="H32" s="544"/>
      <c r="I32" s="544"/>
      <c r="J32" s="544"/>
      <c r="K32" s="544"/>
      <c r="L32" s="544"/>
      <c r="M32" s="544"/>
      <c r="N32" s="544"/>
      <c r="O32" s="550">
        <v>110.08403361344538</v>
      </c>
      <c r="P32" s="550">
        <f>+O32*0.19</f>
        <v>20.915966386554622</v>
      </c>
      <c r="Q32" s="550">
        <f>+O32+P32</f>
        <v>131</v>
      </c>
      <c r="R32" s="544"/>
      <c r="S32" s="544"/>
      <c r="T32" s="544"/>
      <c r="U32" s="550"/>
      <c r="V32" s="550"/>
      <c r="W32" s="550"/>
      <c r="X32" s="550">
        <v>120</v>
      </c>
      <c r="Y32" s="550"/>
      <c r="Z32" s="550"/>
      <c r="AA32" s="550"/>
      <c r="AB32" s="550">
        <v>88</v>
      </c>
      <c r="AC32" s="550">
        <f>+AB32*0.19</f>
        <v>16.72</v>
      </c>
      <c r="AD32" s="550">
        <f>+AB32+AC32</f>
        <v>104.72</v>
      </c>
      <c r="AE32" s="550"/>
      <c r="AF32" s="550"/>
      <c r="AG32" s="550"/>
      <c r="AH32" s="550"/>
      <c r="AI32" s="550"/>
      <c r="AJ32" s="550"/>
      <c r="AK32" s="550"/>
      <c r="AL32" s="550"/>
      <c r="AM32" s="550"/>
      <c r="AN32" s="550"/>
      <c r="AO32" s="550"/>
      <c r="AP32" s="550"/>
      <c r="AQ32" s="550"/>
      <c r="AR32" s="550"/>
      <c r="AS32" s="550"/>
      <c r="AT32" s="550"/>
      <c r="AU32" s="550"/>
      <c r="AV32" s="550"/>
      <c r="AW32" s="550"/>
      <c r="AX32" s="550"/>
      <c r="AY32" s="550"/>
      <c r="AZ32" s="550"/>
      <c r="BA32" s="550"/>
      <c r="BB32" s="550"/>
      <c r="BC32" s="550"/>
      <c r="BD32" s="550"/>
      <c r="BE32" s="550"/>
      <c r="BF32" s="550"/>
      <c r="BG32" s="550"/>
      <c r="BH32" s="550"/>
      <c r="BI32" s="550"/>
      <c r="BJ32" s="550"/>
      <c r="BK32" s="550"/>
      <c r="BL32" s="550"/>
      <c r="BM32" s="550"/>
      <c r="BN32" s="550"/>
      <c r="BO32" s="550"/>
      <c r="BP32" s="550"/>
      <c r="BQ32" s="550"/>
      <c r="BR32" s="550"/>
      <c r="BS32" s="550"/>
      <c r="BT32" s="550"/>
      <c r="BU32" s="550"/>
      <c r="BV32" s="550"/>
      <c r="BW32" s="550"/>
      <c r="BX32" s="544"/>
      <c r="BY32" s="544"/>
      <c r="BZ32" s="544"/>
      <c r="CA32" s="544"/>
      <c r="CB32" s="544"/>
      <c r="CC32" s="544"/>
      <c r="CD32" s="544"/>
      <c r="CE32" s="544"/>
      <c r="CF32" s="544"/>
      <c r="CG32" s="544"/>
      <c r="CH32" s="544"/>
      <c r="CI32" s="544"/>
      <c r="CJ32" s="544"/>
      <c r="CK32" s="544"/>
      <c r="CL32" s="544"/>
      <c r="CM32" s="544"/>
      <c r="CN32" s="544"/>
      <c r="CO32" s="544"/>
      <c r="CP32" s="544"/>
      <c r="CQ32" s="544">
        <f>+MEDIAN(Q32,X32,AD32)</f>
        <v>120</v>
      </c>
      <c r="CR32" s="544">
        <f>+AVERAGE(Q32,X32,AD32)</f>
        <v>118.57333333333334</v>
      </c>
      <c r="CS32" s="544">
        <f>+STDEV(Q32,X32,AD32)</f>
        <v>13.197959438236403</v>
      </c>
      <c r="CT32" s="545">
        <f t="shared" si="10"/>
        <v>0.1113063035947071</v>
      </c>
      <c r="CU32" s="544">
        <v>100</v>
      </c>
      <c r="CV32" s="544">
        <f t="shared" si="9"/>
        <v>19</v>
      </c>
      <c r="CW32" s="546">
        <f t="shared" si="0"/>
        <v>119</v>
      </c>
      <c r="CX32" s="546">
        <f t="shared" si="1"/>
        <v>119</v>
      </c>
      <c r="CY32" s="551" t="s">
        <v>932</v>
      </c>
    </row>
    <row r="33" spans="1:104" s="549" customFormat="1" ht="29" x14ac:dyDescent="0.35">
      <c r="A33" s="540">
        <v>30</v>
      </c>
      <c r="B33" s="541" t="s">
        <v>978</v>
      </c>
      <c r="C33" s="542" t="s">
        <v>977</v>
      </c>
      <c r="D33" s="543" t="s">
        <v>928</v>
      </c>
      <c r="E33" s="543">
        <v>1</v>
      </c>
      <c r="F33" s="544"/>
      <c r="G33" s="544"/>
      <c r="H33" s="544"/>
      <c r="I33" s="544"/>
      <c r="J33" s="544"/>
      <c r="K33" s="544"/>
      <c r="L33" s="544"/>
      <c r="M33" s="544"/>
      <c r="N33" s="544"/>
      <c r="O33" s="550">
        <v>110.08403361344538</v>
      </c>
      <c r="P33" s="550">
        <f>+O33*0.19</f>
        <v>20.915966386554622</v>
      </c>
      <c r="Q33" s="550">
        <f>+O33+P33</f>
        <v>131</v>
      </c>
      <c r="R33" s="544"/>
      <c r="S33" s="544"/>
      <c r="T33" s="544"/>
      <c r="U33" s="550"/>
      <c r="V33" s="550"/>
      <c r="W33" s="550"/>
      <c r="X33" s="550">
        <v>120</v>
      </c>
      <c r="Y33" s="550"/>
      <c r="Z33" s="550"/>
      <c r="AA33" s="550"/>
      <c r="AB33" s="550">
        <v>154</v>
      </c>
      <c r="AC33" s="550">
        <f>+AB33*0.19</f>
        <v>29.26</v>
      </c>
      <c r="AD33" s="550">
        <f>+AB33+AC33</f>
        <v>183.26</v>
      </c>
      <c r="AE33" s="550"/>
      <c r="AF33" s="550"/>
      <c r="AG33" s="550"/>
      <c r="AH33" s="550"/>
      <c r="AI33" s="550"/>
      <c r="AJ33" s="550"/>
      <c r="AK33" s="550"/>
      <c r="AL33" s="550"/>
      <c r="AM33" s="550"/>
      <c r="AN33" s="550"/>
      <c r="AO33" s="550"/>
      <c r="AP33" s="550"/>
      <c r="AQ33" s="550"/>
      <c r="AR33" s="550"/>
      <c r="AS33" s="550"/>
      <c r="AT33" s="550"/>
      <c r="AU33" s="550"/>
      <c r="AV33" s="550"/>
      <c r="AW33" s="550"/>
      <c r="AX33" s="550"/>
      <c r="AY33" s="550"/>
      <c r="AZ33" s="550"/>
      <c r="BA33" s="550"/>
      <c r="BB33" s="550"/>
      <c r="BC33" s="550"/>
      <c r="BD33" s="550"/>
      <c r="BE33" s="550"/>
      <c r="BF33" s="550"/>
      <c r="BG33" s="550"/>
      <c r="BH33" s="550"/>
      <c r="BI33" s="550"/>
      <c r="BJ33" s="550"/>
      <c r="BK33" s="550"/>
      <c r="BL33" s="550"/>
      <c r="BM33" s="550"/>
      <c r="BN33" s="550"/>
      <c r="BO33" s="550"/>
      <c r="BP33" s="550"/>
      <c r="BQ33" s="550"/>
      <c r="BR33" s="550"/>
      <c r="BS33" s="550"/>
      <c r="BT33" s="550"/>
      <c r="BU33" s="550"/>
      <c r="BV33" s="550"/>
      <c r="BW33" s="550"/>
      <c r="BX33" s="544"/>
      <c r="BY33" s="544"/>
      <c r="BZ33" s="544"/>
      <c r="CA33" s="544"/>
      <c r="CB33" s="544"/>
      <c r="CC33" s="544"/>
      <c r="CD33" s="544"/>
      <c r="CE33" s="544"/>
      <c r="CF33" s="544"/>
      <c r="CG33" s="544"/>
      <c r="CH33" s="544"/>
      <c r="CI33" s="544"/>
      <c r="CJ33" s="544"/>
      <c r="CK33" s="544"/>
      <c r="CL33" s="544"/>
      <c r="CM33" s="544"/>
      <c r="CN33" s="544"/>
      <c r="CO33" s="544"/>
      <c r="CP33" s="544"/>
      <c r="CQ33" s="544">
        <f>+MEDIAN(Q33,X33,AD33)</f>
        <v>131</v>
      </c>
      <c r="CR33" s="544">
        <f>+AVERAGE(Q33,X33,AD33)</f>
        <v>144.75333333333333</v>
      </c>
      <c r="CS33" s="544">
        <f>+STDEV(Q33,X33,AD33)</f>
        <v>33.798262282746613</v>
      </c>
      <c r="CT33" s="545">
        <f t="shared" si="10"/>
        <v>0.23348866312402672</v>
      </c>
      <c r="CU33" s="544">
        <v>110.08403361344538</v>
      </c>
      <c r="CV33" s="544">
        <f t="shared" si="9"/>
        <v>20.915966386554622</v>
      </c>
      <c r="CW33" s="546">
        <f t="shared" si="0"/>
        <v>131</v>
      </c>
      <c r="CX33" s="546">
        <f t="shared" si="1"/>
        <v>131</v>
      </c>
      <c r="CY33" s="551" t="s">
        <v>929</v>
      </c>
    </row>
    <row r="34" spans="1:104" s="549" customFormat="1" ht="29" x14ac:dyDescent="0.35">
      <c r="A34" s="540">
        <v>31</v>
      </c>
      <c r="B34" s="541" t="s">
        <v>979</v>
      </c>
      <c r="C34" s="542" t="s">
        <v>977</v>
      </c>
      <c r="D34" s="543" t="s">
        <v>928</v>
      </c>
      <c r="E34" s="543">
        <v>1</v>
      </c>
      <c r="F34" s="544"/>
      <c r="G34" s="544"/>
      <c r="H34" s="544"/>
      <c r="I34" s="544"/>
      <c r="J34" s="544"/>
      <c r="K34" s="544"/>
      <c r="L34" s="544"/>
      <c r="M34" s="544"/>
      <c r="N34" s="544"/>
      <c r="O34" s="550">
        <v>110.08403361344538</v>
      </c>
      <c r="P34" s="550">
        <f>+O34*0.19</f>
        <v>20.915966386554622</v>
      </c>
      <c r="Q34" s="550">
        <f>+O34+P34</f>
        <v>131</v>
      </c>
      <c r="R34" s="544"/>
      <c r="S34" s="544"/>
      <c r="T34" s="544"/>
      <c r="U34" s="550"/>
      <c r="V34" s="550"/>
      <c r="W34" s="550"/>
      <c r="X34" s="550">
        <v>120</v>
      </c>
      <c r="Y34" s="550"/>
      <c r="Z34" s="550"/>
      <c r="AA34" s="550"/>
      <c r="AB34" s="550">
        <v>88</v>
      </c>
      <c r="AC34" s="550">
        <f>+AB34*0.19</f>
        <v>16.72</v>
      </c>
      <c r="AD34" s="550">
        <f>+AB34+AC34</f>
        <v>104.72</v>
      </c>
      <c r="AE34" s="550"/>
      <c r="AF34" s="550"/>
      <c r="AG34" s="550"/>
      <c r="AH34" s="550"/>
      <c r="AI34" s="550"/>
      <c r="AJ34" s="550"/>
      <c r="AK34" s="550"/>
      <c r="AL34" s="550"/>
      <c r="AM34" s="550"/>
      <c r="AN34" s="550"/>
      <c r="AO34" s="550"/>
      <c r="AP34" s="550"/>
      <c r="AQ34" s="550"/>
      <c r="AR34" s="550"/>
      <c r="AS34" s="550"/>
      <c r="AT34" s="550"/>
      <c r="AU34" s="550"/>
      <c r="AV34" s="550"/>
      <c r="AW34" s="550"/>
      <c r="AX34" s="550"/>
      <c r="AY34" s="550"/>
      <c r="AZ34" s="550"/>
      <c r="BA34" s="550"/>
      <c r="BB34" s="550"/>
      <c r="BC34" s="550"/>
      <c r="BD34" s="550"/>
      <c r="BE34" s="550"/>
      <c r="BF34" s="550"/>
      <c r="BG34" s="550"/>
      <c r="BH34" s="550"/>
      <c r="BI34" s="550"/>
      <c r="BJ34" s="550"/>
      <c r="BK34" s="550"/>
      <c r="BL34" s="550"/>
      <c r="BM34" s="550"/>
      <c r="BN34" s="550"/>
      <c r="BO34" s="550"/>
      <c r="BP34" s="550"/>
      <c r="BQ34" s="550"/>
      <c r="BR34" s="550"/>
      <c r="BS34" s="550"/>
      <c r="BT34" s="550"/>
      <c r="BU34" s="550"/>
      <c r="BV34" s="550"/>
      <c r="BW34" s="550"/>
      <c r="BX34" s="544"/>
      <c r="BY34" s="544"/>
      <c r="BZ34" s="544"/>
      <c r="CA34" s="544"/>
      <c r="CB34" s="544"/>
      <c r="CC34" s="544"/>
      <c r="CD34" s="544"/>
      <c r="CE34" s="544"/>
      <c r="CF34" s="544"/>
      <c r="CG34" s="544"/>
      <c r="CH34" s="544"/>
      <c r="CI34" s="544"/>
      <c r="CJ34" s="544"/>
      <c r="CK34" s="544"/>
      <c r="CL34" s="544"/>
      <c r="CM34" s="544"/>
      <c r="CN34" s="544"/>
      <c r="CO34" s="544"/>
      <c r="CP34" s="544"/>
      <c r="CQ34" s="544">
        <f>+MEDIAN(Q34,X34,AD34)</f>
        <v>120</v>
      </c>
      <c r="CR34" s="544">
        <f>+AVERAGE(Q34,X34,AD34)</f>
        <v>118.57333333333334</v>
      </c>
      <c r="CS34" s="544">
        <f>+STDEV(Q34,X34,AD34)</f>
        <v>13.197959438236403</v>
      </c>
      <c r="CT34" s="545">
        <f t="shared" si="10"/>
        <v>0.1113063035947071</v>
      </c>
      <c r="CU34" s="544">
        <v>100</v>
      </c>
      <c r="CV34" s="544">
        <f t="shared" si="9"/>
        <v>19</v>
      </c>
      <c r="CW34" s="546">
        <f t="shared" si="0"/>
        <v>119</v>
      </c>
      <c r="CX34" s="546">
        <f t="shared" si="1"/>
        <v>119</v>
      </c>
      <c r="CY34" s="551" t="s">
        <v>932</v>
      </c>
    </row>
    <row r="35" spans="1:104" s="549" customFormat="1" ht="29" x14ac:dyDescent="0.35">
      <c r="A35" s="540">
        <v>32</v>
      </c>
      <c r="B35" s="542" t="s">
        <v>980</v>
      </c>
      <c r="C35" s="542" t="s">
        <v>977</v>
      </c>
      <c r="D35" s="543" t="s">
        <v>928</v>
      </c>
      <c r="E35" s="543">
        <v>1</v>
      </c>
      <c r="F35" s="544"/>
      <c r="G35" s="544"/>
      <c r="H35" s="544"/>
      <c r="I35" s="544"/>
      <c r="J35" s="544"/>
      <c r="K35" s="544"/>
      <c r="L35" s="544"/>
      <c r="M35" s="544"/>
      <c r="N35" s="544"/>
      <c r="O35" s="554">
        <v>110.08403361344538</v>
      </c>
      <c r="P35" s="554">
        <f>+O35*0.19</f>
        <v>20.915966386554622</v>
      </c>
      <c r="Q35" s="554">
        <f>+O35+P35</f>
        <v>131</v>
      </c>
      <c r="R35" s="544"/>
      <c r="S35" s="544"/>
      <c r="T35" s="544"/>
      <c r="U35" s="554"/>
      <c r="V35" s="554"/>
      <c r="W35" s="554"/>
      <c r="X35" s="554">
        <v>120</v>
      </c>
      <c r="Y35" s="550"/>
      <c r="Z35" s="550"/>
      <c r="AA35" s="550"/>
      <c r="AB35" s="550"/>
      <c r="AC35" s="550"/>
      <c r="AD35" s="550"/>
      <c r="AE35" s="550"/>
      <c r="AF35" s="550"/>
      <c r="AG35" s="550"/>
      <c r="AH35" s="550"/>
      <c r="AI35" s="550"/>
      <c r="AJ35" s="550"/>
      <c r="AK35" s="550"/>
      <c r="AL35" s="550"/>
      <c r="AM35" s="550"/>
      <c r="AN35" s="550"/>
      <c r="AO35" s="550"/>
      <c r="AP35" s="550"/>
      <c r="AQ35" s="550"/>
      <c r="AR35" s="550"/>
      <c r="AS35" s="550"/>
      <c r="AT35" s="550"/>
      <c r="AU35" s="550"/>
      <c r="AV35" s="550"/>
      <c r="AW35" s="550"/>
      <c r="AX35" s="550"/>
      <c r="AY35" s="550"/>
      <c r="AZ35" s="550"/>
      <c r="BA35" s="550"/>
      <c r="BB35" s="550"/>
      <c r="BC35" s="550"/>
      <c r="BD35" s="550"/>
      <c r="BE35" s="550"/>
      <c r="BF35" s="550"/>
      <c r="BG35" s="550"/>
      <c r="BH35" s="550"/>
      <c r="BI35" s="550"/>
      <c r="BJ35" s="550"/>
      <c r="BK35" s="550"/>
      <c r="BL35" s="550"/>
      <c r="BM35" s="550"/>
      <c r="BN35" s="550"/>
      <c r="BO35" s="550"/>
      <c r="BP35" s="550"/>
      <c r="BQ35" s="550"/>
      <c r="BR35" s="550"/>
      <c r="BS35" s="550"/>
      <c r="BT35" s="550"/>
      <c r="BU35" s="550"/>
      <c r="BV35" s="550"/>
      <c r="BW35" s="550"/>
      <c r="BX35" s="544"/>
      <c r="BY35" s="544"/>
      <c r="BZ35" s="544"/>
      <c r="CA35" s="544"/>
      <c r="CB35" s="544"/>
      <c r="CC35" s="544"/>
      <c r="CD35" s="544"/>
      <c r="CE35" s="544"/>
      <c r="CF35" s="544"/>
      <c r="CG35" s="544"/>
      <c r="CH35" s="544"/>
      <c r="CI35" s="544"/>
      <c r="CJ35" s="544"/>
      <c r="CK35" s="544"/>
      <c r="CL35" s="544"/>
      <c r="CM35" s="544"/>
      <c r="CN35" s="544"/>
      <c r="CO35" s="544"/>
      <c r="CP35" s="544"/>
      <c r="CQ35" s="544">
        <f>+MEDIAN(Q35,X35)</f>
        <v>125.5</v>
      </c>
      <c r="CR35" s="544">
        <f>+AVERAGE(Q35,X35)</f>
        <v>125.5</v>
      </c>
      <c r="CS35" s="544">
        <f>+STDEV(Q35,X35)</f>
        <v>7.7781745930520225</v>
      </c>
      <c r="CT35" s="545">
        <f t="shared" si="10"/>
        <v>6.1977486797227269E-2</v>
      </c>
      <c r="CU35" s="544">
        <v>105.88235294117648</v>
      </c>
      <c r="CV35" s="544">
        <f t="shared" si="9"/>
        <v>20.117647058823533</v>
      </c>
      <c r="CW35" s="546">
        <f t="shared" si="0"/>
        <v>126</v>
      </c>
      <c r="CX35" s="546">
        <f t="shared" si="1"/>
        <v>126</v>
      </c>
      <c r="CY35" s="551" t="s">
        <v>932</v>
      </c>
    </row>
    <row r="36" spans="1:104" s="549" customFormat="1" ht="29" x14ac:dyDescent="0.35">
      <c r="A36" s="540">
        <v>33</v>
      </c>
      <c r="B36" s="541" t="s">
        <v>981</v>
      </c>
      <c r="C36" s="542" t="s">
        <v>977</v>
      </c>
      <c r="D36" s="543" t="s">
        <v>928</v>
      </c>
      <c r="E36" s="543">
        <v>1</v>
      </c>
      <c r="F36" s="544"/>
      <c r="G36" s="544"/>
      <c r="H36" s="544"/>
      <c r="I36" s="544"/>
      <c r="J36" s="544"/>
      <c r="K36" s="544"/>
      <c r="L36" s="544"/>
      <c r="M36" s="544"/>
      <c r="N36" s="544"/>
      <c r="O36" s="544">
        <v>110.08403361344538</v>
      </c>
      <c r="P36" s="544">
        <f t="shared" ref="P36:P45" si="11">+O36*0.19</f>
        <v>20.915966386554622</v>
      </c>
      <c r="Q36" s="544">
        <f t="shared" ref="Q36:Q45" si="12">+O36+P36</f>
        <v>131</v>
      </c>
      <c r="R36" s="544"/>
      <c r="S36" s="544"/>
      <c r="T36" s="544"/>
      <c r="U36" s="544"/>
      <c r="V36" s="544"/>
      <c r="W36" s="544"/>
      <c r="X36" s="544">
        <v>120</v>
      </c>
      <c r="Y36" s="550"/>
      <c r="Z36" s="550"/>
      <c r="AA36" s="550"/>
      <c r="AB36" s="550">
        <v>88</v>
      </c>
      <c r="AC36" s="550">
        <f t="shared" ref="AC36:AC45" si="13">+AB36*0.19</f>
        <v>16.72</v>
      </c>
      <c r="AD36" s="550">
        <f t="shared" ref="AD36:AD45" si="14">+AB36+AC36</f>
        <v>104.72</v>
      </c>
      <c r="AE36" s="550"/>
      <c r="AF36" s="550"/>
      <c r="AG36" s="550"/>
      <c r="AH36" s="550"/>
      <c r="AI36" s="550"/>
      <c r="AJ36" s="550"/>
      <c r="AK36" s="550"/>
      <c r="AL36" s="550"/>
      <c r="AM36" s="550"/>
      <c r="AN36" s="550"/>
      <c r="AO36" s="550"/>
      <c r="AP36" s="550"/>
      <c r="AQ36" s="550"/>
      <c r="AR36" s="550"/>
      <c r="AS36" s="550"/>
      <c r="AT36" s="550"/>
      <c r="AU36" s="550"/>
      <c r="AV36" s="550"/>
      <c r="AW36" s="550"/>
      <c r="AX36" s="550"/>
      <c r="AY36" s="550"/>
      <c r="AZ36" s="550"/>
      <c r="BA36" s="550"/>
      <c r="BB36" s="550"/>
      <c r="BC36" s="550"/>
      <c r="BD36" s="550"/>
      <c r="BE36" s="550"/>
      <c r="BF36" s="550"/>
      <c r="BG36" s="550"/>
      <c r="BH36" s="550"/>
      <c r="BI36" s="550"/>
      <c r="BJ36" s="550"/>
      <c r="BK36" s="550"/>
      <c r="BL36" s="550"/>
      <c r="BM36" s="550"/>
      <c r="BN36" s="550"/>
      <c r="BO36" s="550"/>
      <c r="BP36" s="550"/>
      <c r="BQ36" s="550"/>
      <c r="BR36" s="550"/>
      <c r="BS36" s="550"/>
      <c r="BT36" s="550"/>
      <c r="BU36" s="550"/>
      <c r="BV36" s="550"/>
      <c r="BW36" s="550"/>
      <c r="BX36" s="544"/>
      <c r="BY36" s="544"/>
      <c r="BZ36" s="544"/>
      <c r="CA36" s="544"/>
      <c r="CB36" s="544"/>
      <c r="CC36" s="544"/>
      <c r="CD36" s="544"/>
      <c r="CE36" s="544"/>
      <c r="CF36" s="544"/>
      <c r="CG36" s="544"/>
      <c r="CH36" s="544"/>
      <c r="CI36" s="544"/>
      <c r="CJ36" s="544"/>
      <c r="CK36" s="544"/>
      <c r="CL36" s="544"/>
      <c r="CM36" s="544"/>
      <c r="CN36" s="544"/>
      <c r="CO36" s="544"/>
      <c r="CP36" s="544"/>
      <c r="CQ36" s="544">
        <f t="shared" ref="CQ36:CQ45" si="15">+MEDIAN(Q36,X36,AD36)</f>
        <v>120</v>
      </c>
      <c r="CR36" s="544">
        <f t="shared" ref="CR36:CR45" si="16">+AVERAGE(Q36,X36,AD36)</f>
        <v>118.57333333333334</v>
      </c>
      <c r="CS36" s="544">
        <f t="shared" ref="CS36:CS45" si="17">+STDEV(Q36,X36,AD36)</f>
        <v>13.197959438236403</v>
      </c>
      <c r="CT36" s="545">
        <f t="shared" si="10"/>
        <v>0.1113063035947071</v>
      </c>
      <c r="CU36" s="544">
        <v>100</v>
      </c>
      <c r="CV36" s="544">
        <f t="shared" si="9"/>
        <v>19</v>
      </c>
      <c r="CW36" s="546">
        <f t="shared" ref="CW36:CW67" si="18">+ROUNDUP(IF(CT36&lt;15%,CR36,CQ36),0)</f>
        <v>119</v>
      </c>
      <c r="CX36" s="546">
        <f t="shared" ref="CX36:CX67" si="19">+CW36*E36</f>
        <v>119</v>
      </c>
      <c r="CY36" s="551" t="s">
        <v>932</v>
      </c>
    </row>
    <row r="37" spans="1:104" s="549" customFormat="1" ht="29" x14ac:dyDescent="0.35">
      <c r="A37" s="540">
        <v>34</v>
      </c>
      <c r="B37" s="541" t="s">
        <v>982</v>
      </c>
      <c r="C37" s="542" t="s">
        <v>977</v>
      </c>
      <c r="D37" s="543" t="s">
        <v>928</v>
      </c>
      <c r="E37" s="543">
        <v>1</v>
      </c>
      <c r="F37" s="544"/>
      <c r="G37" s="544"/>
      <c r="H37" s="544"/>
      <c r="I37" s="544"/>
      <c r="J37" s="544"/>
      <c r="K37" s="544"/>
      <c r="L37" s="544"/>
      <c r="M37" s="544"/>
      <c r="N37" s="544"/>
      <c r="O37" s="550">
        <v>110.08403361344538</v>
      </c>
      <c r="P37" s="550">
        <f t="shared" si="11"/>
        <v>20.915966386554622</v>
      </c>
      <c r="Q37" s="550">
        <f t="shared" si="12"/>
        <v>131</v>
      </c>
      <c r="R37" s="544"/>
      <c r="S37" s="544"/>
      <c r="T37" s="544"/>
      <c r="U37" s="550"/>
      <c r="V37" s="550"/>
      <c r="W37" s="550"/>
      <c r="X37" s="550">
        <v>120</v>
      </c>
      <c r="Y37" s="550"/>
      <c r="Z37" s="550"/>
      <c r="AA37" s="550"/>
      <c r="AB37" s="550">
        <v>154</v>
      </c>
      <c r="AC37" s="550">
        <f t="shared" si="13"/>
        <v>29.26</v>
      </c>
      <c r="AD37" s="550">
        <f t="shared" si="14"/>
        <v>183.26</v>
      </c>
      <c r="AE37" s="550"/>
      <c r="AF37" s="550"/>
      <c r="AG37" s="550"/>
      <c r="AH37" s="550"/>
      <c r="AI37" s="550"/>
      <c r="AJ37" s="550"/>
      <c r="AK37" s="550"/>
      <c r="AL37" s="550"/>
      <c r="AM37" s="550"/>
      <c r="AN37" s="550"/>
      <c r="AO37" s="550"/>
      <c r="AP37" s="550"/>
      <c r="AQ37" s="550"/>
      <c r="AR37" s="550"/>
      <c r="AS37" s="550"/>
      <c r="AT37" s="550"/>
      <c r="AU37" s="550"/>
      <c r="AV37" s="550"/>
      <c r="AW37" s="550"/>
      <c r="AX37" s="550"/>
      <c r="AY37" s="550"/>
      <c r="AZ37" s="550"/>
      <c r="BA37" s="550"/>
      <c r="BB37" s="550"/>
      <c r="BC37" s="550"/>
      <c r="BD37" s="550"/>
      <c r="BE37" s="550"/>
      <c r="BF37" s="550"/>
      <c r="BG37" s="550"/>
      <c r="BH37" s="550"/>
      <c r="BI37" s="550"/>
      <c r="BJ37" s="550"/>
      <c r="BK37" s="550"/>
      <c r="BL37" s="550"/>
      <c r="BM37" s="550"/>
      <c r="BN37" s="550"/>
      <c r="BO37" s="550"/>
      <c r="BP37" s="550"/>
      <c r="BQ37" s="550"/>
      <c r="BR37" s="550"/>
      <c r="BS37" s="550"/>
      <c r="BT37" s="550"/>
      <c r="BU37" s="550"/>
      <c r="BV37" s="550"/>
      <c r="BW37" s="550"/>
      <c r="BX37" s="544"/>
      <c r="BY37" s="544"/>
      <c r="BZ37" s="544"/>
      <c r="CA37" s="544"/>
      <c r="CB37" s="544"/>
      <c r="CC37" s="544"/>
      <c r="CD37" s="544"/>
      <c r="CE37" s="544"/>
      <c r="CF37" s="544"/>
      <c r="CG37" s="544"/>
      <c r="CH37" s="544"/>
      <c r="CI37" s="544"/>
      <c r="CJ37" s="544"/>
      <c r="CK37" s="544"/>
      <c r="CL37" s="544"/>
      <c r="CM37" s="544"/>
      <c r="CN37" s="544"/>
      <c r="CO37" s="544"/>
      <c r="CP37" s="544"/>
      <c r="CQ37" s="544">
        <f t="shared" si="15"/>
        <v>131</v>
      </c>
      <c r="CR37" s="544">
        <f t="shared" si="16"/>
        <v>144.75333333333333</v>
      </c>
      <c r="CS37" s="544">
        <f t="shared" si="17"/>
        <v>33.798262282746613</v>
      </c>
      <c r="CT37" s="545">
        <f t="shared" si="10"/>
        <v>0.23348866312402672</v>
      </c>
      <c r="CU37" s="544">
        <v>110.08403361344538</v>
      </c>
      <c r="CV37" s="544">
        <f t="shared" si="9"/>
        <v>20.915966386554622</v>
      </c>
      <c r="CW37" s="546">
        <f t="shared" si="18"/>
        <v>131</v>
      </c>
      <c r="CX37" s="546">
        <f t="shared" si="19"/>
        <v>131</v>
      </c>
      <c r="CY37" s="551" t="s">
        <v>929</v>
      </c>
    </row>
    <row r="38" spans="1:104" s="549" customFormat="1" ht="29" x14ac:dyDescent="0.35">
      <c r="A38" s="540">
        <v>35</v>
      </c>
      <c r="B38" s="541" t="s">
        <v>983</v>
      </c>
      <c r="C38" s="542" t="s">
        <v>977</v>
      </c>
      <c r="D38" s="543" t="s">
        <v>928</v>
      </c>
      <c r="E38" s="543">
        <v>1</v>
      </c>
      <c r="F38" s="544"/>
      <c r="G38" s="544"/>
      <c r="H38" s="544"/>
      <c r="I38" s="544"/>
      <c r="J38" s="544"/>
      <c r="K38" s="544"/>
      <c r="L38" s="544"/>
      <c r="M38" s="544"/>
      <c r="N38" s="544"/>
      <c r="O38" s="550">
        <v>110.08403361344538</v>
      </c>
      <c r="P38" s="550">
        <f t="shared" si="11"/>
        <v>20.915966386554622</v>
      </c>
      <c r="Q38" s="550">
        <f t="shared" si="12"/>
        <v>131</v>
      </c>
      <c r="R38" s="544"/>
      <c r="S38" s="544"/>
      <c r="T38" s="544"/>
      <c r="U38" s="550"/>
      <c r="V38" s="550"/>
      <c r="W38" s="550"/>
      <c r="X38" s="550">
        <v>120</v>
      </c>
      <c r="Y38" s="550"/>
      <c r="Z38" s="550"/>
      <c r="AA38" s="550"/>
      <c r="AB38" s="550">
        <v>88</v>
      </c>
      <c r="AC38" s="550">
        <f t="shared" si="13"/>
        <v>16.72</v>
      </c>
      <c r="AD38" s="550">
        <f t="shared" si="14"/>
        <v>104.72</v>
      </c>
      <c r="AE38" s="550"/>
      <c r="AF38" s="550"/>
      <c r="AG38" s="550"/>
      <c r="AH38" s="550"/>
      <c r="AI38" s="550"/>
      <c r="AJ38" s="550"/>
      <c r="AK38" s="550"/>
      <c r="AL38" s="550"/>
      <c r="AM38" s="550"/>
      <c r="AN38" s="550"/>
      <c r="AO38" s="550"/>
      <c r="AP38" s="550"/>
      <c r="AQ38" s="550"/>
      <c r="AR38" s="550"/>
      <c r="AS38" s="550"/>
      <c r="AT38" s="550"/>
      <c r="AU38" s="550"/>
      <c r="AV38" s="550"/>
      <c r="AW38" s="550"/>
      <c r="AX38" s="550"/>
      <c r="AY38" s="550"/>
      <c r="AZ38" s="550"/>
      <c r="BA38" s="550"/>
      <c r="BB38" s="550"/>
      <c r="BC38" s="550"/>
      <c r="BD38" s="550"/>
      <c r="BE38" s="550"/>
      <c r="BF38" s="550"/>
      <c r="BG38" s="550"/>
      <c r="BH38" s="550"/>
      <c r="BI38" s="550"/>
      <c r="BJ38" s="550"/>
      <c r="BK38" s="550"/>
      <c r="BL38" s="550"/>
      <c r="BM38" s="550"/>
      <c r="BN38" s="550"/>
      <c r="BO38" s="550"/>
      <c r="BP38" s="550"/>
      <c r="BQ38" s="550"/>
      <c r="BR38" s="550"/>
      <c r="BS38" s="550"/>
      <c r="BT38" s="550"/>
      <c r="BU38" s="550"/>
      <c r="BV38" s="550"/>
      <c r="BW38" s="550"/>
      <c r="BX38" s="544"/>
      <c r="BY38" s="544"/>
      <c r="BZ38" s="544"/>
      <c r="CA38" s="544"/>
      <c r="CB38" s="544"/>
      <c r="CC38" s="544"/>
      <c r="CD38" s="544"/>
      <c r="CE38" s="544"/>
      <c r="CF38" s="544"/>
      <c r="CG38" s="544"/>
      <c r="CH38" s="544"/>
      <c r="CI38" s="544"/>
      <c r="CJ38" s="544"/>
      <c r="CK38" s="544"/>
      <c r="CL38" s="544"/>
      <c r="CM38" s="544"/>
      <c r="CN38" s="544"/>
      <c r="CO38" s="544"/>
      <c r="CP38" s="544"/>
      <c r="CQ38" s="544">
        <f t="shared" si="15"/>
        <v>120</v>
      </c>
      <c r="CR38" s="544">
        <f t="shared" si="16"/>
        <v>118.57333333333334</v>
      </c>
      <c r="CS38" s="544">
        <f t="shared" si="17"/>
        <v>13.197959438236403</v>
      </c>
      <c r="CT38" s="545">
        <f t="shared" si="10"/>
        <v>0.1113063035947071</v>
      </c>
      <c r="CU38" s="544">
        <v>100</v>
      </c>
      <c r="CV38" s="544">
        <f t="shared" si="9"/>
        <v>19</v>
      </c>
      <c r="CW38" s="546">
        <f t="shared" si="18"/>
        <v>119</v>
      </c>
      <c r="CX38" s="546">
        <f t="shared" si="19"/>
        <v>119</v>
      </c>
      <c r="CY38" s="551" t="s">
        <v>932</v>
      </c>
    </row>
    <row r="39" spans="1:104" s="549" customFormat="1" ht="29" x14ac:dyDescent="0.35">
      <c r="A39" s="540">
        <v>36</v>
      </c>
      <c r="B39" s="541" t="s">
        <v>984</v>
      </c>
      <c r="C39" s="542" t="s">
        <v>977</v>
      </c>
      <c r="D39" s="543" t="s">
        <v>928</v>
      </c>
      <c r="E39" s="543">
        <v>1</v>
      </c>
      <c r="F39" s="544"/>
      <c r="G39" s="544"/>
      <c r="H39" s="544"/>
      <c r="I39" s="544"/>
      <c r="J39" s="544"/>
      <c r="K39" s="544"/>
      <c r="L39" s="544"/>
      <c r="M39" s="544"/>
      <c r="N39" s="544"/>
      <c r="O39" s="550">
        <v>110.08403361344538</v>
      </c>
      <c r="P39" s="550">
        <f t="shared" si="11"/>
        <v>20.915966386554622</v>
      </c>
      <c r="Q39" s="550">
        <f t="shared" si="12"/>
        <v>131</v>
      </c>
      <c r="R39" s="544"/>
      <c r="S39" s="544"/>
      <c r="T39" s="544"/>
      <c r="U39" s="550"/>
      <c r="V39" s="550"/>
      <c r="W39" s="550"/>
      <c r="X39" s="550">
        <v>120</v>
      </c>
      <c r="Y39" s="550"/>
      <c r="Z39" s="550"/>
      <c r="AA39" s="550"/>
      <c r="AB39" s="550">
        <v>88</v>
      </c>
      <c r="AC39" s="550">
        <f t="shared" si="13"/>
        <v>16.72</v>
      </c>
      <c r="AD39" s="550">
        <f t="shared" si="14"/>
        <v>104.72</v>
      </c>
      <c r="AE39" s="550"/>
      <c r="AF39" s="550"/>
      <c r="AG39" s="550"/>
      <c r="AH39" s="550"/>
      <c r="AI39" s="550"/>
      <c r="AJ39" s="550"/>
      <c r="AK39" s="550"/>
      <c r="AL39" s="550"/>
      <c r="AM39" s="550"/>
      <c r="AN39" s="550"/>
      <c r="AO39" s="550"/>
      <c r="AP39" s="550"/>
      <c r="AQ39" s="550"/>
      <c r="AR39" s="550"/>
      <c r="AS39" s="550"/>
      <c r="AT39" s="550"/>
      <c r="AU39" s="550"/>
      <c r="AV39" s="550"/>
      <c r="AW39" s="550"/>
      <c r="AX39" s="550"/>
      <c r="AY39" s="550"/>
      <c r="AZ39" s="550"/>
      <c r="BA39" s="550"/>
      <c r="BB39" s="550"/>
      <c r="BC39" s="550"/>
      <c r="BD39" s="550"/>
      <c r="BE39" s="550"/>
      <c r="BF39" s="550"/>
      <c r="BG39" s="550"/>
      <c r="BH39" s="550"/>
      <c r="BI39" s="550"/>
      <c r="BJ39" s="550"/>
      <c r="BK39" s="550"/>
      <c r="BL39" s="550"/>
      <c r="BM39" s="550"/>
      <c r="BN39" s="550"/>
      <c r="BO39" s="550"/>
      <c r="BP39" s="550"/>
      <c r="BQ39" s="550"/>
      <c r="BR39" s="550"/>
      <c r="BS39" s="550"/>
      <c r="BT39" s="550"/>
      <c r="BU39" s="550"/>
      <c r="BV39" s="550"/>
      <c r="BW39" s="550"/>
      <c r="BX39" s="544"/>
      <c r="BY39" s="544"/>
      <c r="BZ39" s="544"/>
      <c r="CA39" s="544"/>
      <c r="CB39" s="544"/>
      <c r="CC39" s="544"/>
      <c r="CD39" s="544"/>
      <c r="CE39" s="544"/>
      <c r="CF39" s="544"/>
      <c r="CG39" s="544"/>
      <c r="CH39" s="544"/>
      <c r="CI39" s="544"/>
      <c r="CJ39" s="544"/>
      <c r="CK39" s="544"/>
      <c r="CL39" s="544"/>
      <c r="CM39" s="544"/>
      <c r="CN39" s="544"/>
      <c r="CO39" s="544"/>
      <c r="CP39" s="544"/>
      <c r="CQ39" s="544">
        <f t="shared" si="15"/>
        <v>120</v>
      </c>
      <c r="CR39" s="544">
        <f t="shared" si="16"/>
        <v>118.57333333333334</v>
      </c>
      <c r="CS39" s="544">
        <f t="shared" si="17"/>
        <v>13.197959438236403</v>
      </c>
      <c r="CT39" s="545">
        <f t="shared" si="10"/>
        <v>0.1113063035947071</v>
      </c>
      <c r="CU39" s="544">
        <v>100</v>
      </c>
      <c r="CV39" s="544">
        <f t="shared" si="9"/>
        <v>19</v>
      </c>
      <c r="CW39" s="546">
        <f t="shared" si="18"/>
        <v>119</v>
      </c>
      <c r="CX39" s="546">
        <f t="shared" si="19"/>
        <v>119</v>
      </c>
      <c r="CY39" s="551" t="s">
        <v>932</v>
      </c>
    </row>
    <row r="40" spans="1:104" s="549" customFormat="1" ht="37.5" customHeight="1" x14ac:dyDescent="0.35">
      <c r="A40" s="540">
        <v>37</v>
      </c>
      <c r="B40" s="541" t="s">
        <v>985</v>
      </c>
      <c r="C40" s="542" t="s">
        <v>977</v>
      </c>
      <c r="D40" s="543" t="s">
        <v>928</v>
      </c>
      <c r="E40" s="543">
        <v>1</v>
      </c>
      <c r="F40" s="544"/>
      <c r="G40" s="544"/>
      <c r="H40" s="544"/>
      <c r="I40" s="544"/>
      <c r="J40" s="544"/>
      <c r="K40" s="544"/>
      <c r="L40" s="544"/>
      <c r="M40" s="544"/>
      <c r="N40" s="544"/>
      <c r="O40" s="550">
        <v>110.08403361344538</v>
      </c>
      <c r="P40" s="550">
        <f t="shared" si="11"/>
        <v>20.915966386554622</v>
      </c>
      <c r="Q40" s="550">
        <f t="shared" si="12"/>
        <v>131</v>
      </c>
      <c r="R40" s="544"/>
      <c r="S40" s="544"/>
      <c r="T40" s="544"/>
      <c r="U40" s="550"/>
      <c r="V40" s="550"/>
      <c r="W40" s="550"/>
      <c r="X40" s="550">
        <v>120</v>
      </c>
      <c r="Y40" s="550"/>
      <c r="Z40" s="550"/>
      <c r="AA40" s="550"/>
      <c r="AB40" s="550">
        <v>88</v>
      </c>
      <c r="AC40" s="550">
        <f t="shared" si="13"/>
        <v>16.72</v>
      </c>
      <c r="AD40" s="550">
        <f t="shared" si="14"/>
        <v>104.72</v>
      </c>
      <c r="AE40" s="550"/>
      <c r="AF40" s="550"/>
      <c r="AG40" s="550"/>
      <c r="AH40" s="550"/>
      <c r="AI40" s="550"/>
      <c r="AJ40" s="550"/>
      <c r="AK40" s="550"/>
      <c r="AL40" s="550"/>
      <c r="AM40" s="550"/>
      <c r="AN40" s="550"/>
      <c r="AO40" s="550"/>
      <c r="AP40" s="550"/>
      <c r="AQ40" s="550"/>
      <c r="AR40" s="550"/>
      <c r="AS40" s="550"/>
      <c r="AT40" s="550"/>
      <c r="AU40" s="550"/>
      <c r="AV40" s="550"/>
      <c r="AW40" s="550"/>
      <c r="AX40" s="550"/>
      <c r="AY40" s="550"/>
      <c r="AZ40" s="550"/>
      <c r="BA40" s="550"/>
      <c r="BB40" s="550"/>
      <c r="BC40" s="550"/>
      <c r="BD40" s="550"/>
      <c r="BE40" s="550"/>
      <c r="BF40" s="550"/>
      <c r="BG40" s="550"/>
      <c r="BH40" s="550"/>
      <c r="BI40" s="550"/>
      <c r="BJ40" s="550"/>
      <c r="BK40" s="550"/>
      <c r="BL40" s="550"/>
      <c r="BM40" s="550"/>
      <c r="BN40" s="550"/>
      <c r="BO40" s="550"/>
      <c r="BP40" s="550"/>
      <c r="BQ40" s="550"/>
      <c r="BR40" s="550"/>
      <c r="BS40" s="550"/>
      <c r="BT40" s="550"/>
      <c r="BU40" s="550"/>
      <c r="BV40" s="550"/>
      <c r="BW40" s="550"/>
      <c r="BX40" s="544"/>
      <c r="BY40" s="544"/>
      <c r="BZ40" s="544"/>
      <c r="CA40" s="544"/>
      <c r="CB40" s="544"/>
      <c r="CC40" s="544"/>
      <c r="CD40" s="544"/>
      <c r="CE40" s="544"/>
      <c r="CF40" s="544"/>
      <c r="CG40" s="544"/>
      <c r="CH40" s="544"/>
      <c r="CI40" s="544"/>
      <c r="CJ40" s="544"/>
      <c r="CK40" s="544"/>
      <c r="CL40" s="544"/>
      <c r="CM40" s="544"/>
      <c r="CN40" s="544"/>
      <c r="CO40" s="544"/>
      <c r="CP40" s="544"/>
      <c r="CQ40" s="544">
        <f t="shared" si="15"/>
        <v>120</v>
      </c>
      <c r="CR40" s="544">
        <f t="shared" si="16"/>
        <v>118.57333333333334</v>
      </c>
      <c r="CS40" s="544">
        <f t="shared" si="17"/>
        <v>13.197959438236403</v>
      </c>
      <c r="CT40" s="545">
        <f t="shared" si="10"/>
        <v>0.1113063035947071</v>
      </c>
      <c r="CU40" s="544">
        <v>100</v>
      </c>
      <c r="CV40" s="544">
        <f t="shared" si="9"/>
        <v>19</v>
      </c>
      <c r="CW40" s="546">
        <f t="shared" si="18"/>
        <v>119</v>
      </c>
      <c r="CX40" s="546">
        <f t="shared" si="19"/>
        <v>119</v>
      </c>
      <c r="CY40" s="551" t="s">
        <v>932</v>
      </c>
    </row>
    <row r="41" spans="1:104" s="549" customFormat="1" ht="29" x14ac:dyDescent="0.35">
      <c r="A41" s="540">
        <v>38</v>
      </c>
      <c r="B41" s="541" t="s">
        <v>986</v>
      </c>
      <c r="C41" s="542" t="s">
        <v>977</v>
      </c>
      <c r="D41" s="543" t="s">
        <v>928</v>
      </c>
      <c r="E41" s="543">
        <v>1</v>
      </c>
      <c r="F41" s="544"/>
      <c r="G41" s="544"/>
      <c r="H41" s="544"/>
      <c r="I41" s="544"/>
      <c r="J41" s="544"/>
      <c r="K41" s="544"/>
      <c r="L41" s="544"/>
      <c r="M41" s="544"/>
      <c r="N41" s="544"/>
      <c r="O41" s="550">
        <v>110.08403361344538</v>
      </c>
      <c r="P41" s="550">
        <f t="shared" si="11"/>
        <v>20.915966386554622</v>
      </c>
      <c r="Q41" s="550">
        <f t="shared" si="12"/>
        <v>131</v>
      </c>
      <c r="R41" s="544"/>
      <c r="S41" s="544"/>
      <c r="T41" s="544"/>
      <c r="U41" s="550"/>
      <c r="V41" s="550"/>
      <c r="W41" s="550"/>
      <c r="X41" s="550">
        <v>120</v>
      </c>
      <c r="Y41" s="550"/>
      <c r="Z41" s="550"/>
      <c r="AA41" s="550"/>
      <c r="AB41" s="550">
        <v>88</v>
      </c>
      <c r="AC41" s="550">
        <f t="shared" si="13"/>
        <v>16.72</v>
      </c>
      <c r="AD41" s="550">
        <f t="shared" si="14"/>
        <v>104.72</v>
      </c>
      <c r="AE41" s="550"/>
      <c r="AF41" s="550"/>
      <c r="AG41" s="550"/>
      <c r="AH41" s="550"/>
      <c r="AI41" s="550"/>
      <c r="AJ41" s="550"/>
      <c r="AK41" s="550"/>
      <c r="AL41" s="550"/>
      <c r="AM41" s="550"/>
      <c r="AN41" s="550"/>
      <c r="AO41" s="550"/>
      <c r="AP41" s="550"/>
      <c r="AQ41" s="550"/>
      <c r="AR41" s="550"/>
      <c r="AS41" s="550"/>
      <c r="AT41" s="550"/>
      <c r="AU41" s="550"/>
      <c r="AV41" s="550"/>
      <c r="AW41" s="550"/>
      <c r="AX41" s="550"/>
      <c r="AY41" s="550"/>
      <c r="AZ41" s="550"/>
      <c r="BA41" s="550"/>
      <c r="BB41" s="550"/>
      <c r="BC41" s="550"/>
      <c r="BD41" s="550"/>
      <c r="BE41" s="550"/>
      <c r="BF41" s="550"/>
      <c r="BG41" s="550"/>
      <c r="BH41" s="550"/>
      <c r="BI41" s="550"/>
      <c r="BJ41" s="550"/>
      <c r="BK41" s="550"/>
      <c r="BL41" s="550"/>
      <c r="BM41" s="550"/>
      <c r="BN41" s="550"/>
      <c r="BO41" s="550"/>
      <c r="BP41" s="550"/>
      <c r="BQ41" s="550"/>
      <c r="BR41" s="550"/>
      <c r="BS41" s="550"/>
      <c r="BT41" s="550"/>
      <c r="BU41" s="550"/>
      <c r="BV41" s="550"/>
      <c r="BW41" s="550"/>
      <c r="BX41" s="544"/>
      <c r="BY41" s="544"/>
      <c r="BZ41" s="544"/>
      <c r="CA41" s="544"/>
      <c r="CB41" s="544"/>
      <c r="CC41" s="544"/>
      <c r="CD41" s="544"/>
      <c r="CE41" s="544"/>
      <c r="CF41" s="544"/>
      <c r="CG41" s="544"/>
      <c r="CH41" s="544"/>
      <c r="CI41" s="544"/>
      <c r="CJ41" s="544"/>
      <c r="CK41" s="544"/>
      <c r="CL41" s="544"/>
      <c r="CM41" s="544"/>
      <c r="CN41" s="544"/>
      <c r="CO41" s="544"/>
      <c r="CP41" s="544"/>
      <c r="CQ41" s="544">
        <f t="shared" si="15"/>
        <v>120</v>
      </c>
      <c r="CR41" s="544">
        <f t="shared" si="16"/>
        <v>118.57333333333334</v>
      </c>
      <c r="CS41" s="544">
        <f t="shared" si="17"/>
        <v>13.197959438236403</v>
      </c>
      <c r="CT41" s="545">
        <f t="shared" si="10"/>
        <v>0.1113063035947071</v>
      </c>
      <c r="CU41" s="544">
        <v>100</v>
      </c>
      <c r="CV41" s="544">
        <f t="shared" si="9"/>
        <v>19</v>
      </c>
      <c r="CW41" s="546">
        <f t="shared" si="18"/>
        <v>119</v>
      </c>
      <c r="CX41" s="546">
        <f t="shared" si="19"/>
        <v>119</v>
      </c>
      <c r="CY41" s="551" t="s">
        <v>932</v>
      </c>
    </row>
    <row r="42" spans="1:104" s="549" customFormat="1" ht="29" x14ac:dyDescent="0.35">
      <c r="A42" s="540">
        <v>39</v>
      </c>
      <c r="B42" s="542" t="s">
        <v>987</v>
      </c>
      <c r="C42" s="542" t="s">
        <v>977</v>
      </c>
      <c r="D42" s="543" t="s">
        <v>928</v>
      </c>
      <c r="E42" s="543">
        <v>1</v>
      </c>
      <c r="F42" s="544"/>
      <c r="G42" s="544"/>
      <c r="H42" s="544"/>
      <c r="I42" s="544"/>
      <c r="J42" s="544"/>
      <c r="K42" s="544"/>
      <c r="L42" s="544"/>
      <c r="M42" s="544"/>
      <c r="N42" s="544"/>
      <c r="O42" s="554">
        <v>110.08403361344538</v>
      </c>
      <c r="P42" s="554">
        <f t="shared" si="11"/>
        <v>20.915966386554622</v>
      </c>
      <c r="Q42" s="554">
        <f t="shared" si="12"/>
        <v>131</v>
      </c>
      <c r="R42" s="544"/>
      <c r="S42" s="544"/>
      <c r="T42" s="544"/>
      <c r="U42" s="554"/>
      <c r="V42" s="554"/>
      <c r="W42" s="554"/>
      <c r="X42" s="554">
        <v>120</v>
      </c>
      <c r="Y42" s="550"/>
      <c r="Z42" s="550"/>
      <c r="AA42" s="550"/>
      <c r="AB42" s="550">
        <v>88</v>
      </c>
      <c r="AC42" s="550">
        <f t="shared" si="13"/>
        <v>16.72</v>
      </c>
      <c r="AD42" s="550">
        <f t="shared" si="14"/>
        <v>104.72</v>
      </c>
      <c r="AE42" s="550"/>
      <c r="AF42" s="550"/>
      <c r="AG42" s="550"/>
      <c r="AH42" s="550"/>
      <c r="AI42" s="550"/>
      <c r="AJ42" s="550"/>
      <c r="AK42" s="550"/>
      <c r="AL42" s="550"/>
      <c r="AM42" s="550"/>
      <c r="AN42" s="550"/>
      <c r="AO42" s="550"/>
      <c r="AP42" s="550"/>
      <c r="AQ42" s="550"/>
      <c r="AR42" s="550"/>
      <c r="AS42" s="550"/>
      <c r="AT42" s="550"/>
      <c r="AU42" s="550"/>
      <c r="AV42" s="550"/>
      <c r="AW42" s="550"/>
      <c r="AX42" s="550"/>
      <c r="AY42" s="550"/>
      <c r="AZ42" s="550"/>
      <c r="BA42" s="550"/>
      <c r="BB42" s="550"/>
      <c r="BC42" s="550"/>
      <c r="BD42" s="550"/>
      <c r="BE42" s="550"/>
      <c r="BF42" s="550"/>
      <c r="BG42" s="550"/>
      <c r="BH42" s="550"/>
      <c r="BI42" s="550"/>
      <c r="BJ42" s="550"/>
      <c r="BK42" s="550"/>
      <c r="BL42" s="550"/>
      <c r="BM42" s="550"/>
      <c r="BN42" s="550"/>
      <c r="BO42" s="550"/>
      <c r="BP42" s="550"/>
      <c r="BQ42" s="550"/>
      <c r="BR42" s="550"/>
      <c r="BS42" s="550"/>
      <c r="BT42" s="550"/>
      <c r="BU42" s="550"/>
      <c r="BV42" s="550"/>
      <c r="BW42" s="550"/>
      <c r="BX42" s="544"/>
      <c r="BY42" s="544"/>
      <c r="BZ42" s="544"/>
      <c r="CA42" s="544"/>
      <c r="CB42" s="544"/>
      <c r="CC42" s="544"/>
      <c r="CD42" s="544"/>
      <c r="CE42" s="544"/>
      <c r="CF42" s="544"/>
      <c r="CG42" s="544"/>
      <c r="CH42" s="544"/>
      <c r="CI42" s="544"/>
      <c r="CJ42" s="544"/>
      <c r="CK42" s="544"/>
      <c r="CL42" s="544"/>
      <c r="CM42" s="544"/>
      <c r="CN42" s="544"/>
      <c r="CO42" s="544"/>
      <c r="CP42" s="544"/>
      <c r="CQ42" s="544">
        <f t="shared" si="15"/>
        <v>120</v>
      </c>
      <c r="CR42" s="544">
        <f t="shared" si="16"/>
        <v>118.57333333333334</v>
      </c>
      <c r="CS42" s="544">
        <f t="shared" si="17"/>
        <v>13.197959438236403</v>
      </c>
      <c r="CT42" s="545">
        <f t="shared" si="10"/>
        <v>0.1113063035947071</v>
      </c>
      <c r="CU42" s="544">
        <v>100</v>
      </c>
      <c r="CV42" s="544">
        <f t="shared" si="9"/>
        <v>19</v>
      </c>
      <c r="CW42" s="546">
        <f t="shared" si="18"/>
        <v>119</v>
      </c>
      <c r="CX42" s="546">
        <f t="shared" si="19"/>
        <v>119</v>
      </c>
      <c r="CY42" s="551" t="s">
        <v>932</v>
      </c>
    </row>
    <row r="43" spans="1:104" s="549" customFormat="1" ht="29" x14ac:dyDescent="0.35">
      <c r="A43" s="540">
        <v>40</v>
      </c>
      <c r="B43" s="542" t="s">
        <v>988</v>
      </c>
      <c r="C43" s="542" t="s">
        <v>977</v>
      </c>
      <c r="D43" s="543" t="s">
        <v>928</v>
      </c>
      <c r="E43" s="543">
        <v>1</v>
      </c>
      <c r="F43" s="544"/>
      <c r="G43" s="544"/>
      <c r="H43" s="544"/>
      <c r="I43" s="544"/>
      <c r="J43" s="544"/>
      <c r="K43" s="544"/>
      <c r="L43" s="544"/>
      <c r="M43" s="544"/>
      <c r="N43" s="544"/>
      <c r="O43" s="554">
        <v>110.08403361344538</v>
      </c>
      <c r="P43" s="554">
        <f t="shared" si="11"/>
        <v>20.915966386554622</v>
      </c>
      <c r="Q43" s="554">
        <f t="shared" si="12"/>
        <v>131</v>
      </c>
      <c r="R43" s="544"/>
      <c r="S43" s="544"/>
      <c r="T43" s="544"/>
      <c r="U43" s="554"/>
      <c r="V43" s="554"/>
      <c r="W43" s="554"/>
      <c r="X43" s="554">
        <v>120</v>
      </c>
      <c r="Y43" s="550"/>
      <c r="Z43" s="550"/>
      <c r="AA43" s="550"/>
      <c r="AB43" s="550">
        <v>88</v>
      </c>
      <c r="AC43" s="550">
        <f t="shared" si="13"/>
        <v>16.72</v>
      </c>
      <c r="AD43" s="550">
        <f t="shared" si="14"/>
        <v>104.72</v>
      </c>
      <c r="AE43" s="550"/>
      <c r="AF43" s="550"/>
      <c r="AG43" s="550"/>
      <c r="AH43" s="550"/>
      <c r="AI43" s="550"/>
      <c r="AJ43" s="550"/>
      <c r="AK43" s="550"/>
      <c r="AL43" s="550"/>
      <c r="AM43" s="550"/>
      <c r="AN43" s="550"/>
      <c r="AO43" s="550"/>
      <c r="AP43" s="550"/>
      <c r="AQ43" s="550"/>
      <c r="AR43" s="550"/>
      <c r="AS43" s="550"/>
      <c r="AT43" s="550"/>
      <c r="AU43" s="550"/>
      <c r="AV43" s="550"/>
      <c r="AW43" s="550"/>
      <c r="AX43" s="550"/>
      <c r="AY43" s="550"/>
      <c r="AZ43" s="550"/>
      <c r="BA43" s="550"/>
      <c r="BB43" s="550"/>
      <c r="BC43" s="550"/>
      <c r="BD43" s="550"/>
      <c r="BE43" s="550"/>
      <c r="BF43" s="550"/>
      <c r="BG43" s="550"/>
      <c r="BH43" s="550"/>
      <c r="BI43" s="550"/>
      <c r="BJ43" s="550"/>
      <c r="BK43" s="550"/>
      <c r="BL43" s="550"/>
      <c r="BM43" s="550"/>
      <c r="BN43" s="550"/>
      <c r="BO43" s="550"/>
      <c r="BP43" s="550"/>
      <c r="BQ43" s="550"/>
      <c r="BR43" s="550"/>
      <c r="BS43" s="550"/>
      <c r="BT43" s="550"/>
      <c r="BU43" s="550"/>
      <c r="BV43" s="550"/>
      <c r="BW43" s="550"/>
      <c r="BX43" s="544"/>
      <c r="BY43" s="544"/>
      <c r="BZ43" s="544"/>
      <c r="CA43" s="544"/>
      <c r="CB43" s="544"/>
      <c r="CC43" s="544"/>
      <c r="CD43" s="544"/>
      <c r="CE43" s="544"/>
      <c r="CF43" s="544"/>
      <c r="CG43" s="544"/>
      <c r="CH43" s="544"/>
      <c r="CI43" s="544"/>
      <c r="CJ43" s="544"/>
      <c r="CK43" s="544"/>
      <c r="CL43" s="544"/>
      <c r="CM43" s="544"/>
      <c r="CN43" s="544"/>
      <c r="CO43" s="544"/>
      <c r="CP43" s="544"/>
      <c r="CQ43" s="544">
        <f t="shared" si="15"/>
        <v>120</v>
      </c>
      <c r="CR43" s="544">
        <f t="shared" si="16"/>
        <v>118.57333333333334</v>
      </c>
      <c r="CS43" s="544">
        <f t="shared" si="17"/>
        <v>13.197959438236403</v>
      </c>
      <c r="CT43" s="545">
        <f t="shared" si="10"/>
        <v>0.1113063035947071</v>
      </c>
      <c r="CU43" s="544">
        <v>100</v>
      </c>
      <c r="CV43" s="544">
        <f t="shared" si="9"/>
        <v>19</v>
      </c>
      <c r="CW43" s="546">
        <f t="shared" si="18"/>
        <v>119</v>
      </c>
      <c r="CX43" s="546">
        <f t="shared" si="19"/>
        <v>119</v>
      </c>
      <c r="CY43" s="551" t="s">
        <v>932</v>
      </c>
    </row>
    <row r="44" spans="1:104" s="549" customFormat="1" ht="45" customHeight="1" x14ac:dyDescent="0.35">
      <c r="A44" s="540">
        <v>41</v>
      </c>
      <c r="B44" s="542" t="s">
        <v>989</v>
      </c>
      <c r="C44" s="542" t="s">
        <v>977</v>
      </c>
      <c r="D44" s="543" t="s">
        <v>928</v>
      </c>
      <c r="E44" s="543">
        <v>1</v>
      </c>
      <c r="F44" s="544"/>
      <c r="G44" s="544"/>
      <c r="H44" s="544"/>
      <c r="I44" s="544"/>
      <c r="J44" s="544"/>
      <c r="K44" s="544"/>
      <c r="L44" s="544"/>
      <c r="M44" s="544"/>
      <c r="N44" s="544"/>
      <c r="O44" s="554">
        <v>110.08403361344538</v>
      </c>
      <c r="P44" s="554">
        <f t="shared" si="11"/>
        <v>20.915966386554622</v>
      </c>
      <c r="Q44" s="554">
        <f t="shared" si="12"/>
        <v>131</v>
      </c>
      <c r="R44" s="544"/>
      <c r="S44" s="544"/>
      <c r="T44" s="544"/>
      <c r="U44" s="554"/>
      <c r="V44" s="554"/>
      <c r="W44" s="554"/>
      <c r="X44" s="554">
        <v>120</v>
      </c>
      <c r="Y44" s="550"/>
      <c r="Z44" s="550"/>
      <c r="AA44" s="550"/>
      <c r="AB44" s="550">
        <v>88</v>
      </c>
      <c r="AC44" s="550">
        <f t="shared" si="13"/>
        <v>16.72</v>
      </c>
      <c r="AD44" s="550">
        <f t="shared" si="14"/>
        <v>104.72</v>
      </c>
      <c r="AE44" s="550"/>
      <c r="AF44" s="550"/>
      <c r="AG44" s="550"/>
      <c r="AH44" s="550"/>
      <c r="AI44" s="550"/>
      <c r="AJ44" s="550"/>
      <c r="AK44" s="550"/>
      <c r="AL44" s="550"/>
      <c r="AM44" s="550"/>
      <c r="AN44" s="550"/>
      <c r="AO44" s="550"/>
      <c r="AP44" s="550"/>
      <c r="AQ44" s="550"/>
      <c r="AR44" s="550"/>
      <c r="AS44" s="550"/>
      <c r="AT44" s="550"/>
      <c r="AU44" s="550"/>
      <c r="AV44" s="550"/>
      <c r="AW44" s="550"/>
      <c r="AX44" s="550"/>
      <c r="AY44" s="550"/>
      <c r="AZ44" s="550"/>
      <c r="BA44" s="550"/>
      <c r="BB44" s="550"/>
      <c r="BC44" s="550"/>
      <c r="BD44" s="550"/>
      <c r="BE44" s="550"/>
      <c r="BF44" s="550"/>
      <c r="BG44" s="550"/>
      <c r="BH44" s="550"/>
      <c r="BI44" s="550"/>
      <c r="BJ44" s="550"/>
      <c r="BK44" s="550"/>
      <c r="BL44" s="550"/>
      <c r="BM44" s="550"/>
      <c r="BN44" s="550"/>
      <c r="BO44" s="550"/>
      <c r="BP44" s="550"/>
      <c r="BQ44" s="550"/>
      <c r="BR44" s="550"/>
      <c r="BS44" s="550"/>
      <c r="BT44" s="550"/>
      <c r="BU44" s="550"/>
      <c r="BV44" s="550"/>
      <c r="BW44" s="550"/>
      <c r="BX44" s="544"/>
      <c r="BY44" s="544"/>
      <c r="BZ44" s="544"/>
      <c r="CA44" s="544"/>
      <c r="CB44" s="544"/>
      <c r="CC44" s="544"/>
      <c r="CD44" s="544"/>
      <c r="CE44" s="544"/>
      <c r="CF44" s="544"/>
      <c r="CG44" s="544"/>
      <c r="CH44" s="544"/>
      <c r="CI44" s="544"/>
      <c r="CJ44" s="544"/>
      <c r="CK44" s="544"/>
      <c r="CL44" s="544"/>
      <c r="CM44" s="544"/>
      <c r="CN44" s="544"/>
      <c r="CO44" s="544"/>
      <c r="CP44" s="544"/>
      <c r="CQ44" s="544">
        <f t="shared" si="15"/>
        <v>120</v>
      </c>
      <c r="CR44" s="544">
        <f t="shared" si="16"/>
        <v>118.57333333333334</v>
      </c>
      <c r="CS44" s="544">
        <f t="shared" si="17"/>
        <v>13.197959438236403</v>
      </c>
      <c r="CT44" s="545">
        <f t="shared" si="10"/>
        <v>0.1113063035947071</v>
      </c>
      <c r="CU44" s="544">
        <v>100</v>
      </c>
      <c r="CV44" s="544">
        <f t="shared" si="9"/>
        <v>19</v>
      </c>
      <c r="CW44" s="546">
        <f t="shared" si="18"/>
        <v>119</v>
      </c>
      <c r="CX44" s="546">
        <f t="shared" si="19"/>
        <v>119</v>
      </c>
      <c r="CY44" s="551" t="s">
        <v>932</v>
      </c>
    </row>
    <row r="45" spans="1:104" s="549" customFormat="1" ht="29" x14ac:dyDescent="0.35">
      <c r="A45" s="540">
        <v>42</v>
      </c>
      <c r="B45" s="541" t="s">
        <v>990</v>
      </c>
      <c r="C45" s="542" t="s">
        <v>977</v>
      </c>
      <c r="D45" s="543" t="s">
        <v>928</v>
      </c>
      <c r="E45" s="543">
        <v>1</v>
      </c>
      <c r="F45" s="544"/>
      <c r="G45" s="544"/>
      <c r="H45" s="544"/>
      <c r="I45" s="544"/>
      <c r="J45" s="544"/>
      <c r="K45" s="544"/>
      <c r="L45" s="544"/>
      <c r="M45" s="544"/>
      <c r="N45" s="544"/>
      <c r="O45" s="544">
        <v>110.08403361344538</v>
      </c>
      <c r="P45" s="544">
        <f t="shared" si="11"/>
        <v>20.915966386554622</v>
      </c>
      <c r="Q45" s="544">
        <f t="shared" si="12"/>
        <v>131</v>
      </c>
      <c r="R45" s="544"/>
      <c r="S45" s="544"/>
      <c r="T45" s="544"/>
      <c r="U45" s="544"/>
      <c r="V45" s="544"/>
      <c r="W45" s="544"/>
      <c r="X45" s="544">
        <v>120</v>
      </c>
      <c r="Y45" s="550"/>
      <c r="Z45" s="550"/>
      <c r="AA45" s="550"/>
      <c r="AB45" s="550">
        <v>88</v>
      </c>
      <c r="AC45" s="550">
        <f t="shared" si="13"/>
        <v>16.72</v>
      </c>
      <c r="AD45" s="550">
        <f t="shared" si="14"/>
        <v>104.72</v>
      </c>
      <c r="AE45" s="550"/>
      <c r="AF45" s="550"/>
      <c r="AG45" s="550"/>
      <c r="AH45" s="550"/>
      <c r="AI45" s="550"/>
      <c r="AJ45" s="550"/>
      <c r="AK45" s="550"/>
      <c r="AL45" s="550"/>
      <c r="AM45" s="550"/>
      <c r="AN45" s="550"/>
      <c r="AO45" s="550"/>
      <c r="AP45" s="550"/>
      <c r="AQ45" s="550"/>
      <c r="AR45" s="550"/>
      <c r="AS45" s="550"/>
      <c r="AT45" s="550"/>
      <c r="AU45" s="550"/>
      <c r="AV45" s="550"/>
      <c r="AW45" s="550"/>
      <c r="AX45" s="550"/>
      <c r="AY45" s="550"/>
      <c r="AZ45" s="550"/>
      <c r="BA45" s="550"/>
      <c r="BB45" s="550"/>
      <c r="BC45" s="550"/>
      <c r="BD45" s="550"/>
      <c r="BE45" s="550"/>
      <c r="BF45" s="550"/>
      <c r="BG45" s="550"/>
      <c r="BH45" s="550"/>
      <c r="BI45" s="550"/>
      <c r="BJ45" s="550"/>
      <c r="BK45" s="550"/>
      <c r="BL45" s="550"/>
      <c r="BM45" s="550"/>
      <c r="BN45" s="550"/>
      <c r="BO45" s="550"/>
      <c r="BP45" s="550"/>
      <c r="BQ45" s="550"/>
      <c r="BR45" s="550"/>
      <c r="BS45" s="550"/>
      <c r="BT45" s="550"/>
      <c r="BU45" s="550"/>
      <c r="BV45" s="550"/>
      <c r="BW45" s="550"/>
      <c r="BX45" s="544"/>
      <c r="BY45" s="544"/>
      <c r="BZ45" s="544"/>
      <c r="CA45" s="544"/>
      <c r="CB45" s="544"/>
      <c r="CC45" s="544"/>
      <c r="CD45" s="544"/>
      <c r="CE45" s="544"/>
      <c r="CF45" s="544"/>
      <c r="CG45" s="544"/>
      <c r="CH45" s="544"/>
      <c r="CI45" s="544"/>
      <c r="CJ45" s="544"/>
      <c r="CK45" s="544"/>
      <c r="CL45" s="544"/>
      <c r="CM45" s="544"/>
      <c r="CN45" s="544"/>
      <c r="CO45" s="544"/>
      <c r="CP45" s="544"/>
      <c r="CQ45" s="544">
        <f t="shared" si="15"/>
        <v>120</v>
      </c>
      <c r="CR45" s="544">
        <f t="shared" si="16"/>
        <v>118.57333333333334</v>
      </c>
      <c r="CS45" s="544">
        <f t="shared" si="17"/>
        <v>13.197959438236403</v>
      </c>
      <c r="CT45" s="545">
        <f t="shared" si="10"/>
        <v>0.1113063035947071</v>
      </c>
      <c r="CU45" s="544">
        <v>100</v>
      </c>
      <c r="CV45" s="544">
        <f t="shared" si="9"/>
        <v>19</v>
      </c>
      <c r="CW45" s="546">
        <f t="shared" si="18"/>
        <v>119</v>
      </c>
      <c r="CX45" s="546">
        <f t="shared" si="19"/>
        <v>119</v>
      </c>
      <c r="CY45" s="551" t="s">
        <v>932</v>
      </c>
    </row>
    <row r="46" spans="1:104" s="549" customFormat="1" x14ac:dyDescent="0.35">
      <c r="A46" s="540">
        <v>43</v>
      </c>
      <c r="B46" s="541" t="s">
        <v>991</v>
      </c>
      <c r="C46" s="542" t="s">
        <v>992</v>
      </c>
      <c r="D46" s="543" t="s">
        <v>67</v>
      </c>
      <c r="E46" s="543">
        <v>1</v>
      </c>
      <c r="F46" s="544">
        <f>2941*5</f>
        <v>14705</v>
      </c>
      <c r="G46" s="544">
        <f>+F46*19%</f>
        <v>2793.95</v>
      </c>
      <c r="H46" s="544">
        <f>+F46+G46</f>
        <v>17498.95</v>
      </c>
      <c r="I46" s="544">
        <f>1849*5</f>
        <v>9245</v>
      </c>
      <c r="J46" s="544">
        <f>+I46*0.19</f>
        <v>1756.55</v>
      </c>
      <c r="K46" s="544">
        <f>+I46+J46</f>
        <v>11001.55</v>
      </c>
      <c r="L46" s="544">
        <f>1945*5</f>
        <v>9725</v>
      </c>
      <c r="M46" s="544">
        <f>+L46*0.19</f>
        <v>1847.75</v>
      </c>
      <c r="N46" s="544">
        <f>+L46+M46</f>
        <v>11572.75</v>
      </c>
      <c r="O46" s="550"/>
      <c r="P46" s="550"/>
      <c r="Q46" s="550"/>
      <c r="R46" s="544"/>
      <c r="S46" s="544"/>
      <c r="T46" s="544"/>
      <c r="U46" s="550"/>
      <c r="V46" s="550"/>
      <c r="W46" s="550"/>
      <c r="X46" s="550"/>
      <c r="Y46" s="550"/>
      <c r="Z46" s="550"/>
      <c r="AA46" s="550"/>
      <c r="AB46" s="550"/>
      <c r="AC46" s="550"/>
      <c r="AD46" s="550"/>
      <c r="AE46" s="550"/>
      <c r="AF46" s="550"/>
      <c r="AG46" s="550"/>
      <c r="AH46" s="550"/>
      <c r="AI46" s="550"/>
      <c r="AJ46" s="550"/>
      <c r="AK46" s="550"/>
      <c r="AL46" s="550"/>
      <c r="AM46" s="550"/>
      <c r="AN46" s="550"/>
      <c r="AO46" s="550"/>
      <c r="AP46" s="550"/>
      <c r="AQ46" s="550"/>
      <c r="AR46" s="550"/>
      <c r="AS46" s="550"/>
      <c r="AT46" s="550"/>
      <c r="AU46" s="550"/>
      <c r="AV46" s="550"/>
      <c r="AW46" s="550"/>
      <c r="AX46" s="550"/>
      <c r="AY46" s="550"/>
      <c r="AZ46" s="550"/>
      <c r="BA46" s="550"/>
      <c r="BB46" s="550"/>
      <c r="BC46" s="550"/>
      <c r="BD46" s="550"/>
      <c r="BE46" s="550"/>
      <c r="BF46" s="550"/>
      <c r="BG46" s="550"/>
      <c r="BH46" s="550"/>
      <c r="BI46" s="550"/>
      <c r="BJ46" s="550"/>
      <c r="BK46" s="550"/>
      <c r="BL46" s="550"/>
      <c r="BM46" s="550"/>
      <c r="BN46" s="550"/>
      <c r="BO46" s="550"/>
      <c r="BP46" s="550"/>
      <c r="BQ46" s="550"/>
      <c r="BR46" s="550"/>
      <c r="BS46" s="550"/>
      <c r="BT46" s="550"/>
      <c r="BU46" s="550"/>
      <c r="BV46" s="550"/>
      <c r="BW46" s="550"/>
      <c r="BX46" s="544"/>
      <c r="BY46" s="544"/>
      <c r="BZ46" s="544"/>
      <c r="CA46" s="544"/>
      <c r="CB46" s="544"/>
      <c r="CC46" s="544"/>
      <c r="CD46" s="544"/>
      <c r="CE46" s="544"/>
      <c r="CF46" s="544"/>
      <c r="CG46" s="544"/>
      <c r="CH46" s="544"/>
      <c r="CI46" s="544"/>
      <c r="CJ46" s="544"/>
      <c r="CK46" s="544"/>
      <c r="CL46" s="544"/>
      <c r="CM46" s="544"/>
      <c r="CN46" s="544">
        <f>(3700/1.19)*5</f>
        <v>15546.218487394959</v>
      </c>
      <c r="CO46" s="544">
        <f>+CN46*0.19</f>
        <v>2953.7815126050423</v>
      </c>
      <c r="CP46" s="544">
        <f>+CN46+CO46</f>
        <v>18500</v>
      </c>
      <c r="CQ46" s="544">
        <f>+MEDIAN(H46,K46,N46,CP46)</f>
        <v>14535.85</v>
      </c>
      <c r="CR46" s="544">
        <f>+AVERAGE(H46,K46,N46,CP46)</f>
        <v>14643.3125</v>
      </c>
      <c r="CS46" s="544">
        <f>+STDEV(H46,K46,N46,CP46)</f>
        <v>3903.8225786560793</v>
      </c>
      <c r="CT46" s="545">
        <f>+CS46/CR46</f>
        <v>0.26659422713652253</v>
      </c>
      <c r="CU46" s="544">
        <v>12215.126050420169</v>
      </c>
      <c r="CV46" s="544">
        <f>+CU46*19%</f>
        <v>2320.8739495798322</v>
      </c>
      <c r="CW46" s="546">
        <f t="shared" si="18"/>
        <v>14536</v>
      </c>
      <c r="CX46" s="546">
        <f t="shared" si="19"/>
        <v>14536</v>
      </c>
      <c r="CY46" s="551" t="s">
        <v>929</v>
      </c>
      <c r="CZ46" s="548"/>
    </row>
    <row r="47" spans="1:104" s="549" customFormat="1" ht="66" customHeight="1" x14ac:dyDescent="0.35">
      <c r="A47" s="540">
        <v>44</v>
      </c>
      <c r="B47" s="542" t="s">
        <v>993</v>
      </c>
      <c r="C47" s="542" t="s">
        <v>994</v>
      </c>
      <c r="D47" s="543" t="s">
        <v>24</v>
      </c>
      <c r="E47" s="543">
        <v>1</v>
      </c>
      <c r="F47" s="544"/>
      <c r="G47" s="544"/>
      <c r="H47" s="544"/>
      <c r="I47" s="544"/>
      <c r="J47" s="544"/>
      <c r="K47" s="544"/>
      <c r="L47" s="544"/>
      <c r="M47" s="544"/>
      <c r="N47" s="544"/>
      <c r="O47" s="554"/>
      <c r="P47" s="554"/>
      <c r="Q47" s="554"/>
      <c r="R47" s="544"/>
      <c r="S47" s="544"/>
      <c r="T47" s="544"/>
      <c r="U47" s="554"/>
      <c r="V47" s="554"/>
      <c r="W47" s="554"/>
      <c r="X47" s="550"/>
      <c r="Y47" s="554"/>
      <c r="Z47" s="554"/>
      <c r="AA47" s="550"/>
      <c r="AB47" s="550"/>
      <c r="AC47" s="550"/>
      <c r="AD47" s="550"/>
      <c r="AE47" s="550"/>
      <c r="AF47" s="550"/>
      <c r="AG47" s="550"/>
      <c r="AH47" s="550"/>
      <c r="AI47" s="550"/>
      <c r="AJ47" s="550"/>
      <c r="AK47" s="550"/>
      <c r="AL47" s="550"/>
      <c r="AM47" s="550"/>
      <c r="AN47" s="550"/>
      <c r="AO47" s="550"/>
      <c r="AP47" s="550"/>
      <c r="AQ47" s="550"/>
      <c r="AR47" s="550"/>
      <c r="AS47" s="550"/>
      <c r="AT47" s="550"/>
      <c r="AU47" s="550"/>
      <c r="AV47" s="550"/>
      <c r="AW47" s="550"/>
      <c r="AX47" s="550"/>
      <c r="AY47" s="550">
        <f>1900/1.19</f>
        <v>1596.6386554621849</v>
      </c>
      <c r="AZ47" s="550">
        <f>+AY47*19%</f>
        <v>303.36134453781517</v>
      </c>
      <c r="BA47" s="550">
        <f>+AY47+AZ47</f>
        <v>1900</v>
      </c>
      <c r="BB47" s="550">
        <f>+BA47*15%</f>
        <v>285</v>
      </c>
      <c r="BC47" s="550">
        <f>+BA47+BB47</f>
        <v>2185</v>
      </c>
      <c r="BD47" s="550"/>
      <c r="BE47" s="550"/>
      <c r="BF47" s="550"/>
      <c r="BG47" s="550"/>
      <c r="BH47" s="550"/>
      <c r="BI47" s="550"/>
      <c r="BJ47" s="550"/>
      <c r="BK47" s="550"/>
      <c r="BL47" s="550"/>
      <c r="BM47" s="550"/>
      <c r="BN47" s="550"/>
      <c r="BO47" s="550"/>
      <c r="BP47" s="550"/>
      <c r="BQ47" s="550"/>
      <c r="BR47" s="550"/>
      <c r="BS47" s="550"/>
      <c r="BT47" s="550"/>
      <c r="BU47" s="550"/>
      <c r="BV47" s="550"/>
      <c r="BW47" s="550"/>
      <c r="BX47" s="544"/>
      <c r="BY47" s="544"/>
      <c r="BZ47" s="544"/>
      <c r="CA47" s="544"/>
      <c r="CB47" s="544"/>
      <c r="CC47" s="544"/>
      <c r="CD47" s="544">
        <f>1500/1.19</f>
        <v>1260.5042016806724</v>
      </c>
      <c r="CE47" s="544">
        <f>+CD47*19%</f>
        <v>239.49579831932775</v>
      </c>
      <c r="CF47" s="544">
        <f>+CD47+CE47</f>
        <v>1500.0000000000002</v>
      </c>
      <c r="CG47" s="544">
        <f>+CF47*15%</f>
        <v>225.00000000000003</v>
      </c>
      <c r="CH47" s="544">
        <f>+CF47+CG47</f>
        <v>1725.0000000000002</v>
      </c>
      <c r="CI47" s="544"/>
      <c r="CJ47" s="544"/>
      <c r="CK47" s="544"/>
      <c r="CL47" s="544"/>
      <c r="CM47" s="544"/>
      <c r="CN47" s="544"/>
      <c r="CO47" s="544"/>
      <c r="CP47" s="544"/>
      <c r="CQ47" s="544">
        <f>+MEDIAN(BC47,CH47)</f>
        <v>1955</v>
      </c>
      <c r="CR47" s="544">
        <f>+AVERAGE(BC47,CH47)</f>
        <v>1955</v>
      </c>
      <c r="CS47" s="544">
        <f>+STDEV(BC47,CH47)</f>
        <v>325.26911934581329</v>
      </c>
      <c r="CT47" s="545">
        <f t="shared" si="10"/>
        <v>0.16637806616154133</v>
      </c>
      <c r="CU47" s="544">
        <v>1642.8571428571429</v>
      </c>
      <c r="CV47" s="544">
        <f>+CU47*19%</f>
        <v>312.14285714285717</v>
      </c>
      <c r="CW47" s="546">
        <f t="shared" si="18"/>
        <v>1955</v>
      </c>
      <c r="CX47" s="546">
        <f t="shared" si="19"/>
        <v>1955</v>
      </c>
      <c r="CY47" s="551" t="s">
        <v>929</v>
      </c>
    </row>
    <row r="48" spans="1:104" s="549" customFormat="1" ht="29" x14ac:dyDescent="0.35">
      <c r="A48" s="540">
        <v>45</v>
      </c>
      <c r="B48" s="542" t="s">
        <v>993</v>
      </c>
      <c r="C48" s="542" t="s">
        <v>995</v>
      </c>
      <c r="D48" s="543" t="s">
        <v>24</v>
      </c>
      <c r="E48" s="543">
        <v>1</v>
      </c>
      <c r="F48" s="544"/>
      <c r="G48" s="544"/>
      <c r="H48" s="544"/>
      <c r="I48" s="544"/>
      <c r="J48" s="544"/>
      <c r="K48" s="544"/>
      <c r="L48" s="544"/>
      <c r="M48" s="544"/>
      <c r="N48" s="544"/>
      <c r="O48" s="554"/>
      <c r="P48" s="554"/>
      <c r="Q48" s="554"/>
      <c r="R48" s="544"/>
      <c r="S48" s="544"/>
      <c r="T48" s="544"/>
      <c r="U48" s="554">
        <v>2100.840336134454</v>
      </c>
      <c r="V48" s="554">
        <f>+U48*0.19</f>
        <v>399.15966386554624</v>
      </c>
      <c r="W48" s="554">
        <f t="shared" ref="W48:W65" si="20">+U48+V48</f>
        <v>2500</v>
      </c>
      <c r="X48" s="554"/>
      <c r="Y48" s="554">
        <v>2352.9411764705883</v>
      </c>
      <c r="Z48" s="554">
        <f>+Y48*0.19</f>
        <v>447.05882352941177</v>
      </c>
      <c r="AA48" s="554">
        <f t="shared" ref="AA48:AA65" si="21">+Y48+Z48</f>
        <v>2800</v>
      </c>
      <c r="AB48" s="550"/>
      <c r="AC48" s="550"/>
      <c r="AD48" s="550"/>
      <c r="AE48" s="550"/>
      <c r="AF48" s="550"/>
      <c r="AG48" s="550"/>
      <c r="AH48" s="550"/>
      <c r="AI48" s="550"/>
      <c r="AJ48" s="544"/>
      <c r="AK48" s="544"/>
      <c r="AL48" s="544"/>
      <c r="AM48" s="544"/>
      <c r="AN48" s="544"/>
      <c r="AO48" s="544"/>
      <c r="AP48" s="544"/>
      <c r="AQ48" s="544"/>
      <c r="AR48" s="544"/>
      <c r="AS48" s="544"/>
      <c r="AT48" s="544"/>
      <c r="AU48" s="544"/>
      <c r="AV48" s="544"/>
      <c r="AW48" s="544"/>
      <c r="AX48" s="544"/>
      <c r="AY48" s="544"/>
      <c r="AZ48" s="544"/>
      <c r="BA48" s="544"/>
      <c r="BB48" s="544"/>
      <c r="BC48" s="544"/>
      <c r="BD48" s="550"/>
      <c r="BE48" s="550"/>
      <c r="BF48" s="550"/>
      <c r="BG48" s="550"/>
      <c r="BH48" s="550"/>
      <c r="BI48" s="550"/>
      <c r="BJ48" s="550"/>
      <c r="BK48" s="550"/>
      <c r="BL48" s="550"/>
      <c r="BM48" s="550"/>
      <c r="BN48" s="550"/>
      <c r="BO48" s="550"/>
      <c r="BP48" s="550"/>
      <c r="BQ48" s="550"/>
      <c r="BR48" s="550"/>
      <c r="BS48" s="550"/>
      <c r="BT48" s="550"/>
      <c r="BU48" s="550"/>
      <c r="BV48" s="550"/>
      <c r="BW48" s="550"/>
      <c r="BX48" s="544"/>
      <c r="BY48" s="544"/>
      <c r="BZ48" s="544"/>
      <c r="CA48" s="544"/>
      <c r="CB48" s="544"/>
      <c r="CC48" s="544"/>
      <c r="CD48" s="544"/>
      <c r="CE48" s="544"/>
      <c r="CF48" s="544"/>
      <c r="CG48" s="544"/>
      <c r="CH48" s="544"/>
      <c r="CI48" s="544"/>
      <c r="CJ48" s="544"/>
      <c r="CK48" s="544"/>
      <c r="CL48" s="544"/>
      <c r="CM48" s="544"/>
      <c r="CN48" s="544"/>
      <c r="CO48" s="544"/>
      <c r="CP48" s="544"/>
      <c r="CQ48" s="554">
        <f>+MEDIAN(W48,AA48)</f>
        <v>2650</v>
      </c>
      <c r="CR48" s="554">
        <f>+AVERAGE(W48,AA48)</f>
        <v>2650</v>
      </c>
      <c r="CS48" s="554">
        <f>+STDEV(W48,AA48)</f>
        <v>212.13203435596427</v>
      </c>
      <c r="CT48" s="545">
        <f t="shared" si="10"/>
        <v>8.0049824285269536E-2</v>
      </c>
      <c r="CU48" s="544">
        <v>2226.8907563025209</v>
      </c>
      <c r="CV48" s="544">
        <f t="shared" si="9"/>
        <v>423.10924369747897</v>
      </c>
      <c r="CW48" s="546">
        <f t="shared" si="18"/>
        <v>2650</v>
      </c>
      <c r="CX48" s="546">
        <f t="shared" si="19"/>
        <v>2650</v>
      </c>
      <c r="CY48" s="551" t="s">
        <v>932</v>
      </c>
    </row>
    <row r="49" spans="1:103" s="549" customFormat="1" ht="56.25" customHeight="1" x14ac:dyDescent="0.35">
      <c r="A49" s="540">
        <v>46</v>
      </c>
      <c r="B49" s="542" t="s">
        <v>996</v>
      </c>
      <c r="C49" s="542" t="s">
        <v>997</v>
      </c>
      <c r="D49" s="543" t="s">
        <v>24</v>
      </c>
      <c r="E49" s="543">
        <v>1</v>
      </c>
      <c r="F49" s="544"/>
      <c r="G49" s="544"/>
      <c r="H49" s="544"/>
      <c r="I49" s="544">
        <v>2184.8739495798322</v>
      </c>
      <c r="J49" s="544">
        <f>+I49*0.19</f>
        <v>415.12605042016816</v>
      </c>
      <c r="K49" s="544">
        <f>+I49+J49</f>
        <v>2600.0000000000005</v>
      </c>
      <c r="L49" s="544"/>
      <c r="M49" s="544"/>
      <c r="N49" s="544"/>
      <c r="O49" s="554"/>
      <c r="P49" s="554"/>
      <c r="Q49" s="554"/>
      <c r="R49" s="544"/>
      <c r="S49" s="544"/>
      <c r="T49" s="544"/>
      <c r="U49" s="554"/>
      <c r="V49" s="554"/>
      <c r="W49" s="554"/>
      <c r="X49" s="554"/>
      <c r="Y49" s="554"/>
      <c r="Z49" s="554"/>
      <c r="AA49" s="554"/>
      <c r="AB49" s="550"/>
      <c r="AC49" s="550"/>
      <c r="AD49" s="550"/>
      <c r="AE49" s="550"/>
      <c r="AF49" s="550"/>
      <c r="AG49" s="550"/>
      <c r="AH49" s="550"/>
      <c r="AI49" s="550"/>
      <c r="AJ49" s="554"/>
      <c r="AK49" s="554"/>
      <c r="AL49" s="554"/>
      <c r="AM49" s="554"/>
      <c r="AN49" s="554"/>
      <c r="AO49" s="554"/>
      <c r="AP49" s="554"/>
      <c r="AQ49" s="544"/>
      <c r="AR49" s="544"/>
      <c r="AS49" s="544"/>
      <c r="AT49" s="544"/>
      <c r="AU49" s="544"/>
      <c r="AV49" s="544"/>
      <c r="AW49" s="544"/>
      <c r="AX49" s="544"/>
      <c r="AY49" s="544"/>
      <c r="AZ49" s="544"/>
      <c r="BA49" s="544"/>
      <c r="BB49" s="544"/>
      <c r="BC49" s="544"/>
      <c r="BD49" s="554"/>
      <c r="BE49" s="554"/>
      <c r="BF49" s="554"/>
      <c r="BG49" s="554"/>
      <c r="BH49" s="554"/>
      <c r="BI49" s="554">
        <v>2626.0504201680674</v>
      </c>
      <c r="BJ49" s="554">
        <f>+BI49*0.19</f>
        <v>498.94957983193279</v>
      </c>
      <c r="BK49" s="554">
        <f>+BI49+BJ49</f>
        <v>3125</v>
      </c>
      <c r="BL49" s="554">
        <f>+BK49*15%</f>
        <v>468.75</v>
      </c>
      <c r="BM49" s="554">
        <f>+BK49+BL49</f>
        <v>3593.75</v>
      </c>
      <c r="BN49" s="554"/>
      <c r="BO49" s="554"/>
      <c r="BP49" s="554"/>
      <c r="BQ49" s="554"/>
      <c r="BR49" s="554"/>
      <c r="BS49" s="550"/>
      <c r="BT49" s="550"/>
      <c r="BU49" s="550"/>
      <c r="BV49" s="550"/>
      <c r="BW49" s="550"/>
      <c r="BX49" s="544"/>
      <c r="BY49" s="544"/>
      <c r="BZ49" s="544"/>
      <c r="CA49" s="544"/>
      <c r="CB49" s="544"/>
      <c r="CC49" s="544"/>
      <c r="CD49" s="544"/>
      <c r="CE49" s="544"/>
      <c r="CF49" s="544"/>
      <c r="CG49" s="544"/>
      <c r="CH49" s="544"/>
      <c r="CI49" s="544"/>
      <c r="CJ49" s="544"/>
      <c r="CK49" s="544"/>
      <c r="CL49" s="544"/>
      <c r="CM49" s="544"/>
      <c r="CN49" s="544"/>
      <c r="CO49" s="544"/>
      <c r="CP49" s="544"/>
      <c r="CQ49" s="554">
        <f>+MEDIAN(K49,BM49)</f>
        <v>3096.875</v>
      </c>
      <c r="CR49" s="554">
        <f>+AVERAGE(K49,BM49)</f>
        <v>3096.875</v>
      </c>
      <c r="CS49" s="554">
        <f>+STDEV(K49,BM49)</f>
        <v>702.68736380413429</v>
      </c>
      <c r="CT49" s="545">
        <f t="shared" si="10"/>
        <v>0.22690207509316143</v>
      </c>
      <c r="CU49" s="544">
        <v>2602.5210084033615</v>
      </c>
      <c r="CV49" s="544">
        <f t="shared" si="9"/>
        <v>494.47899159663871</v>
      </c>
      <c r="CW49" s="546">
        <f t="shared" si="18"/>
        <v>3097</v>
      </c>
      <c r="CX49" s="546">
        <f t="shared" si="19"/>
        <v>3097</v>
      </c>
      <c r="CY49" s="551" t="s">
        <v>929</v>
      </c>
    </row>
    <row r="50" spans="1:103" s="549" customFormat="1" x14ac:dyDescent="0.35">
      <c r="A50" s="540">
        <v>47</v>
      </c>
      <c r="B50" s="541" t="s">
        <v>998</v>
      </c>
      <c r="C50" s="542" t="s">
        <v>999</v>
      </c>
      <c r="D50" s="543" t="s">
        <v>24</v>
      </c>
      <c r="E50" s="543">
        <v>1</v>
      </c>
      <c r="F50" s="544"/>
      <c r="G50" s="544"/>
      <c r="H50" s="544"/>
      <c r="I50" s="544"/>
      <c r="J50" s="544"/>
      <c r="K50" s="544"/>
      <c r="L50" s="544"/>
      <c r="M50" s="544"/>
      <c r="N50" s="544"/>
      <c r="O50" s="544"/>
      <c r="P50" s="544"/>
      <c r="Q50" s="544"/>
      <c r="R50" s="544"/>
      <c r="S50" s="544"/>
      <c r="T50" s="544"/>
      <c r="U50" s="544">
        <v>3781.5126050420172</v>
      </c>
      <c r="V50" s="544">
        <f>+U50*0.19</f>
        <v>718.48739495798327</v>
      </c>
      <c r="W50" s="544">
        <f t="shared" si="20"/>
        <v>4500</v>
      </c>
      <c r="X50" s="544"/>
      <c r="Y50" s="544">
        <v>4840.3361344537816</v>
      </c>
      <c r="Z50" s="544">
        <f>+Y50*0.19</f>
        <v>919.66386554621852</v>
      </c>
      <c r="AA50" s="544">
        <f t="shared" si="21"/>
        <v>5760</v>
      </c>
      <c r="AB50" s="550"/>
      <c r="AC50" s="550"/>
      <c r="AD50" s="550"/>
      <c r="AE50" s="550"/>
      <c r="AF50" s="550"/>
      <c r="AG50" s="550"/>
      <c r="AH50" s="550"/>
      <c r="AI50" s="550"/>
      <c r="AJ50" s="544"/>
      <c r="AK50" s="544"/>
      <c r="AL50" s="544"/>
      <c r="AM50" s="544"/>
      <c r="AN50" s="544"/>
      <c r="AO50" s="544"/>
      <c r="AP50" s="544"/>
      <c r="AQ50" s="544"/>
      <c r="AR50" s="544"/>
      <c r="AS50" s="544"/>
      <c r="AT50" s="544"/>
      <c r="AU50" s="544"/>
      <c r="AV50" s="544"/>
      <c r="AW50" s="544"/>
      <c r="AX50" s="544"/>
      <c r="AY50" s="544"/>
      <c r="AZ50" s="544"/>
      <c r="BA50" s="544"/>
      <c r="BB50" s="544"/>
      <c r="BC50" s="544"/>
      <c r="BD50" s="544"/>
      <c r="BE50" s="544"/>
      <c r="BF50" s="544"/>
      <c r="BG50" s="544"/>
      <c r="BH50" s="544"/>
      <c r="BI50" s="544"/>
      <c r="BJ50" s="544"/>
      <c r="BK50" s="544"/>
      <c r="BL50" s="544"/>
      <c r="BM50" s="544"/>
      <c r="BN50" s="544"/>
      <c r="BO50" s="544"/>
      <c r="BP50" s="544"/>
      <c r="BQ50" s="544"/>
      <c r="BR50" s="544"/>
      <c r="BS50" s="550"/>
      <c r="BT50" s="550"/>
      <c r="BU50" s="550"/>
      <c r="BV50" s="550"/>
      <c r="BW50" s="550"/>
      <c r="BX50" s="544"/>
      <c r="BY50" s="544"/>
      <c r="BZ50" s="544"/>
      <c r="CA50" s="544"/>
      <c r="CB50" s="544"/>
      <c r="CC50" s="544"/>
      <c r="CD50" s="544"/>
      <c r="CE50" s="544"/>
      <c r="CF50" s="544"/>
      <c r="CG50" s="544"/>
      <c r="CH50" s="544"/>
      <c r="CI50" s="544"/>
      <c r="CJ50" s="544"/>
      <c r="CK50" s="544"/>
      <c r="CL50" s="544"/>
      <c r="CM50" s="544"/>
      <c r="CN50" s="544"/>
      <c r="CO50" s="544"/>
      <c r="CP50" s="544"/>
      <c r="CQ50" s="544">
        <f>+MEDIAN(W50,AA50)</f>
        <v>5130</v>
      </c>
      <c r="CR50" s="544">
        <f>+AVERAGE(W50,AA50)</f>
        <v>5130</v>
      </c>
      <c r="CS50" s="544">
        <f>+STDEV(W50,AA50)</f>
        <v>890.95454429504991</v>
      </c>
      <c r="CT50" s="545">
        <f t="shared" si="10"/>
        <v>0.17367534976511695</v>
      </c>
      <c r="CU50" s="544">
        <v>4310.9243697478996</v>
      </c>
      <c r="CV50" s="544">
        <f t="shared" si="9"/>
        <v>819.07563025210095</v>
      </c>
      <c r="CW50" s="546">
        <f t="shared" si="18"/>
        <v>5130</v>
      </c>
      <c r="CX50" s="546">
        <f t="shared" si="19"/>
        <v>5130</v>
      </c>
      <c r="CY50" s="551" t="s">
        <v>929</v>
      </c>
    </row>
    <row r="51" spans="1:103" s="549" customFormat="1" ht="43.5" x14ac:dyDescent="0.35">
      <c r="A51" s="540">
        <v>48</v>
      </c>
      <c r="B51" s="541" t="s">
        <v>1000</v>
      </c>
      <c r="C51" s="542" t="s">
        <v>1001</v>
      </c>
      <c r="D51" s="543" t="s">
        <v>928</v>
      </c>
      <c r="E51" s="543">
        <v>1</v>
      </c>
      <c r="F51" s="544">
        <v>2521</v>
      </c>
      <c r="G51" s="544">
        <f>+F51*19%</f>
        <v>478.99</v>
      </c>
      <c r="H51" s="544">
        <f>+F51+G51</f>
        <v>2999.99</v>
      </c>
      <c r="I51" s="544">
        <v>1681</v>
      </c>
      <c r="J51" s="544">
        <f>+I51*0.19</f>
        <v>319.39</v>
      </c>
      <c r="K51" s="544">
        <f>+I51+J51</f>
        <v>2000.3899999999999</v>
      </c>
      <c r="L51" s="552"/>
      <c r="M51" s="552"/>
      <c r="N51" s="552"/>
      <c r="O51" s="550"/>
      <c r="P51" s="550"/>
      <c r="Q51" s="550"/>
      <c r="R51" s="550"/>
      <c r="S51" s="550"/>
      <c r="T51" s="550"/>
      <c r="U51" s="550"/>
      <c r="V51" s="550"/>
      <c r="W51" s="550"/>
      <c r="X51" s="550"/>
      <c r="Y51" s="550"/>
      <c r="Z51" s="550"/>
      <c r="AA51" s="550"/>
      <c r="AB51" s="550"/>
      <c r="AC51" s="550"/>
      <c r="AD51" s="550"/>
      <c r="AE51" s="550"/>
      <c r="AF51" s="550"/>
      <c r="AG51" s="550"/>
      <c r="AH51" s="550"/>
      <c r="AI51" s="550"/>
      <c r="AJ51" s="550"/>
      <c r="AK51" s="550"/>
      <c r="AL51" s="550"/>
      <c r="AM51" s="550"/>
      <c r="AN51" s="550"/>
      <c r="AO51" s="550"/>
      <c r="AP51" s="550"/>
      <c r="AQ51" s="544"/>
      <c r="AR51" s="544"/>
      <c r="AS51" s="544"/>
      <c r="AT51" s="544"/>
      <c r="AU51" s="544"/>
      <c r="AV51" s="544"/>
      <c r="AW51" s="544"/>
      <c r="AX51" s="544"/>
      <c r="AY51" s="544"/>
      <c r="AZ51" s="544"/>
      <c r="BA51" s="544"/>
      <c r="BB51" s="544"/>
      <c r="BC51" s="544"/>
      <c r="BD51" s="544"/>
      <c r="BE51" s="544"/>
      <c r="BF51" s="544"/>
      <c r="BG51" s="544"/>
      <c r="BH51" s="544"/>
      <c r="BI51" s="544"/>
      <c r="BJ51" s="544"/>
      <c r="BK51" s="544"/>
      <c r="BL51" s="544"/>
      <c r="BM51" s="544"/>
      <c r="BN51" s="544"/>
      <c r="BO51" s="544"/>
      <c r="BP51" s="544"/>
      <c r="BQ51" s="544"/>
      <c r="BR51" s="544"/>
      <c r="BS51" s="550"/>
      <c r="BT51" s="550"/>
      <c r="BU51" s="550"/>
      <c r="BV51" s="550"/>
      <c r="BW51" s="550"/>
      <c r="BX51" s="544"/>
      <c r="BY51" s="544"/>
      <c r="BZ51" s="544"/>
      <c r="CA51" s="544"/>
      <c r="CB51" s="544"/>
      <c r="CC51" s="544"/>
      <c r="CD51" s="544"/>
      <c r="CE51" s="544"/>
      <c r="CF51" s="544"/>
      <c r="CG51" s="544"/>
      <c r="CH51" s="544"/>
      <c r="CI51" s="544"/>
      <c r="CJ51" s="544"/>
      <c r="CK51" s="544"/>
      <c r="CL51" s="544"/>
      <c r="CM51" s="544"/>
      <c r="CN51" s="544"/>
      <c r="CO51" s="544"/>
      <c r="CP51" s="544"/>
      <c r="CQ51" s="544">
        <f>+MEDIAN(H51,K51)</f>
        <v>2500.1899999999996</v>
      </c>
      <c r="CR51" s="544">
        <f>+AVERAGE(H51,K51)</f>
        <v>2500.1899999999996</v>
      </c>
      <c r="CS51" s="544">
        <f>+STDEV(H51,K51)</f>
        <v>706.82393847407423</v>
      </c>
      <c r="CT51" s="545">
        <f t="shared" si="10"/>
        <v>0.28270808957482207</v>
      </c>
      <c r="CU51" s="544">
        <v>2101.6806722689075</v>
      </c>
      <c r="CV51" s="544">
        <f t="shared" si="9"/>
        <v>399.31932773109241</v>
      </c>
      <c r="CW51" s="546">
        <f t="shared" si="18"/>
        <v>2501</v>
      </c>
      <c r="CX51" s="546">
        <f t="shared" si="19"/>
        <v>2501</v>
      </c>
      <c r="CY51" s="551" t="s">
        <v>929</v>
      </c>
    </row>
    <row r="52" spans="1:103" s="549" customFormat="1" ht="96.75" customHeight="1" x14ac:dyDescent="0.35">
      <c r="A52" s="540">
        <v>49</v>
      </c>
      <c r="B52" s="541" t="s">
        <v>1002</v>
      </c>
      <c r="C52" s="542" t="s">
        <v>1003</v>
      </c>
      <c r="D52" s="543" t="s">
        <v>24</v>
      </c>
      <c r="E52" s="543">
        <v>1</v>
      </c>
      <c r="F52" s="544">
        <v>11500</v>
      </c>
      <c r="G52" s="544">
        <v>0</v>
      </c>
      <c r="H52" s="544">
        <f>+F52+G52</f>
        <v>11500</v>
      </c>
      <c r="I52" s="544"/>
      <c r="J52" s="544"/>
      <c r="K52" s="544"/>
      <c r="L52" s="544">
        <f>759*12</f>
        <v>9108</v>
      </c>
      <c r="M52" s="544">
        <v>0</v>
      </c>
      <c r="N52" s="544">
        <f>+L52+M52</f>
        <v>9108</v>
      </c>
      <c r="O52" s="550"/>
      <c r="P52" s="550"/>
      <c r="Q52" s="550"/>
      <c r="R52" s="550"/>
      <c r="S52" s="550"/>
      <c r="T52" s="550"/>
      <c r="U52" s="544"/>
      <c r="V52" s="544"/>
      <c r="W52" s="544"/>
      <c r="X52" s="544"/>
      <c r="Y52" s="544"/>
      <c r="Z52" s="544"/>
      <c r="AA52" s="544"/>
      <c r="AB52" s="544"/>
      <c r="AC52" s="544"/>
      <c r="AD52" s="544"/>
      <c r="AE52" s="544"/>
      <c r="AF52" s="544"/>
      <c r="AG52" s="544"/>
      <c r="AH52" s="544"/>
      <c r="AI52" s="544"/>
      <c r="AJ52" s="544"/>
      <c r="AK52" s="544"/>
      <c r="AL52" s="544"/>
      <c r="AM52" s="544"/>
      <c r="AN52" s="544"/>
      <c r="AO52" s="544"/>
      <c r="AP52" s="544"/>
      <c r="AQ52" s="544"/>
      <c r="AR52" s="544"/>
      <c r="AS52" s="544"/>
      <c r="AT52" s="544"/>
      <c r="AU52" s="544"/>
      <c r="AV52" s="544"/>
      <c r="AW52" s="544"/>
      <c r="AX52" s="544"/>
      <c r="AY52" s="544"/>
      <c r="AZ52" s="544"/>
      <c r="BA52" s="544"/>
      <c r="BB52" s="544"/>
      <c r="BC52" s="544"/>
      <c r="BD52" s="544"/>
      <c r="BE52" s="544"/>
      <c r="BF52" s="544"/>
      <c r="BG52" s="544"/>
      <c r="BH52" s="544"/>
      <c r="BI52" s="544"/>
      <c r="BJ52" s="544"/>
      <c r="BK52" s="544"/>
      <c r="BL52" s="544"/>
      <c r="BM52" s="544"/>
      <c r="BN52" s="544"/>
      <c r="BO52" s="544"/>
      <c r="BP52" s="544"/>
      <c r="BQ52" s="544"/>
      <c r="BR52" s="544"/>
      <c r="BS52" s="544"/>
      <c r="BT52" s="544"/>
      <c r="BU52" s="544"/>
      <c r="BV52" s="544"/>
      <c r="BW52" s="544"/>
      <c r="BX52" s="544"/>
      <c r="BY52" s="544"/>
      <c r="BZ52" s="544"/>
      <c r="CA52" s="544"/>
      <c r="CB52" s="544"/>
      <c r="CC52" s="544"/>
      <c r="CD52" s="544"/>
      <c r="CE52" s="544"/>
      <c r="CF52" s="544"/>
      <c r="CG52" s="544"/>
      <c r="CH52" s="544"/>
      <c r="CI52" s="544"/>
      <c r="CJ52" s="544"/>
      <c r="CK52" s="544"/>
      <c r="CL52" s="544"/>
      <c r="CM52" s="544"/>
      <c r="CN52" s="544"/>
      <c r="CO52" s="544"/>
      <c r="CP52" s="544"/>
      <c r="CQ52" s="544">
        <f>+MEDIAN(H52,N52)</f>
        <v>10304</v>
      </c>
      <c r="CR52" s="544">
        <f>+AVERAGE(H52,N52)</f>
        <v>10304</v>
      </c>
      <c r="CS52" s="544">
        <f>+STDEV(H52,N52)</f>
        <v>1691.3994205982217</v>
      </c>
      <c r="CT52" s="545">
        <f t="shared" si="10"/>
        <v>0.16414978848973424</v>
      </c>
      <c r="CU52" s="544">
        <v>8658.8235294117658</v>
      </c>
      <c r="CV52" s="544">
        <v>0</v>
      </c>
      <c r="CW52" s="546">
        <f t="shared" si="18"/>
        <v>10304</v>
      </c>
      <c r="CX52" s="546">
        <f t="shared" si="19"/>
        <v>10304</v>
      </c>
      <c r="CY52" s="551" t="s">
        <v>929</v>
      </c>
    </row>
    <row r="53" spans="1:103" s="549" customFormat="1" ht="84" customHeight="1" x14ac:dyDescent="0.35">
      <c r="A53" s="540">
        <v>50</v>
      </c>
      <c r="B53" s="541" t="s">
        <v>1004</v>
      </c>
      <c r="C53" s="542" t="s">
        <v>1005</v>
      </c>
      <c r="D53" s="543" t="s">
        <v>24</v>
      </c>
      <c r="E53" s="543">
        <v>1</v>
      </c>
      <c r="F53" s="544">
        <v>13500</v>
      </c>
      <c r="G53" s="544">
        <v>0</v>
      </c>
      <c r="H53" s="544">
        <f>+F53+G53</f>
        <v>13500</v>
      </c>
      <c r="I53" s="544">
        <v>10704</v>
      </c>
      <c r="J53" s="544">
        <v>0</v>
      </c>
      <c r="K53" s="544">
        <f>+I53+J53</f>
        <v>10704</v>
      </c>
      <c r="L53" s="550"/>
      <c r="M53" s="550"/>
      <c r="N53" s="550"/>
      <c r="O53" s="550"/>
      <c r="P53" s="550"/>
      <c r="Q53" s="550"/>
      <c r="R53" s="550"/>
      <c r="S53" s="550"/>
      <c r="T53" s="550"/>
      <c r="U53" s="550"/>
      <c r="V53" s="550"/>
      <c r="W53" s="550"/>
      <c r="X53" s="550"/>
      <c r="Y53" s="550"/>
      <c r="Z53" s="550"/>
      <c r="AA53" s="550"/>
      <c r="AB53" s="550"/>
      <c r="AC53" s="550"/>
      <c r="AD53" s="550"/>
      <c r="AE53" s="550"/>
      <c r="AF53" s="550"/>
      <c r="AG53" s="550"/>
      <c r="AH53" s="550"/>
      <c r="AI53" s="550"/>
      <c r="AJ53" s="550"/>
      <c r="AK53" s="550"/>
      <c r="AL53" s="550"/>
      <c r="AM53" s="550"/>
      <c r="AN53" s="550"/>
      <c r="AO53" s="550"/>
      <c r="AP53" s="550"/>
      <c r="AQ53" s="550"/>
      <c r="AR53" s="550"/>
      <c r="AS53" s="550"/>
      <c r="AT53" s="550"/>
      <c r="AU53" s="550"/>
      <c r="AV53" s="550"/>
      <c r="AW53" s="550"/>
      <c r="AX53" s="550"/>
      <c r="AY53" s="550"/>
      <c r="AZ53" s="550"/>
      <c r="BA53" s="550"/>
      <c r="BB53" s="550"/>
      <c r="BC53" s="550"/>
      <c r="BD53" s="550"/>
      <c r="BE53" s="550"/>
      <c r="BF53" s="550"/>
      <c r="BG53" s="550"/>
      <c r="BH53" s="550"/>
      <c r="BI53" s="550"/>
      <c r="BJ53" s="550"/>
      <c r="BK53" s="550"/>
      <c r="BL53" s="550"/>
      <c r="BM53" s="550"/>
      <c r="BN53" s="550"/>
      <c r="BO53" s="550"/>
      <c r="BP53" s="550"/>
      <c r="BQ53" s="550"/>
      <c r="BR53" s="550"/>
      <c r="BS53" s="550"/>
      <c r="BT53" s="550"/>
      <c r="BU53" s="550"/>
      <c r="BV53" s="550"/>
      <c r="BW53" s="550"/>
      <c r="BX53" s="544"/>
      <c r="BY53" s="544"/>
      <c r="BZ53" s="544"/>
      <c r="CA53" s="544"/>
      <c r="CB53" s="544"/>
      <c r="CC53" s="544"/>
      <c r="CD53" s="544"/>
      <c r="CE53" s="544"/>
      <c r="CF53" s="544"/>
      <c r="CG53" s="544"/>
      <c r="CH53" s="544"/>
      <c r="CI53" s="544"/>
      <c r="CJ53" s="544"/>
      <c r="CK53" s="544"/>
      <c r="CL53" s="544"/>
      <c r="CM53" s="544"/>
      <c r="CN53" s="544"/>
      <c r="CO53" s="544"/>
      <c r="CP53" s="544"/>
      <c r="CQ53" s="544">
        <f>+MEDIAN(H53,K53)</f>
        <v>12102</v>
      </c>
      <c r="CR53" s="544">
        <f>+AVERAGE(H53,K53)</f>
        <v>12102</v>
      </c>
      <c r="CS53" s="544">
        <f>+STDEV(H53,K53)</f>
        <v>1977.0705601975869</v>
      </c>
      <c r="CT53" s="545">
        <f t="shared" si="10"/>
        <v>0.16336725832073928</v>
      </c>
      <c r="CU53" s="544">
        <v>10169.747899159664</v>
      </c>
      <c r="CV53" s="544">
        <v>0</v>
      </c>
      <c r="CW53" s="546">
        <f t="shared" si="18"/>
        <v>12102</v>
      </c>
      <c r="CX53" s="546">
        <f t="shared" si="19"/>
        <v>12102</v>
      </c>
      <c r="CY53" s="551" t="s">
        <v>929</v>
      </c>
    </row>
    <row r="54" spans="1:103" s="549" customFormat="1" ht="45.75" customHeight="1" x14ac:dyDescent="0.35">
      <c r="A54" s="540">
        <v>51</v>
      </c>
      <c r="B54" s="541" t="s">
        <v>1006</v>
      </c>
      <c r="C54" s="542" t="s">
        <v>1007</v>
      </c>
      <c r="D54" s="543" t="s">
        <v>928</v>
      </c>
      <c r="E54" s="543">
        <v>1</v>
      </c>
      <c r="F54" s="544"/>
      <c r="G54" s="544"/>
      <c r="H54" s="544"/>
      <c r="I54" s="544"/>
      <c r="J54" s="544"/>
      <c r="K54" s="544"/>
      <c r="L54" s="544"/>
      <c r="M54" s="544"/>
      <c r="N54" s="544"/>
      <c r="O54" s="550"/>
      <c r="P54" s="550"/>
      <c r="Q54" s="550"/>
      <c r="R54" s="544"/>
      <c r="S54" s="544"/>
      <c r="T54" s="544"/>
      <c r="U54" s="550">
        <v>19915.966386554624</v>
      </c>
      <c r="V54" s="550">
        <f>+U54*0.19</f>
        <v>3784.0336134453787</v>
      </c>
      <c r="W54" s="550">
        <f t="shared" si="20"/>
        <v>23700.000000000004</v>
      </c>
      <c r="X54" s="550"/>
      <c r="Y54" s="550">
        <v>17983.193277310926</v>
      </c>
      <c r="Z54" s="550">
        <f>+Y54*0.19</f>
        <v>3416.8067226890757</v>
      </c>
      <c r="AA54" s="550">
        <f t="shared" si="21"/>
        <v>21400</v>
      </c>
      <c r="AB54" s="550"/>
      <c r="AC54" s="550"/>
      <c r="AD54" s="550"/>
      <c r="AE54" s="550"/>
      <c r="AF54" s="550"/>
      <c r="AG54" s="550"/>
      <c r="AH54" s="550"/>
      <c r="AI54" s="550"/>
      <c r="AJ54" s="544"/>
      <c r="AK54" s="544"/>
      <c r="AL54" s="544"/>
      <c r="AM54" s="544"/>
      <c r="AN54" s="544"/>
      <c r="AO54" s="544"/>
      <c r="AP54" s="544"/>
      <c r="AQ54" s="544"/>
      <c r="AR54" s="544"/>
      <c r="AS54" s="544"/>
      <c r="AT54" s="544"/>
      <c r="AU54" s="544"/>
      <c r="AV54" s="544"/>
      <c r="AW54" s="544"/>
      <c r="AX54" s="544"/>
      <c r="AY54" s="544"/>
      <c r="AZ54" s="544"/>
      <c r="BA54" s="544"/>
      <c r="BB54" s="544"/>
      <c r="BC54" s="544"/>
      <c r="BD54" s="544"/>
      <c r="BE54" s="544"/>
      <c r="BF54" s="544"/>
      <c r="BG54" s="544"/>
      <c r="BH54" s="544"/>
      <c r="BI54" s="544"/>
      <c r="BJ54" s="544"/>
      <c r="BK54" s="544"/>
      <c r="BL54" s="544"/>
      <c r="BM54" s="544"/>
      <c r="BN54" s="544"/>
      <c r="BO54" s="544"/>
      <c r="BP54" s="544"/>
      <c r="BQ54" s="544"/>
      <c r="BR54" s="544"/>
      <c r="BS54" s="550"/>
      <c r="BT54" s="550"/>
      <c r="BU54" s="550"/>
      <c r="BV54" s="550"/>
      <c r="BW54" s="550"/>
      <c r="BX54" s="544"/>
      <c r="BY54" s="544"/>
      <c r="BZ54" s="544"/>
      <c r="CA54" s="544"/>
      <c r="CB54" s="544"/>
      <c r="CC54" s="544"/>
      <c r="CD54" s="544"/>
      <c r="CE54" s="544"/>
      <c r="CF54" s="544"/>
      <c r="CG54" s="544"/>
      <c r="CH54" s="544"/>
      <c r="CI54" s="544"/>
      <c r="CJ54" s="544"/>
      <c r="CK54" s="544"/>
      <c r="CL54" s="544"/>
      <c r="CM54" s="544"/>
      <c r="CN54" s="544"/>
      <c r="CO54" s="544"/>
      <c r="CP54" s="544"/>
      <c r="CQ54" s="544">
        <f>+MEDIAN(W54,AA54)</f>
        <v>22550</v>
      </c>
      <c r="CR54" s="544">
        <f>+AVERAGE(W54,AA54)</f>
        <v>22550</v>
      </c>
      <c r="CS54" s="544">
        <f>+STDEV(W54,AA54)</f>
        <v>1626.345596729062</v>
      </c>
      <c r="CT54" s="545">
        <f t="shared" si="10"/>
        <v>7.212175595250829E-2</v>
      </c>
      <c r="CU54" s="544">
        <v>18949.579831932773</v>
      </c>
      <c r="CV54" s="544">
        <f t="shared" si="9"/>
        <v>3600.4201680672268</v>
      </c>
      <c r="CW54" s="546">
        <f t="shared" si="18"/>
        <v>22550</v>
      </c>
      <c r="CX54" s="546">
        <f t="shared" si="19"/>
        <v>22550</v>
      </c>
      <c r="CY54" s="551" t="s">
        <v>932</v>
      </c>
    </row>
    <row r="55" spans="1:103" s="549" customFormat="1" ht="109.5" customHeight="1" x14ac:dyDescent="0.35">
      <c r="A55" s="540">
        <v>52</v>
      </c>
      <c r="B55" s="541" t="s">
        <v>1008</v>
      </c>
      <c r="C55" s="542" t="s">
        <v>1009</v>
      </c>
      <c r="D55" s="543" t="s">
        <v>928</v>
      </c>
      <c r="E55" s="543">
        <v>1</v>
      </c>
      <c r="F55" s="544"/>
      <c r="G55" s="544"/>
      <c r="H55" s="544"/>
      <c r="I55" s="544"/>
      <c r="J55" s="544"/>
      <c r="K55" s="544"/>
      <c r="L55" s="544"/>
      <c r="M55" s="544"/>
      <c r="N55" s="544"/>
      <c r="O55" s="550"/>
      <c r="P55" s="550"/>
      <c r="Q55" s="550"/>
      <c r="R55" s="544">
        <v>19467.787114845942</v>
      </c>
      <c r="S55" s="544">
        <f>+R55*19%</f>
        <v>3698.8795518207289</v>
      </c>
      <c r="T55" s="544">
        <f>+R55+S55</f>
        <v>23166.666666666672</v>
      </c>
      <c r="U55" s="550"/>
      <c r="V55" s="550"/>
      <c r="W55" s="550"/>
      <c r="X55" s="544"/>
      <c r="Y55" s="544"/>
      <c r="Z55" s="544"/>
      <c r="AA55" s="544"/>
      <c r="AB55" s="544"/>
      <c r="AC55" s="544"/>
      <c r="AD55" s="544"/>
      <c r="AE55" s="544"/>
      <c r="AF55" s="544"/>
      <c r="AG55" s="544"/>
      <c r="AH55" s="544"/>
      <c r="AI55" s="544"/>
      <c r="AJ55" s="544">
        <v>18974.789915966387</v>
      </c>
      <c r="AK55" s="544">
        <f>+AJ55*0.19</f>
        <v>3605.2100840336134</v>
      </c>
      <c r="AL55" s="544">
        <f>+AJ55+AK55</f>
        <v>22580</v>
      </c>
      <c r="AM55" s="544">
        <f>+AL55*15%</f>
        <v>3387</v>
      </c>
      <c r="AN55" s="544">
        <f>+AL55+AM55</f>
        <v>25967</v>
      </c>
      <c r="AO55" s="544"/>
      <c r="AP55" s="544"/>
      <c r="AQ55" s="544"/>
      <c r="AR55" s="544"/>
      <c r="AS55" s="544"/>
      <c r="AT55" s="544"/>
      <c r="AU55" s="544"/>
      <c r="AV55" s="544"/>
      <c r="AW55" s="544"/>
      <c r="AX55" s="544"/>
      <c r="AY55" s="544"/>
      <c r="AZ55" s="544"/>
      <c r="BA55" s="544"/>
      <c r="BB55" s="544"/>
      <c r="BC55" s="544"/>
      <c r="BD55" s="544"/>
      <c r="BE55" s="544"/>
      <c r="BF55" s="544"/>
      <c r="BG55" s="544"/>
      <c r="BH55" s="544"/>
      <c r="BI55" s="544"/>
      <c r="BJ55" s="544"/>
      <c r="BK55" s="544"/>
      <c r="BL55" s="544"/>
      <c r="BM55" s="544"/>
      <c r="BN55" s="544"/>
      <c r="BO55" s="544"/>
      <c r="BP55" s="544"/>
      <c r="BQ55" s="544"/>
      <c r="BR55" s="544"/>
      <c r="BS55" s="550"/>
      <c r="BT55" s="550"/>
      <c r="BU55" s="550"/>
      <c r="BV55" s="550"/>
      <c r="BW55" s="550"/>
      <c r="BX55" s="544"/>
      <c r="BY55" s="544"/>
      <c r="BZ55" s="544"/>
      <c r="CA55" s="544"/>
      <c r="CB55" s="544"/>
      <c r="CC55" s="544"/>
      <c r="CD55" s="544"/>
      <c r="CE55" s="544"/>
      <c r="CF55" s="544"/>
      <c r="CG55" s="544"/>
      <c r="CH55" s="544"/>
      <c r="CI55" s="544"/>
      <c r="CJ55" s="544"/>
      <c r="CK55" s="544"/>
      <c r="CL55" s="544"/>
      <c r="CM55" s="544"/>
      <c r="CN55" s="544"/>
      <c r="CO55" s="544"/>
      <c r="CP55" s="544"/>
      <c r="CQ55" s="544">
        <f>+MEDIAN(T55,AN55)</f>
        <v>24566.833333333336</v>
      </c>
      <c r="CR55" s="544">
        <f>+AVERAGE(T55,AN55)</f>
        <v>24566.833333333336</v>
      </c>
      <c r="CS55" s="544">
        <f>+STDEV(T55,AN55)</f>
        <v>1980.1346895827253</v>
      </c>
      <c r="CT55" s="545">
        <f>CS55/CR55</f>
        <v>8.0601950716049087E-2</v>
      </c>
      <c r="CU55" s="544">
        <v>20644.537815126052</v>
      </c>
      <c r="CV55" s="544">
        <f t="shared" si="9"/>
        <v>3922.4621848739498</v>
      </c>
      <c r="CW55" s="546">
        <f t="shared" si="18"/>
        <v>24567</v>
      </c>
      <c r="CX55" s="546">
        <f t="shared" si="19"/>
        <v>24567</v>
      </c>
      <c r="CY55" s="551" t="s">
        <v>932</v>
      </c>
    </row>
    <row r="56" spans="1:103" s="549" customFormat="1" ht="78" customHeight="1" x14ac:dyDescent="0.35">
      <c r="A56" s="540">
        <v>53</v>
      </c>
      <c r="B56" s="541" t="s">
        <v>1010</v>
      </c>
      <c r="C56" s="542" t="s">
        <v>1011</v>
      </c>
      <c r="D56" s="543" t="s">
        <v>24</v>
      </c>
      <c r="E56" s="543">
        <v>1</v>
      </c>
      <c r="F56" s="544">
        <v>21010</v>
      </c>
      <c r="G56" s="544">
        <f>+F56*19%</f>
        <v>3991.9</v>
      </c>
      <c r="H56" s="544">
        <f>+F56+G56</f>
        <v>25001.9</v>
      </c>
      <c r="I56" s="544"/>
      <c r="J56" s="544"/>
      <c r="K56" s="544"/>
      <c r="L56" s="550"/>
      <c r="M56" s="550"/>
      <c r="N56" s="550"/>
      <c r="O56" s="550"/>
      <c r="P56" s="550"/>
      <c r="Q56" s="550"/>
      <c r="R56" s="544">
        <v>30182.072829131659</v>
      </c>
      <c r="S56" s="544">
        <f>+R56*19%</f>
        <v>5734.5938375350152</v>
      </c>
      <c r="T56" s="544">
        <f>+R56+S56</f>
        <v>35916.666666666672</v>
      </c>
      <c r="U56" s="550"/>
      <c r="V56" s="550"/>
      <c r="W56" s="550"/>
      <c r="X56" s="550"/>
      <c r="Y56" s="550"/>
      <c r="Z56" s="550"/>
      <c r="AA56" s="550"/>
      <c r="AB56" s="550"/>
      <c r="AC56" s="550"/>
      <c r="AD56" s="550"/>
      <c r="AE56" s="550"/>
      <c r="AF56" s="550"/>
      <c r="AG56" s="550"/>
      <c r="AH56" s="550"/>
      <c r="AI56" s="550"/>
      <c r="AJ56" s="550"/>
      <c r="AK56" s="550"/>
      <c r="AL56" s="550"/>
      <c r="AM56" s="550"/>
      <c r="AN56" s="550"/>
      <c r="AO56" s="550"/>
      <c r="AP56" s="550"/>
      <c r="AQ56" s="544"/>
      <c r="AR56" s="544"/>
      <c r="AS56" s="544"/>
      <c r="AT56" s="544"/>
      <c r="AU56" s="544"/>
      <c r="AV56" s="544"/>
      <c r="AW56" s="544"/>
      <c r="AX56" s="544"/>
      <c r="AY56" s="544"/>
      <c r="AZ56" s="544"/>
      <c r="BA56" s="544"/>
      <c r="BB56" s="544"/>
      <c r="BC56" s="544"/>
      <c r="BD56" s="544"/>
      <c r="BE56" s="544"/>
      <c r="BF56" s="544"/>
      <c r="BG56" s="544"/>
      <c r="BH56" s="544"/>
      <c r="BI56" s="544"/>
      <c r="BJ56" s="544"/>
      <c r="BK56" s="544"/>
      <c r="BL56" s="544"/>
      <c r="BM56" s="544"/>
      <c r="BN56" s="544"/>
      <c r="BO56" s="544"/>
      <c r="BP56" s="544"/>
      <c r="BQ56" s="544"/>
      <c r="BR56" s="544"/>
      <c r="BS56" s="550"/>
      <c r="BT56" s="550"/>
      <c r="BU56" s="550"/>
      <c r="BV56" s="550"/>
      <c r="BW56" s="550"/>
      <c r="BX56" s="544"/>
      <c r="BY56" s="544"/>
      <c r="BZ56" s="544"/>
      <c r="CA56" s="544"/>
      <c r="CB56" s="544"/>
      <c r="CC56" s="544"/>
      <c r="CD56" s="544"/>
      <c r="CE56" s="544"/>
      <c r="CF56" s="544"/>
      <c r="CG56" s="544"/>
      <c r="CH56" s="544"/>
      <c r="CI56" s="544"/>
      <c r="CJ56" s="544"/>
      <c r="CK56" s="544"/>
      <c r="CL56" s="544"/>
      <c r="CM56" s="544"/>
      <c r="CN56" s="544"/>
      <c r="CO56" s="544"/>
      <c r="CP56" s="544"/>
      <c r="CQ56" s="544">
        <f>+MEDIAN(H56,T56)</f>
        <v>30459.283333333336</v>
      </c>
      <c r="CR56" s="544">
        <f>+AVERAGE(H56,T56)</f>
        <v>30459.283333333336</v>
      </c>
      <c r="CS56" s="544">
        <f>+STDEV(H56,T56)</f>
        <v>7717.9055250688907</v>
      </c>
      <c r="CT56" s="545">
        <f t="shared" si="10"/>
        <v>0.25338434396526804</v>
      </c>
      <c r="CU56" s="544">
        <v>25596.638655462186</v>
      </c>
      <c r="CV56" s="544">
        <f t="shared" si="9"/>
        <v>4863.3613445378151</v>
      </c>
      <c r="CW56" s="546">
        <f t="shared" si="18"/>
        <v>30460</v>
      </c>
      <c r="CX56" s="546">
        <f t="shared" si="19"/>
        <v>30460</v>
      </c>
      <c r="CY56" s="551" t="s">
        <v>929</v>
      </c>
    </row>
    <row r="57" spans="1:103" s="549" customFormat="1" ht="61.5" customHeight="1" x14ac:dyDescent="0.35">
      <c r="A57" s="540">
        <v>54</v>
      </c>
      <c r="B57" s="541" t="s">
        <v>1012</v>
      </c>
      <c r="C57" s="542" t="s">
        <v>1013</v>
      </c>
      <c r="D57" s="543" t="s">
        <v>928</v>
      </c>
      <c r="E57" s="543">
        <v>1</v>
      </c>
      <c r="F57" s="544"/>
      <c r="G57" s="544"/>
      <c r="H57" s="544"/>
      <c r="I57" s="544"/>
      <c r="J57" s="544"/>
      <c r="K57" s="544"/>
      <c r="L57" s="544"/>
      <c r="M57" s="544"/>
      <c r="N57" s="544"/>
      <c r="O57" s="550"/>
      <c r="P57" s="550"/>
      <c r="Q57" s="550"/>
      <c r="R57" s="544"/>
      <c r="S57" s="544"/>
      <c r="T57" s="544"/>
      <c r="U57" s="550">
        <v>983.19327731092437</v>
      </c>
      <c r="V57" s="550">
        <f>+U57*0.19</f>
        <v>186.80672268907563</v>
      </c>
      <c r="W57" s="550">
        <f t="shared" si="20"/>
        <v>1170</v>
      </c>
      <c r="X57" s="550"/>
      <c r="Y57" s="550">
        <v>1134.453781512605</v>
      </c>
      <c r="Z57" s="550">
        <f>+Y57*0.19</f>
        <v>215.54621848739495</v>
      </c>
      <c r="AA57" s="550">
        <f t="shared" si="21"/>
        <v>1350</v>
      </c>
      <c r="AB57" s="550"/>
      <c r="AC57" s="550"/>
      <c r="AD57" s="550"/>
      <c r="AE57" s="550"/>
      <c r="AF57" s="550"/>
      <c r="AG57" s="550"/>
      <c r="AH57" s="550"/>
      <c r="AI57" s="550"/>
      <c r="AJ57" s="544"/>
      <c r="AK57" s="544"/>
      <c r="AL57" s="544"/>
      <c r="AM57" s="544"/>
      <c r="AN57" s="544"/>
      <c r="AO57" s="544"/>
      <c r="AP57" s="544"/>
      <c r="AQ57" s="544"/>
      <c r="AR57" s="544"/>
      <c r="AS57" s="544"/>
      <c r="AT57" s="544"/>
      <c r="AU57" s="544"/>
      <c r="AV57" s="544"/>
      <c r="AW57" s="544"/>
      <c r="AX57" s="544"/>
      <c r="AY57" s="544"/>
      <c r="AZ57" s="544"/>
      <c r="BA57" s="544"/>
      <c r="BB57" s="544"/>
      <c r="BC57" s="544"/>
      <c r="BD57" s="544"/>
      <c r="BE57" s="544"/>
      <c r="BF57" s="544"/>
      <c r="BG57" s="544"/>
      <c r="BH57" s="544"/>
      <c r="BI57" s="544"/>
      <c r="BJ57" s="544"/>
      <c r="BK57" s="544"/>
      <c r="BL57" s="544"/>
      <c r="BM57" s="544"/>
      <c r="BN57" s="544"/>
      <c r="BO57" s="544"/>
      <c r="BP57" s="544"/>
      <c r="BQ57" s="544"/>
      <c r="BR57" s="544"/>
      <c r="BS57" s="550"/>
      <c r="BT57" s="550"/>
      <c r="BU57" s="550"/>
      <c r="BV57" s="550"/>
      <c r="BW57" s="550"/>
      <c r="BX57" s="544"/>
      <c r="BY57" s="544"/>
      <c r="BZ57" s="544"/>
      <c r="CA57" s="544"/>
      <c r="CB57" s="544"/>
      <c r="CC57" s="544"/>
      <c r="CD57" s="544"/>
      <c r="CE57" s="544"/>
      <c r="CF57" s="544"/>
      <c r="CG57" s="544"/>
      <c r="CH57" s="544"/>
      <c r="CI57" s="544"/>
      <c r="CJ57" s="544"/>
      <c r="CK57" s="544"/>
      <c r="CL57" s="544"/>
      <c r="CM57" s="544"/>
      <c r="CN57" s="544"/>
      <c r="CO57" s="544"/>
      <c r="CP57" s="544"/>
      <c r="CQ57" s="544">
        <f>+MEDIAN(W57,AA57)</f>
        <v>1260</v>
      </c>
      <c r="CR57" s="544">
        <f>+AVERAGE(W57,AA57)</f>
        <v>1260</v>
      </c>
      <c r="CS57" s="544">
        <f>+STDEV(W57,AA57)</f>
        <v>127.27922061357856</v>
      </c>
      <c r="CT57" s="545">
        <f t="shared" si="10"/>
        <v>0.10101525445522108</v>
      </c>
      <c r="CU57" s="544">
        <v>1058.8235294117649</v>
      </c>
      <c r="CV57" s="544">
        <f t="shared" si="9"/>
        <v>201.17647058823533</v>
      </c>
      <c r="CW57" s="546">
        <f t="shared" si="18"/>
        <v>1260</v>
      </c>
      <c r="CX57" s="546">
        <f t="shared" si="19"/>
        <v>1260</v>
      </c>
      <c r="CY57" s="551" t="s">
        <v>932</v>
      </c>
    </row>
    <row r="58" spans="1:103" s="549" customFormat="1" ht="65.25" customHeight="1" x14ac:dyDescent="0.35">
      <c r="A58" s="540">
        <v>55</v>
      </c>
      <c r="B58" s="541" t="s">
        <v>1012</v>
      </c>
      <c r="C58" s="542" t="s">
        <v>1014</v>
      </c>
      <c r="D58" s="543" t="s">
        <v>24</v>
      </c>
      <c r="E58" s="543">
        <v>1</v>
      </c>
      <c r="F58" s="544">
        <v>21010</v>
      </c>
      <c r="G58" s="544">
        <f>+F58*19%</f>
        <v>3991.9</v>
      </c>
      <c r="H58" s="544">
        <f>+F58+G58</f>
        <v>25001.9</v>
      </c>
      <c r="I58" s="544">
        <f>10084*2</f>
        <v>20168</v>
      </c>
      <c r="J58" s="544">
        <f>+I58*0.19</f>
        <v>3831.92</v>
      </c>
      <c r="K58" s="544">
        <f>+I58+J58</f>
        <v>23999.919999999998</v>
      </c>
      <c r="L58" s="544">
        <f>970*20</f>
        <v>19400</v>
      </c>
      <c r="M58" s="544">
        <f>+L58*0.19</f>
        <v>3686</v>
      </c>
      <c r="N58" s="544">
        <f>+L58+M58</f>
        <v>23086</v>
      </c>
      <c r="O58" s="550"/>
      <c r="P58" s="550"/>
      <c r="Q58" s="550"/>
      <c r="R58" s="550"/>
      <c r="S58" s="550"/>
      <c r="T58" s="550"/>
      <c r="U58" s="550">
        <f>(1170/1.19)*20</f>
        <v>19663.865546218487</v>
      </c>
      <c r="V58" s="550">
        <f>+U58*0.19</f>
        <v>3736.1344537815125</v>
      </c>
      <c r="W58" s="550">
        <f t="shared" si="20"/>
        <v>23400</v>
      </c>
      <c r="X58" s="550"/>
      <c r="Y58" s="550">
        <f>(1350/1.19)*20</f>
        <v>22689.0756302521</v>
      </c>
      <c r="Z58" s="550">
        <f>+Y58*0.19</f>
        <v>4310.9243697478987</v>
      </c>
      <c r="AA58" s="550">
        <f t="shared" si="21"/>
        <v>27000</v>
      </c>
      <c r="AB58" s="550"/>
      <c r="AC58" s="550"/>
      <c r="AD58" s="550"/>
      <c r="AE58" s="550"/>
      <c r="AF58" s="550"/>
      <c r="AG58" s="550"/>
      <c r="AH58" s="550"/>
      <c r="AI58" s="550"/>
      <c r="AJ58" s="550"/>
      <c r="AK58" s="550"/>
      <c r="AL58" s="550"/>
      <c r="AM58" s="550"/>
      <c r="AN58" s="550"/>
      <c r="AO58" s="550"/>
      <c r="AP58" s="550"/>
      <c r="AQ58" s="544"/>
      <c r="AR58" s="544"/>
      <c r="AS58" s="544"/>
      <c r="AT58" s="544"/>
      <c r="AU58" s="544"/>
      <c r="AV58" s="544"/>
      <c r="AW58" s="544"/>
      <c r="AX58" s="544"/>
      <c r="AY58" s="544"/>
      <c r="AZ58" s="544"/>
      <c r="BA58" s="544"/>
      <c r="BB58" s="544"/>
      <c r="BC58" s="544"/>
      <c r="BD58" s="544"/>
      <c r="BE58" s="544"/>
      <c r="BF58" s="544"/>
      <c r="BG58" s="544"/>
      <c r="BH58" s="544"/>
      <c r="BI58" s="544"/>
      <c r="BJ58" s="544"/>
      <c r="BK58" s="544"/>
      <c r="BL58" s="544"/>
      <c r="BM58" s="544"/>
      <c r="BN58" s="544"/>
      <c r="BO58" s="544"/>
      <c r="BP58" s="544"/>
      <c r="BQ58" s="544"/>
      <c r="BR58" s="544"/>
      <c r="BS58" s="550"/>
      <c r="BT58" s="550"/>
      <c r="BU58" s="550"/>
      <c r="BV58" s="550"/>
      <c r="BW58" s="550"/>
      <c r="BX58" s="544"/>
      <c r="BY58" s="544"/>
      <c r="BZ58" s="544"/>
      <c r="CA58" s="544"/>
      <c r="CB58" s="544"/>
      <c r="CC58" s="544"/>
      <c r="CD58" s="544"/>
      <c r="CE58" s="544"/>
      <c r="CF58" s="544"/>
      <c r="CG58" s="544"/>
      <c r="CH58" s="544"/>
      <c r="CI58" s="544"/>
      <c r="CJ58" s="544"/>
      <c r="CK58" s="544"/>
      <c r="CL58" s="544"/>
      <c r="CM58" s="544"/>
      <c r="CN58" s="544"/>
      <c r="CO58" s="544"/>
      <c r="CP58" s="544"/>
      <c r="CQ58" s="544">
        <f>+MEDIAN(H58,K58,N58,W58,AA58)</f>
        <v>23999.919999999998</v>
      </c>
      <c r="CR58" s="544">
        <f>+AVERAGE(H58,K58,N58,W58,AA58)</f>
        <v>24497.564000000002</v>
      </c>
      <c r="CS58" s="544">
        <f>+STDEV(H58,K58,N58,W58,AA58)</f>
        <v>1578.0803168660334</v>
      </c>
      <c r="CT58" s="545">
        <f t="shared" si="10"/>
        <v>6.4417846479185983E-2</v>
      </c>
      <c r="CU58" s="544">
        <v>20586.55462184874</v>
      </c>
      <c r="CV58" s="544">
        <f t="shared" si="9"/>
        <v>3911.4453781512607</v>
      </c>
      <c r="CW58" s="546">
        <f t="shared" si="18"/>
        <v>24498</v>
      </c>
      <c r="CX58" s="546">
        <f t="shared" si="19"/>
        <v>24498</v>
      </c>
      <c r="CY58" s="551" t="s">
        <v>932</v>
      </c>
    </row>
    <row r="59" spans="1:103" s="549" customFormat="1" ht="79.5" customHeight="1" x14ac:dyDescent="0.35">
      <c r="A59" s="540">
        <v>56</v>
      </c>
      <c r="B59" s="541" t="s">
        <v>1012</v>
      </c>
      <c r="C59" s="542" t="s">
        <v>1015</v>
      </c>
      <c r="D59" s="543" t="s">
        <v>24</v>
      </c>
      <c r="E59" s="543">
        <v>1</v>
      </c>
      <c r="F59" s="544"/>
      <c r="G59" s="544"/>
      <c r="H59" s="544"/>
      <c r="I59" s="544">
        <v>10084.033613445379</v>
      </c>
      <c r="J59" s="544">
        <f>+I59*0.19</f>
        <v>1915.966386554622</v>
      </c>
      <c r="K59" s="544">
        <f>+I59+J59</f>
        <v>12000.000000000002</v>
      </c>
      <c r="L59" s="544">
        <f>970*10</f>
        <v>9700</v>
      </c>
      <c r="M59" s="544">
        <f>+L59*0.19</f>
        <v>1843</v>
      </c>
      <c r="N59" s="544">
        <f>+L59+M59</f>
        <v>11543</v>
      </c>
      <c r="O59" s="550"/>
      <c r="P59" s="550"/>
      <c r="Q59" s="550"/>
      <c r="R59" s="550"/>
      <c r="S59" s="550"/>
      <c r="T59" s="550"/>
      <c r="U59" s="550"/>
      <c r="V59" s="550"/>
      <c r="W59" s="550"/>
      <c r="X59" s="550"/>
      <c r="Y59" s="550"/>
      <c r="Z59" s="550"/>
      <c r="AA59" s="550"/>
      <c r="AB59" s="550"/>
      <c r="AC59" s="550"/>
      <c r="AD59" s="550"/>
      <c r="AE59" s="550"/>
      <c r="AF59" s="550"/>
      <c r="AG59" s="550"/>
      <c r="AH59" s="550"/>
      <c r="AI59" s="550"/>
      <c r="AJ59" s="550"/>
      <c r="AK59" s="550"/>
      <c r="AL59" s="550"/>
      <c r="AM59" s="550"/>
      <c r="AN59" s="550"/>
      <c r="AO59" s="550"/>
      <c r="AP59" s="550"/>
      <c r="AQ59" s="544"/>
      <c r="AR59" s="544"/>
      <c r="AS59" s="544"/>
      <c r="AT59" s="544"/>
      <c r="AU59" s="544"/>
      <c r="AV59" s="544"/>
      <c r="AW59" s="544"/>
      <c r="AX59" s="544"/>
      <c r="AY59" s="544"/>
      <c r="AZ59" s="544"/>
      <c r="BA59" s="544"/>
      <c r="BB59" s="544"/>
      <c r="BC59" s="544"/>
      <c r="BD59" s="544"/>
      <c r="BE59" s="544"/>
      <c r="BF59" s="544"/>
      <c r="BG59" s="544"/>
      <c r="BH59" s="544"/>
      <c r="BI59" s="544"/>
      <c r="BJ59" s="544"/>
      <c r="BK59" s="544"/>
      <c r="BL59" s="544"/>
      <c r="BM59" s="544"/>
      <c r="BN59" s="544"/>
      <c r="BO59" s="544"/>
      <c r="BP59" s="544"/>
      <c r="BQ59" s="544"/>
      <c r="BR59" s="544"/>
      <c r="BS59" s="550"/>
      <c r="BT59" s="550"/>
      <c r="BU59" s="550"/>
      <c r="BV59" s="550"/>
      <c r="BW59" s="550"/>
      <c r="BX59" s="544"/>
      <c r="BY59" s="544"/>
      <c r="BZ59" s="544"/>
      <c r="CA59" s="544"/>
      <c r="CB59" s="544"/>
      <c r="CC59" s="544"/>
      <c r="CD59" s="544"/>
      <c r="CE59" s="544"/>
      <c r="CF59" s="544"/>
      <c r="CG59" s="544"/>
      <c r="CH59" s="544"/>
      <c r="CI59" s="544"/>
      <c r="CJ59" s="544"/>
      <c r="CK59" s="544"/>
      <c r="CL59" s="544"/>
      <c r="CM59" s="544"/>
      <c r="CN59" s="544"/>
      <c r="CO59" s="544"/>
      <c r="CP59" s="544"/>
      <c r="CQ59" s="544">
        <f>+MEDIAN(K59,N59)</f>
        <v>11771.5</v>
      </c>
      <c r="CR59" s="544">
        <f>+AVERAGE(K59,N59)</f>
        <v>11771.5</v>
      </c>
      <c r="CS59" s="544">
        <f>+STDEV(K59,N59)</f>
        <v>323.14779900225352</v>
      </c>
      <c r="CT59" s="545">
        <f t="shared" si="10"/>
        <v>2.7451709552924735E-2</v>
      </c>
      <c r="CU59" s="544">
        <v>9892.4369747899163</v>
      </c>
      <c r="CV59" s="544">
        <f t="shared" si="9"/>
        <v>1879.5630252100841</v>
      </c>
      <c r="CW59" s="546">
        <f t="shared" si="18"/>
        <v>11772</v>
      </c>
      <c r="CX59" s="546">
        <f t="shared" si="19"/>
        <v>11772</v>
      </c>
      <c r="CY59" s="551" t="s">
        <v>932</v>
      </c>
    </row>
    <row r="60" spans="1:103" s="549" customFormat="1" ht="46.5" customHeight="1" x14ac:dyDescent="0.35">
      <c r="A60" s="540">
        <v>57</v>
      </c>
      <c r="B60" s="541" t="s">
        <v>1012</v>
      </c>
      <c r="C60" s="542" t="s">
        <v>1016</v>
      </c>
      <c r="D60" s="543" t="s">
        <v>24</v>
      </c>
      <c r="E60" s="543">
        <v>1</v>
      </c>
      <c r="F60" s="544"/>
      <c r="G60" s="544"/>
      <c r="H60" s="544"/>
      <c r="I60" s="544"/>
      <c r="J60" s="544"/>
      <c r="K60" s="544"/>
      <c r="L60" s="544"/>
      <c r="M60" s="544"/>
      <c r="N60" s="544"/>
      <c r="O60" s="544"/>
      <c r="P60" s="544"/>
      <c r="Q60" s="544"/>
      <c r="R60" s="544"/>
      <c r="S60" s="544"/>
      <c r="T60" s="544"/>
      <c r="U60" s="544">
        <v>25210.084033613446</v>
      </c>
      <c r="V60" s="544">
        <f>+U60*0.19</f>
        <v>4789.9159663865548</v>
      </c>
      <c r="W60" s="544">
        <f t="shared" si="20"/>
        <v>30000</v>
      </c>
      <c r="X60" s="544"/>
      <c r="Y60" s="544">
        <v>27731.092436974792</v>
      </c>
      <c r="Z60" s="544">
        <f>+Y60*0.19</f>
        <v>5268.9075630252109</v>
      </c>
      <c r="AA60" s="544">
        <f t="shared" si="21"/>
        <v>33000</v>
      </c>
      <c r="AB60" s="550"/>
      <c r="AC60" s="550"/>
      <c r="AD60" s="550"/>
      <c r="AE60" s="550"/>
      <c r="AF60" s="550"/>
      <c r="AG60" s="550"/>
      <c r="AH60" s="550"/>
      <c r="AI60" s="550"/>
      <c r="AJ60" s="544"/>
      <c r="AK60" s="544"/>
      <c r="AL60" s="544"/>
      <c r="AM60" s="544"/>
      <c r="AN60" s="544"/>
      <c r="AO60" s="544"/>
      <c r="AP60" s="544"/>
      <c r="AQ60" s="544"/>
      <c r="AR60" s="544"/>
      <c r="AS60" s="544"/>
      <c r="AT60" s="544"/>
      <c r="AU60" s="544"/>
      <c r="AV60" s="544"/>
      <c r="AW60" s="544"/>
      <c r="AX60" s="544"/>
      <c r="AY60" s="544"/>
      <c r="AZ60" s="544"/>
      <c r="BA60" s="544"/>
      <c r="BB60" s="544"/>
      <c r="BC60" s="544"/>
      <c r="BD60" s="544"/>
      <c r="BE60" s="544"/>
      <c r="BF60" s="544"/>
      <c r="BG60" s="544"/>
      <c r="BH60" s="544"/>
      <c r="BI60" s="544"/>
      <c r="BJ60" s="544"/>
      <c r="BK60" s="544"/>
      <c r="BL60" s="544"/>
      <c r="BM60" s="544"/>
      <c r="BN60" s="544"/>
      <c r="BO60" s="544"/>
      <c r="BP60" s="544"/>
      <c r="BQ60" s="544"/>
      <c r="BR60" s="544"/>
      <c r="BS60" s="550"/>
      <c r="BT60" s="550"/>
      <c r="BU60" s="550"/>
      <c r="BV60" s="550"/>
      <c r="BW60" s="550"/>
      <c r="BX60" s="544"/>
      <c r="BY60" s="544"/>
      <c r="BZ60" s="544"/>
      <c r="CA60" s="544"/>
      <c r="CB60" s="544"/>
      <c r="CC60" s="544"/>
      <c r="CD60" s="544"/>
      <c r="CE60" s="544"/>
      <c r="CF60" s="544"/>
      <c r="CG60" s="544"/>
      <c r="CH60" s="544"/>
      <c r="CI60" s="544"/>
      <c r="CJ60" s="544"/>
      <c r="CK60" s="544"/>
      <c r="CL60" s="544"/>
      <c r="CM60" s="544"/>
      <c r="CN60" s="544"/>
      <c r="CO60" s="544"/>
      <c r="CP60" s="544"/>
      <c r="CQ60" s="544">
        <f>+MEDIAN(W60,AA60)</f>
        <v>31500</v>
      </c>
      <c r="CR60" s="544">
        <f>+AVERAGE(W60,AA60)</f>
        <v>31500</v>
      </c>
      <c r="CS60" s="544">
        <f>+STDEV(W60,AA60)</f>
        <v>2121.3203435596424</v>
      </c>
      <c r="CT60" s="545">
        <f t="shared" si="10"/>
        <v>6.7343502970147379E-2</v>
      </c>
      <c r="CU60" s="544">
        <v>26470.588235294119</v>
      </c>
      <c r="CV60" s="544">
        <f t="shared" si="9"/>
        <v>5029.4117647058829</v>
      </c>
      <c r="CW60" s="546">
        <f t="shared" si="18"/>
        <v>31500</v>
      </c>
      <c r="CX60" s="546">
        <f t="shared" si="19"/>
        <v>31500</v>
      </c>
      <c r="CY60" s="551" t="s">
        <v>932</v>
      </c>
    </row>
    <row r="61" spans="1:103" s="549" customFormat="1" ht="66.75" customHeight="1" x14ac:dyDescent="0.35">
      <c r="A61" s="540">
        <v>58</v>
      </c>
      <c r="B61" s="541" t="s">
        <v>1012</v>
      </c>
      <c r="C61" s="542" t="s">
        <v>1017</v>
      </c>
      <c r="D61" s="543" t="s">
        <v>24</v>
      </c>
      <c r="E61" s="543">
        <v>1</v>
      </c>
      <c r="F61" s="544"/>
      <c r="G61" s="544"/>
      <c r="H61" s="544"/>
      <c r="I61" s="544"/>
      <c r="J61" s="544"/>
      <c r="K61" s="544"/>
      <c r="L61" s="544"/>
      <c r="M61" s="544"/>
      <c r="N61" s="544"/>
      <c r="O61" s="550"/>
      <c r="P61" s="550"/>
      <c r="Q61" s="550"/>
      <c r="R61" s="544"/>
      <c r="S61" s="544"/>
      <c r="T61" s="544"/>
      <c r="U61" s="550">
        <v>18151.26050420168</v>
      </c>
      <c r="V61" s="550">
        <f>+U61*0.19</f>
        <v>3448.7394957983192</v>
      </c>
      <c r="W61" s="550">
        <f t="shared" si="20"/>
        <v>21600</v>
      </c>
      <c r="X61" s="550"/>
      <c r="Y61" s="550">
        <v>14285.714285714286</v>
      </c>
      <c r="Z61" s="550">
        <f>+Y61*0.19</f>
        <v>2714.2857142857142</v>
      </c>
      <c r="AA61" s="550">
        <f t="shared" si="21"/>
        <v>17000</v>
      </c>
      <c r="AB61" s="550"/>
      <c r="AC61" s="550"/>
      <c r="AD61" s="550"/>
      <c r="AE61" s="550"/>
      <c r="AF61" s="550"/>
      <c r="AG61" s="550"/>
      <c r="AH61" s="550"/>
      <c r="AI61" s="550"/>
      <c r="AJ61" s="544"/>
      <c r="AK61" s="544"/>
      <c r="AL61" s="544"/>
      <c r="AM61" s="544"/>
      <c r="AN61" s="544"/>
      <c r="AO61" s="544"/>
      <c r="AP61" s="544"/>
      <c r="AQ61" s="544"/>
      <c r="AR61" s="544"/>
      <c r="AS61" s="544"/>
      <c r="AT61" s="544"/>
      <c r="AU61" s="544"/>
      <c r="AV61" s="544"/>
      <c r="AW61" s="544"/>
      <c r="AX61" s="544"/>
      <c r="AY61" s="544"/>
      <c r="AZ61" s="544"/>
      <c r="BA61" s="544"/>
      <c r="BB61" s="544"/>
      <c r="BC61" s="544"/>
      <c r="BD61" s="544"/>
      <c r="BE61" s="544"/>
      <c r="BF61" s="544"/>
      <c r="BG61" s="544"/>
      <c r="BH61" s="544"/>
      <c r="BI61" s="544"/>
      <c r="BJ61" s="544"/>
      <c r="BK61" s="544"/>
      <c r="BL61" s="544"/>
      <c r="BM61" s="544"/>
      <c r="BN61" s="544"/>
      <c r="BO61" s="544"/>
      <c r="BP61" s="544"/>
      <c r="BQ61" s="544"/>
      <c r="BR61" s="544"/>
      <c r="BS61" s="550"/>
      <c r="BT61" s="550"/>
      <c r="BU61" s="550"/>
      <c r="BV61" s="550"/>
      <c r="BW61" s="550"/>
      <c r="BX61" s="544"/>
      <c r="BY61" s="544"/>
      <c r="BZ61" s="544"/>
      <c r="CA61" s="544"/>
      <c r="CB61" s="544"/>
      <c r="CC61" s="544"/>
      <c r="CD61" s="544"/>
      <c r="CE61" s="544"/>
      <c r="CF61" s="544"/>
      <c r="CG61" s="544"/>
      <c r="CH61" s="544"/>
      <c r="CI61" s="544"/>
      <c r="CJ61" s="544"/>
      <c r="CK61" s="544"/>
      <c r="CL61" s="544"/>
      <c r="CM61" s="544"/>
      <c r="CN61" s="544"/>
      <c r="CO61" s="544"/>
      <c r="CP61" s="544"/>
      <c r="CQ61" s="544">
        <f>+MEDIAN(W61,AA61)</f>
        <v>19300</v>
      </c>
      <c r="CR61" s="544">
        <f>+AVERAGE(W61,AA61)</f>
        <v>19300</v>
      </c>
      <c r="CS61" s="544">
        <f>+STDEV(W61,AA61)</f>
        <v>3252.6911934581185</v>
      </c>
      <c r="CT61" s="545">
        <f t="shared" si="10"/>
        <v>0.16853322245896987</v>
      </c>
      <c r="CU61" s="544">
        <v>16218.487394957983</v>
      </c>
      <c r="CV61" s="544">
        <f t="shared" si="9"/>
        <v>3081.5126050420167</v>
      </c>
      <c r="CW61" s="546">
        <f t="shared" si="18"/>
        <v>19300</v>
      </c>
      <c r="CX61" s="546">
        <f t="shared" si="19"/>
        <v>19300</v>
      </c>
      <c r="CY61" s="551" t="s">
        <v>929</v>
      </c>
    </row>
    <row r="62" spans="1:103" s="549" customFormat="1" x14ac:dyDescent="0.35">
      <c r="A62" s="540">
        <v>59</v>
      </c>
      <c r="B62" s="541" t="s">
        <v>1018</v>
      </c>
      <c r="C62" s="542" t="s">
        <v>1019</v>
      </c>
      <c r="D62" s="543" t="s">
        <v>67</v>
      </c>
      <c r="E62" s="543">
        <v>1</v>
      </c>
      <c r="F62" s="544"/>
      <c r="G62" s="544"/>
      <c r="H62" s="544"/>
      <c r="I62" s="544"/>
      <c r="J62" s="544"/>
      <c r="K62" s="544"/>
      <c r="L62" s="544"/>
      <c r="M62" s="544"/>
      <c r="N62" s="544"/>
      <c r="O62" s="550"/>
      <c r="P62" s="550"/>
      <c r="Q62" s="550"/>
      <c r="R62" s="544"/>
      <c r="S62" s="544"/>
      <c r="T62" s="544"/>
      <c r="U62" s="550">
        <v>840.3361344537816</v>
      </c>
      <c r="V62" s="550">
        <f>+U62*0.19</f>
        <v>159.66386554621852</v>
      </c>
      <c r="W62" s="550">
        <f t="shared" si="20"/>
        <v>1000.0000000000001</v>
      </c>
      <c r="X62" s="550"/>
      <c r="Y62" s="550">
        <v>1050.420168067227</v>
      </c>
      <c r="Z62" s="550">
        <f>+Y62*0.19</f>
        <v>199.57983193277312</v>
      </c>
      <c r="AA62" s="550">
        <f t="shared" si="21"/>
        <v>1250</v>
      </c>
      <c r="AB62" s="550"/>
      <c r="AC62" s="550"/>
      <c r="AD62" s="550"/>
      <c r="AE62" s="550"/>
      <c r="AF62" s="550"/>
      <c r="AG62" s="550"/>
      <c r="AH62" s="550"/>
      <c r="AI62" s="550"/>
      <c r="AJ62" s="544"/>
      <c r="AK62" s="544"/>
      <c r="AL62" s="544"/>
      <c r="AM62" s="544"/>
      <c r="AN62" s="544"/>
      <c r="AO62" s="544"/>
      <c r="AP62" s="544"/>
      <c r="AQ62" s="544"/>
      <c r="AR62" s="544"/>
      <c r="AS62" s="544"/>
      <c r="AT62" s="544"/>
      <c r="AU62" s="544"/>
      <c r="AV62" s="544"/>
      <c r="AW62" s="544"/>
      <c r="AX62" s="544"/>
      <c r="AY62" s="544"/>
      <c r="AZ62" s="544"/>
      <c r="BA62" s="544"/>
      <c r="BB62" s="544"/>
      <c r="BC62" s="544"/>
      <c r="BD62" s="544"/>
      <c r="BE62" s="544"/>
      <c r="BF62" s="544"/>
      <c r="BG62" s="544"/>
      <c r="BH62" s="544"/>
      <c r="BI62" s="544"/>
      <c r="BJ62" s="544"/>
      <c r="BK62" s="544"/>
      <c r="BL62" s="544"/>
      <c r="BM62" s="544"/>
      <c r="BN62" s="544"/>
      <c r="BO62" s="544"/>
      <c r="BP62" s="544"/>
      <c r="BQ62" s="544"/>
      <c r="BR62" s="544"/>
      <c r="BS62" s="550"/>
      <c r="BT62" s="550"/>
      <c r="BU62" s="550"/>
      <c r="BV62" s="550"/>
      <c r="BW62" s="550"/>
      <c r="BX62" s="544"/>
      <c r="BY62" s="544"/>
      <c r="BZ62" s="544"/>
      <c r="CA62" s="544"/>
      <c r="CB62" s="544"/>
      <c r="CC62" s="544"/>
      <c r="CD62" s="544"/>
      <c r="CE62" s="544"/>
      <c r="CF62" s="544"/>
      <c r="CG62" s="544"/>
      <c r="CH62" s="544"/>
      <c r="CI62" s="544"/>
      <c r="CJ62" s="544"/>
      <c r="CK62" s="544"/>
      <c r="CL62" s="544"/>
      <c r="CM62" s="544"/>
      <c r="CN62" s="544"/>
      <c r="CO62" s="544"/>
      <c r="CP62" s="544"/>
      <c r="CQ62" s="544">
        <f>+MEDIAN(W62,AA62)</f>
        <v>1125</v>
      </c>
      <c r="CR62" s="544">
        <f>+AVERAGE(W62,AA62)</f>
        <v>1125</v>
      </c>
      <c r="CS62" s="544">
        <f>+STDEV(W62,AA62)</f>
        <v>176.77669529663689</v>
      </c>
      <c r="CT62" s="545">
        <f t="shared" si="10"/>
        <v>0.15713484026367724</v>
      </c>
      <c r="CU62" s="544">
        <v>945.3781512605043</v>
      </c>
      <c r="CV62" s="544">
        <f t="shared" si="9"/>
        <v>179.62184873949582</v>
      </c>
      <c r="CW62" s="546">
        <f t="shared" si="18"/>
        <v>1125</v>
      </c>
      <c r="CX62" s="546">
        <f t="shared" si="19"/>
        <v>1125</v>
      </c>
      <c r="CY62" s="551" t="s">
        <v>929</v>
      </c>
    </row>
    <row r="63" spans="1:103" s="549" customFormat="1" ht="29" x14ac:dyDescent="0.35">
      <c r="A63" s="540">
        <v>60</v>
      </c>
      <c r="B63" s="541" t="s">
        <v>1018</v>
      </c>
      <c r="C63" s="542" t="s">
        <v>1020</v>
      </c>
      <c r="D63" s="543" t="s">
        <v>67</v>
      </c>
      <c r="E63" s="543">
        <v>1</v>
      </c>
      <c r="F63" s="544">
        <v>2101</v>
      </c>
      <c r="G63" s="544">
        <f>+F63*19%</f>
        <v>399.19</v>
      </c>
      <c r="H63" s="544">
        <f>+F63+G63</f>
        <v>2500.19</v>
      </c>
      <c r="I63" s="544"/>
      <c r="J63" s="544"/>
      <c r="K63" s="544"/>
      <c r="L63" s="544">
        <v>2411</v>
      </c>
      <c r="M63" s="544">
        <f>+L63*0.19</f>
        <v>458.09000000000003</v>
      </c>
      <c r="N63" s="544">
        <f>+L63+M63</f>
        <v>2869.09</v>
      </c>
      <c r="O63" s="550"/>
      <c r="P63" s="550"/>
      <c r="Q63" s="550"/>
      <c r="R63" s="550"/>
      <c r="S63" s="550"/>
      <c r="T63" s="550"/>
      <c r="U63" s="550"/>
      <c r="V63" s="550"/>
      <c r="W63" s="550"/>
      <c r="X63" s="550"/>
      <c r="Y63" s="550"/>
      <c r="Z63" s="550"/>
      <c r="AA63" s="550"/>
      <c r="AB63" s="550"/>
      <c r="AC63" s="550"/>
      <c r="AD63" s="550"/>
      <c r="AE63" s="550"/>
      <c r="AF63" s="550"/>
      <c r="AG63" s="550"/>
      <c r="AH63" s="550"/>
      <c r="AI63" s="550"/>
      <c r="AJ63" s="550"/>
      <c r="AK63" s="550"/>
      <c r="AL63" s="550"/>
      <c r="AM63" s="550"/>
      <c r="AN63" s="550"/>
      <c r="AO63" s="550"/>
      <c r="AP63" s="550"/>
      <c r="AQ63" s="544"/>
      <c r="AR63" s="544"/>
      <c r="AS63" s="544"/>
      <c r="AT63" s="544"/>
      <c r="AU63" s="544"/>
      <c r="AV63" s="544"/>
      <c r="AW63" s="544"/>
      <c r="AX63" s="544"/>
      <c r="AY63" s="544"/>
      <c r="AZ63" s="544"/>
      <c r="BA63" s="544"/>
      <c r="BB63" s="544"/>
      <c r="BC63" s="544"/>
      <c r="BD63" s="544"/>
      <c r="BE63" s="544"/>
      <c r="BF63" s="544"/>
      <c r="BG63" s="544"/>
      <c r="BH63" s="544"/>
      <c r="BI63" s="544"/>
      <c r="BJ63" s="544"/>
      <c r="BK63" s="544"/>
      <c r="BL63" s="544"/>
      <c r="BM63" s="544"/>
      <c r="BN63" s="544"/>
      <c r="BO63" s="544"/>
      <c r="BP63" s="544"/>
      <c r="BQ63" s="544"/>
      <c r="BR63" s="544"/>
      <c r="BS63" s="550"/>
      <c r="BT63" s="550"/>
      <c r="BU63" s="550"/>
      <c r="BV63" s="550"/>
      <c r="BW63" s="550"/>
      <c r="BX63" s="544"/>
      <c r="BY63" s="544"/>
      <c r="BZ63" s="544"/>
      <c r="CA63" s="544"/>
      <c r="CB63" s="544"/>
      <c r="CC63" s="544"/>
      <c r="CD63" s="544"/>
      <c r="CE63" s="544"/>
      <c r="CF63" s="544"/>
      <c r="CG63" s="544"/>
      <c r="CH63" s="544"/>
      <c r="CI63" s="544"/>
      <c r="CJ63" s="544"/>
      <c r="CK63" s="544"/>
      <c r="CL63" s="544"/>
      <c r="CM63" s="544"/>
      <c r="CN63" s="544"/>
      <c r="CO63" s="544"/>
      <c r="CP63" s="544"/>
      <c r="CQ63" s="544">
        <f>+MEDIAN(H63,N63)</f>
        <v>2684.6400000000003</v>
      </c>
      <c r="CR63" s="544">
        <f>+AVERAGE(H63,N63)</f>
        <v>2684.6400000000003</v>
      </c>
      <c r="CS63" s="544">
        <f>+STDEV(H63,N63)</f>
        <v>260.85169157971745</v>
      </c>
      <c r="CT63" s="545">
        <f t="shared" si="10"/>
        <v>9.7164495641768517E-2</v>
      </c>
      <c r="CU63" s="544">
        <v>2256.3025210084033</v>
      </c>
      <c r="CV63" s="544">
        <f t="shared" si="9"/>
        <v>428.69747899159665</v>
      </c>
      <c r="CW63" s="546">
        <f t="shared" si="18"/>
        <v>2685</v>
      </c>
      <c r="CX63" s="546">
        <f t="shared" si="19"/>
        <v>2685</v>
      </c>
      <c r="CY63" s="551" t="s">
        <v>932</v>
      </c>
    </row>
    <row r="64" spans="1:103" s="549" customFormat="1" ht="29" x14ac:dyDescent="0.35">
      <c r="A64" s="540">
        <v>61</v>
      </c>
      <c r="B64" s="541" t="s">
        <v>1018</v>
      </c>
      <c r="C64" s="542" t="s">
        <v>1021</v>
      </c>
      <c r="D64" s="543" t="s">
        <v>67</v>
      </c>
      <c r="E64" s="543">
        <v>1</v>
      </c>
      <c r="F64" s="544">
        <f>+(4622/400)*100</f>
        <v>1155.5</v>
      </c>
      <c r="G64" s="544">
        <f>+F64*19%</f>
        <v>219.54500000000002</v>
      </c>
      <c r="H64" s="544">
        <f>+F64+G64</f>
        <v>1375.0450000000001</v>
      </c>
      <c r="I64" s="544">
        <v>1134.453781512605</v>
      </c>
      <c r="J64" s="544">
        <f>+I64*0.19</f>
        <v>215.54621848739495</v>
      </c>
      <c r="K64" s="544">
        <f>+I64+J64</f>
        <v>1350</v>
      </c>
      <c r="L64" s="552"/>
      <c r="M64" s="552"/>
      <c r="N64" s="552"/>
      <c r="O64" s="550"/>
      <c r="P64" s="550"/>
      <c r="Q64" s="550"/>
      <c r="R64" s="550"/>
      <c r="S64" s="550"/>
      <c r="T64" s="550"/>
      <c r="U64" s="550"/>
      <c r="V64" s="550"/>
      <c r="W64" s="550"/>
      <c r="X64" s="550"/>
      <c r="Y64" s="550"/>
      <c r="Z64" s="550"/>
      <c r="AA64" s="550"/>
      <c r="AB64" s="550"/>
      <c r="AC64" s="550"/>
      <c r="AD64" s="550"/>
      <c r="AE64" s="550"/>
      <c r="AF64" s="550"/>
      <c r="AG64" s="550"/>
      <c r="AH64" s="550"/>
      <c r="AI64" s="550"/>
      <c r="AJ64" s="550"/>
      <c r="AK64" s="550"/>
      <c r="AL64" s="550"/>
      <c r="AM64" s="550"/>
      <c r="AN64" s="550"/>
      <c r="AO64" s="550"/>
      <c r="AP64" s="550"/>
      <c r="AQ64" s="544"/>
      <c r="AR64" s="544"/>
      <c r="AS64" s="544"/>
      <c r="AT64" s="544"/>
      <c r="AU64" s="544"/>
      <c r="AV64" s="544"/>
      <c r="AW64" s="544"/>
      <c r="AX64" s="544"/>
      <c r="AY64" s="544"/>
      <c r="AZ64" s="544"/>
      <c r="BA64" s="544"/>
      <c r="BB64" s="544"/>
      <c r="BC64" s="544"/>
      <c r="BD64" s="544"/>
      <c r="BE64" s="544"/>
      <c r="BF64" s="544"/>
      <c r="BG64" s="544"/>
      <c r="BH64" s="544"/>
      <c r="BI64" s="544"/>
      <c r="BJ64" s="544"/>
      <c r="BK64" s="544"/>
      <c r="BL64" s="544"/>
      <c r="BM64" s="544"/>
      <c r="BN64" s="544"/>
      <c r="BO64" s="544"/>
      <c r="BP64" s="544"/>
      <c r="BQ64" s="544"/>
      <c r="BR64" s="544"/>
      <c r="BS64" s="550"/>
      <c r="BT64" s="550"/>
      <c r="BU64" s="550"/>
      <c r="BV64" s="550"/>
      <c r="BW64" s="550"/>
      <c r="BX64" s="544"/>
      <c r="BY64" s="544"/>
      <c r="BZ64" s="544"/>
      <c r="CA64" s="544"/>
      <c r="CB64" s="544"/>
      <c r="CC64" s="544"/>
      <c r="CD64" s="544"/>
      <c r="CE64" s="544"/>
      <c r="CF64" s="544"/>
      <c r="CG64" s="544"/>
      <c r="CH64" s="544"/>
      <c r="CI64" s="544"/>
      <c r="CJ64" s="544"/>
      <c r="CK64" s="544"/>
      <c r="CL64" s="544"/>
      <c r="CM64" s="544"/>
      <c r="CN64" s="544"/>
      <c r="CO64" s="544"/>
      <c r="CP64" s="544"/>
      <c r="CQ64" s="544">
        <f>+MEDIAN(H64,K64)</f>
        <v>1362.5225</v>
      </c>
      <c r="CR64" s="544">
        <f>+AVERAGE(H64,K64)</f>
        <v>1362.5225</v>
      </c>
      <c r="CS64" s="544">
        <f>+STDEV(H64,K64)</f>
        <v>17.709489334817135</v>
      </c>
      <c r="CT64" s="545">
        <f t="shared" si="10"/>
        <v>1.2997575698615718E-2</v>
      </c>
      <c r="CU64" s="544">
        <v>1145.3781512605042</v>
      </c>
      <c r="CV64" s="544">
        <f t="shared" si="9"/>
        <v>217.62184873949579</v>
      </c>
      <c r="CW64" s="546">
        <f t="shared" si="18"/>
        <v>1363</v>
      </c>
      <c r="CX64" s="546">
        <f t="shared" si="19"/>
        <v>1363</v>
      </c>
      <c r="CY64" s="551" t="s">
        <v>932</v>
      </c>
    </row>
    <row r="65" spans="1:103" s="549" customFormat="1" ht="61.5" customHeight="1" x14ac:dyDescent="0.35">
      <c r="A65" s="540">
        <v>62</v>
      </c>
      <c r="B65" s="541" t="s">
        <v>1022</v>
      </c>
      <c r="C65" s="542" t="s">
        <v>1023</v>
      </c>
      <c r="D65" s="543" t="s">
        <v>771</v>
      </c>
      <c r="E65" s="543">
        <v>1</v>
      </c>
      <c r="F65" s="544"/>
      <c r="G65" s="544"/>
      <c r="H65" s="544"/>
      <c r="I65" s="544"/>
      <c r="J65" s="544"/>
      <c r="K65" s="544"/>
      <c r="L65" s="544"/>
      <c r="M65" s="544"/>
      <c r="N65" s="544"/>
      <c r="O65" s="550"/>
      <c r="P65" s="550"/>
      <c r="Q65" s="550"/>
      <c r="R65" s="544"/>
      <c r="S65" s="544"/>
      <c r="T65" s="544"/>
      <c r="U65" s="550">
        <v>2184.8739495798322</v>
      </c>
      <c r="V65" s="550">
        <f>+U65*0.19</f>
        <v>415.12605042016816</v>
      </c>
      <c r="W65" s="550">
        <f t="shared" si="20"/>
        <v>2600.0000000000005</v>
      </c>
      <c r="X65" s="550"/>
      <c r="Y65" s="550">
        <v>2016.8067226890757</v>
      </c>
      <c r="Z65" s="550">
        <f>+Y65*0.19</f>
        <v>383.19327731092437</v>
      </c>
      <c r="AA65" s="550">
        <f t="shared" si="21"/>
        <v>2400</v>
      </c>
      <c r="AB65" s="550"/>
      <c r="AC65" s="550"/>
      <c r="AD65" s="550"/>
      <c r="AE65" s="550"/>
      <c r="AF65" s="550"/>
      <c r="AG65" s="550"/>
      <c r="AH65" s="550"/>
      <c r="AI65" s="550"/>
      <c r="AJ65" s="544"/>
      <c r="AK65" s="544"/>
      <c r="AL65" s="544"/>
      <c r="AM65" s="544"/>
      <c r="AN65" s="544"/>
      <c r="AO65" s="544"/>
      <c r="AP65" s="544"/>
      <c r="AQ65" s="544"/>
      <c r="AR65" s="544"/>
      <c r="AS65" s="544"/>
      <c r="AT65" s="544"/>
      <c r="AU65" s="544"/>
      <c r="AV65" s="544"/>
      <c r="AW65" s="544"/>
      <c r="AX65" s="544"/>
      <c r="AY65" s="544"/>
      <c r="AZ65" s="544"/>
      <c r="BA65" s="544"/>
      <c r="BB65" s="544"/>
      <c r="BC65" s="544"/>
      <c r="BD65" s="544"/>
      <c r="BE65" s="544"/>
      <c r="BF65" s="544"/>
      <c r="BG65" s="544"/>
      <c r="BH65" s="544"/>
      <c r="BI65" s="544"/>
      <c r="BJ65" s="544"/>
      <c r="BK65" s="544"/>
      <c r="BL65" s="544"/>
      <c r="BM65" s="544"/>
      <c r="BN65" s="544"/>
      <c r="BO65" s="544"/>
      <c r="BP65" s="544"/>
      <c r="BQ65" s="544"/>
      <c r="BR65" s="544"/>
      <c r="BS65" s="550"/>
      <c r="BT65" s="550"/>
      <c r="BU65" s="550"/>
      <c r="BV65" s="550"/>
      <c r="BW65" s="550"/>
      <c r="BX65" s="544"/>
      <c r="BY65" s="544"/>
      <c r="BZ65" s="544"/>
      <c r="CA65" s="544"/>
      <c r="CB65" s="544"/>
      <c r="CC65" s="544"/>
      <c r="CD65" s="544"/>
      <c r="CE65" s="544"/>
      <c r="CF65" s="544"/>
      <c r="CG65" s="544"/>
      <c r="CH65" s="544"/>
      <c r="CI65" s="544"/>
      <c r="CJ65" s="544"/>
      <c r="CK65" s="544"/>
      <c r="CL65" s="544"/>
      <c r="CM65" s="544"/>
      <c r="CN65" s="544"/>
      <c r="CO65" s="544"/>
      <c r="CP65" s="544"/>
      <c r="CQ65" s="544">
        <f>+MEDIAN(W65,AA65)</f>
        <v>2500</v>
      </c>
      <c r="CR65" s="544">
        <f>+AVERAGE(W65,AA65)</f>
        <v>2500</v>
      </c>
      <c r="CS65" s="544">
        <f>+STDEV(W65,AA65)</f>
        <v>141.42135623730982</v>
      </c>
      <c r="CT65" s="545">
        <f t="shared" si="10"/>
        <v>5.6568542494923928E-2</v>
      </c>
      <c r="CU65" s="544">
        <v>2100.840336134454</v>
      </c>
      <c r="CV65" s="544">
        <f t="shared" si="9"/>
        <v>399.15966386554624</v>
      </c>
      <c r="CW65" s="546">
        <f t="shared" si="18"/>
        <v>2500</v>
      </c>
      <c r="CX65" s="546">
        <f t="shared" si="19"/>
        <v>2500</v>
      </c>
      <c r="CY65" s="551" t="s">
        <v>932</v>
      </c>
    </row>
    <row r="66" spans="1:103" s="549" customFormat="1" ht="29" x14ac:dyDescent="0.35">
      <c r="A66" s="540">
        <v>63</v>
      </c>
      <c r="B66" s="541" t="s">
        <v>1022</v>
      </c>
      <c r="C66" s="542" t="s">
        <v>1024</v>
      </c>
      <c r="D66" s="543" t="s">
        <v>24</v>
      </c>
      <c r="E66" s="543">
        <v>1</v>
      </c>
      <c r="F66" s="544">
        <v>159660</v>
      </c>
      <c r="G66" s="544">
        <f>+F66*19%</f>
        <v>30335.4</v>
      </c>
      <c r="H66" s="544">
        <f>+F66+G66</f>
        <v>189995.4</v>
      </c>
      <c r="I66" s="544">
        <v>119327.73109243698</v>
      </c>
      <c r="J66" s="544">
        <f>+I66*0.19</f>
        <v>22672.268907563026</v>
      </c>
      <c r="K66" s="544">
        <f>+I66+J66</f>
        <v>142000</v>
      </c>
      <c r="L66" s="544">
        <v>130569.74789915967</v>
      </c>
      <c r="M66" s="544">
        <f>+L66*0.19</f>
        <v>24808.252100840338</v>
      </c>
      <c r="N66" s="544">
        <f>+L66+M66</f>
        <v>155378</v>
      </c>
      <c r="O66" s="550"/>
      <c r="P66" s="550"/>
      <c r="Q66" s="550"/>
      <c r="R66" s="550"/>
      <c r="S66" s="550"/>
      <c r="T66" s="550"/>
      <c r="U66" s="550"/>
      <c r="V66" s="550"/>
      <c r="W66" s="550"/>
      <c r="X66" s="550"/>
      <c r="Y66" s="550"/>
      <c r="Z66" s="550"/>
      <c r="AA66" s="550"/>
      <c r="AB66" s="550"/>
      <c r="AC66" s="550"/>
      <c r="AD66" s="550"/>
      <c r="AE66" s="550"/>
      <c r="AF66" s="550"/>
      <c r="AG66" s="550"/>
      <c r="AH66" s="550"/>
      <c r="AI66" s="550"/>
      <c r="AJ66" s="550"/>
      <c r="AK66" s="550"/>
      <c r="AL66" s="550"/>
      <c r="AM66" s="550"/>
      <c r="AN66" s="550"/>
      <c r="AO66" s="550"/>
      <c r="AP66" s="550"/>
      <c r="AQ66" s="544"/>
      <c r="AR66" s="544"/>
      <c r="AS66" s="544"/>
      <c r="AT66" s="544"/>
      <c r="AU66" s="544"/>
      <c r="AV66" s="544"/>
      <c r="AW66" s="544"/>
      <c r="AX66" s="544"/>
      <c r="AY66" s="544"/>
      <c r="AZ66" s="544"/>
      <c r="BA66" s="544"/>
      <c r="BB66" s="544"/>
      <c r="BC66" s="544"/>
      <c r="BD66" s="544"/>
      <c r="BE66" s="544"/>
      <c r="BF66" s="544"/>
      <c r="BG66" s="544"/>
      <c r="BH66" s="544"/>
      <c r="BI66" s="544"/>
      <c r="BJ66" s="544"/>
      <c r="BK66" s="544"/>
      <c r="BL66" s="544"/>
      <c r="BM66" s="544"/>
      <c r="BN66" s="544"/>
      <c r="BO66" s="544"/>
      <c r="BP66" s="544"/>
      <c r="BQ66" s="544"/>
      <c r="BR66" s="544"/>
      <c r="BS66" s="550"/>
      <c r="BT66" s="550"/>
      <c r="BU66" s="550"/>
      <c r="BV66" s="550"/>
      <c r="BW66" s="550"/>
      <c r="BX66" s="544"/>
      <c r="BY66" s="544"/>
      <c r="BZ66" s="544"/>
      <c r="CA66" s="544"/>
      <c r="CB66" s="544"/>
      <c r="CC66" s="544"/>
      <c r="CD66" s="544"/>
      <c r="CE66" s="544"/>
      <c r="CF66" s="544"/>
      <c r="CG66" s="544"/>
      <c r="CH66" s="544"/>
      <c r="CI66" s="544"/>
      <c r="CJ66" s="544"/>
      <c r="CK66" s="544"/>
      <c r="CL66" s="544"/>
      <c r="CM66" s="544"/>
      <c r="CN66" s="544"/>
      <c r="CO66" s="544"/>
      <c r="CP66" s="544"/>
      <c r="CQ66" s="544">
        <f>+MEDIAN(H66,K66,N66)</f>
        <v>155378</v>
      </c>
      <c r="CR66" s="544">
        <f>+AVERAGE(H66,K66,N66)</f>
        <v>162457.80000000002</v>
      </c>
      <c r="CS66" s="544">
        <f>+STDEV(H66,K66,N66)</f>
        <v>24768.574470889511</v>
      </c>
      <c r="CT66" s="545">
        <f t="shared" si="10"/>
        <v>0.152461589846037</v>
      </c>
      <c r="CU66" s="544">
        <v>130569.74789915967</v>
      </c>
      <c r="CV66" s="544">
        <f t="shared" si="9"/>
        <v>24808.252100840338</v>
      </c>
      <c r="CW66" s="546">
        <f t="shared" si="18"/>
        <v>155378</v>
      </c>
      <c r="CX66" s="546">
        <f t="shared" si="19"/>
        <v>155378</v>
      </c>
      <c r="CY66" s="551" t="s">
        <v>929</v>
      </c>
    </row>
    <row r="67" spans="1:103" s="549" customFormat="1" ht="29" x14ac:dyDescent="0.35">
      <c r="A67" s="540">
        <v>64</v>
      </c>
      <c r="B67" s="541" t="s">
        <v>1022</v>
      </c>
      <c r="C67" s="542" t="s">
        <v>1025</v>
      </c>
      <c r="D67" s="543" t="s">
        <v>86</v>
      </c>
      <c r="E67" s="543">
        <v>1</v>
      </c>
      <c r="F67" s="544"/>
      <c r="G67" s="544"/>
      <c r="H67" s="544"/>
      <c r="I67" s="544"/>
      <c r="J67" s="544"/>
      <c r="K67" s="544"/>
      <c r="L67" s="544"/>
      <c r="M67" s="544"/>
      <c r="N67" s="544"/>
      <c r="O67" s="550"/>
      <c r="P67" s="550"/>
      <c r="Q67" s="550"/>
      <c r="R67" s="544">
        <v>1120.4481792717088</v>
      </c>
      <c r="S67" s="544">
        <f>+R67*19%</f>
        <v>212.88515406162466</v>
      </c>
      <c r="T67" s="544">
        <f>+R67+S67</f>
        <v>1333.3333333333335</v>
      </c>
      <c r="U67" s="550"/>
      <c r="V67" s="550"/>
      <c r="W67" s="550"/>
      <c r="X67" s="550"/>
      <c r="Y67" s="550"/>
      <c r="Z67" s="550"/>
      <c r="AA67" s="550"/>
      <c r="AB67" s="550"/>
      <c r="AC67" s="550"/>
      <c r="AD67" s="550"/>
      <c r="AE67" s="550"/>
      <c r="AF67" s="550"/>
      <c r="AG67" s="550"/>
      <c r="AH67" s="550"/>
      <c r="AI67" s="550"/>
      <c r="AJ67" s="550"/>
      <c r="AK67" s="550"/>
      <c r="AL67" s="550"/>
      <c r="AM67" s="550"/>
      <c r="AN67" s="550"/>
      <c r="AO67" s="550"/>
      <c r="AP67" s="550"/>
      <c r="AQ67" s="550"/>
      <c r="AR67" s="550"/>
      <c r="AS67" s="550"/>
      <c r="AT67" s="550"/>
      <c r="AU67" s="550"/>
      <c r="AV67" s="550"/>
      <c r="AW67" s="550"/>
      <c r="AX67" s="550"/>
      <c r="AY67" s="550">
        <v>1008.4033613445379</v>
      </c>
      <c r="AZ67" s="550">
        <f>+AY67*19%</f>
        <v>191.59663865546219</v>
      </c>
      <c r="BA67" s="550">
        <f>+AY67+AZ67</f>
        <v>1200</v>
      </c>
      <c r="BB67" s="550">
        <f>+BA67*15%</f>
        <v>180</v>
      </c>
      <c r="BC67" s="550">
        <f>+BA67+BB67</f>
        <v>1380</v>
      </c>
      <c r="BD67" s="544"/>
      <c r="BE67" s="544"/>
      <c r="BF67" s="544"/>
      <c r="BG67" s="544"/>
      <c r="BH67" s="544"/>
      <c r="BI67" s="544"/>
      <c r="BJ67" s="544"/>
      <c r="BK67" s="544"/>
      <c r="BL67" s="544"/>
      <c r="BM67" s="544"/>
      <c r="BN67" s="544"/>
      <c r="BO67" s="544"/>
      <c r="BP67" s="544"/>
      <c r="BQ67" s="544"/>
      <c r="BR67" s="544"/>
      <c r="BS67" s="550"/>
      <c r="BT67" s="550"/>
      <c r="BU67" s="550"/>
      <c r="BV67" s="550"/>
      <c r="BW67" s="550"/>
      <c r="BX67" s="544"/>
      <c r="BY67" s="544"/>
      <c r="BZ67" s="544"/>
      <c r="CA67" s="544"/>
      <c r="CB67" s="544"/>
      <c r="CC67" s="544"/>
      <c r="CD67" s="544"/>
      <c r="CE67" s="544"/>
      <c r="CF67" s="544"/>
      <c r="CG67" s="544"/>
      <c r="CH67" s="544"/>
      <c r="CI67" s="544"/>
      <c r="CJ67" s="544"/>
      <c r="CK67" s="544"/>
      <c r="CL67" s="544"/>
      <c r="CM67" s="544"/>
      <c r="CN67" s="544"/>
      <c r="CO67" s="544"/>
      <c r="CP67" s="544"/>
      <c r="CQ67" s="544">
        <f>+MEDIAN(T67,BC67)</f>
        <v>1356.6666666666667</v>
      </c>
      <c r="CR67" s="544">
        <f>+AVERAGE(T67,BC67)</f>
        <v>1356.6666666666667</v>
      </c>
      <c r="CS67" s="544">
        <f>+STDEV(T67,BC67)</f>
        <v>32.998316455372112</v>
      </c>
      <c r="CT67" s="545">
        <f t="shared" si="10"/>
        <v>2.4323083382338163E-2</v>
      </c>
      <c r="CU67" s="544">
        <v>1140.3361344537816</v>
      </c>
      <c r="CV67" s="544">
        <f>+CU67*19%</f>
        <v>216.66386554621852</v>
      </c>
      <c r="CW67" s="546">
        <f t="shared" si="18"/>
        <v>1357</v>
      </c>
      <c r="CX67" s="546">
        <f t="shared" si="19"/>
        <v>1357</v>
      </c>
      <c r="CY67" s="551" t="s">
        <v>932</v>
      </c>
    </row>
    <row r="68" spans="1:103" s="549" customFormat="1" ht="29" x14ac:dyDescent="0.35">
      <c r="A68" s="540">
        <v>65</v>
      </c>
      <c r="B68" s="541" t="s">
        <v>161</v>
      </c>
      <c r="C68" s="542" t="s">
        <v>1026</v>
      </c>
      <c r="D68" s="543" t="s">
        <v>86</v>
      </c>
      <c r="E68" s="543">
        <v>1</v>
      </c>
      <c r="F68" s="544"/>
      <c r="G68" s="544"/>
      <c r="H68" s="544"/>
      <c r="I68" s="544"/>
      <c r="J68" s="544"/>
      <c r="K68" s="544"/>
      <c r="L68" s="544">
        <v>305.04000000000002</v>
      </c>
      <c r="M68" s="544">
        <f>+L68*0.19</f>
        <v>57.957600000000006</v>
      </c>
      <c r="N68" s="544">
        <f>+L68+M68</f>
        <v>362.99760000000003</v>
      </c>
      <c r="O68" s="550"/>
      <c r="P68" s="550"/>
      <c r="Q68" s="550"/>
      <c r="R68" s="550"/>
      <c r="S68" s="550"/>
      <c r="T68" s="550"/>
      <c r="U68" s="550"/>
      <c r="V68" s="550"/>
      <c r="W68" s="550"/>
      <c r="X68" s="550"/>
      <c r="Y68" s="550"/>
      <c r="Z68" s="550"/>
      <c r="AA68" s="550"/>
      <c r="AB68" s="550"/>
      <c r="AC68" s="550"/>
      <c r="AD68" s="550"/>
      <c r="AE68" s="550"/>
      <c r="AF68" s="550"/>
      <c r="AG68" s="550"/>
      <c r="AH68" s="550"/>
      <c r="AI68" s="550"/>
      <c r="AJ68" s="550"/>
      <c r="AK68" s="550"/>
      <c r="AL68" s="550"/>
      <c r="AM68" s="550"/>
      <c r="AN68" s="550"/>
      <c r="AO68" s="550"/>
      <c r="AP68" s="550"/>
      <c r="AQ68" s="550"/>
      <c r="AR68" s="550"/>
      <c r="AS68" s="550"/>
      <c r="AT68" s="550"/>
      <c r="AU68" s="550"/>
      <c r="AV68" s="550"/>
      <c r="AW68" s="550"/>
      <c r="AX68" s="550"/>
      <c r="AY68" s="550"/>
      <c r="AZ68" s="550"/>
      <c r="BA68" s="550"/>
      <c r="BB68" s="550"/>
      <c r="BC68" s="550"/>
      <c r="BD68" s="550"/>
      <c r="BE68" s="550"/>
      <c r="BF68" s="550"/>
      <c r="BG68" s="550"/>
      <c r="BH68" s="550"/>
      <c r="BI68" s="550">
        <f>375/1.19</f>
        <v>315.1260504201681</v>
      </c>
      <c r="BJ68" s="550">
        <f>+BI68*0.19</f>
        <v>59.873949579831937</v>
      </c>
      <c r="BK68" s="550">
        <f>+BI68+BJ68</f>
        <v>375.00000000000006</v>
      </c>
      <c r="BL68" s="554">
        <f>+BK68*15%</f>
        <v>56.250000000000007</v>
      </c>
      <c r="BM68" s="554">
        <f>+BK68+BL68</f>
        <v>431.25000000000006</v>
      </c>
      <c r="BN68" s="550"/>
      <c r="BO68" s="550"/>
      <c r="BP68" s="550"/>
      <c r="BQ68" s="550"/>
      <c r="BR68" s="550"/>
      <c r="BS68" s="550"/>
      <c r="BT68" s="550"/>
      <c r="BU68" s="550"/>
      <c r="BV68" s="550"/>
      <c r="BW68" s="550"/>
      <c r="BX68" s="544"/>
      <c r="BY68" s="544"/>
      <c r="BZ68" s="544"/>
      <c r="CA68" s="544"/>
      <c r="CB68" s="544"/>
      <c r="CC68" s="544"/>
      <c r="CD68" s="544"/>
      <c r="CE68" s="544"/>
      <c r="CF68" s="544"/>
      <c r="CG68" s="544"/>
      <c r="CH68" s="544"/>
      <c r="CI68" s="544"/>
      <c r="CJ68" s="544"/>
      <c r="CK68" s="544"/>
      <c r="CL68" s="544"/>
      <c r="CM68" s="544"/>
      <c r="CN68" s="544"/>
      <c r="CO68" s="544"/>
      <c r="CP68" s="544"/>
      <c r="CQ68" s="544">
        <f>+MEDIAN(N68,BM68)</f>
        <v>397.12380000000007</v>
      </c>
      <c r="CR68" s="544">
        <f>+AVERAGE(N68,BM68)</f>
        <v>397.12380000000007</v>
      </c>
      <c r="CS68" s="544">
        <f>+STDEV(N68,BM68)</f>
        <v>48.261734872256731</v>
      </c>
      <c r="CT68" s="545">
        <f t="shared" si="10"/>
        <v>0.1215281855991928</v>
      </c>
      <c r="CU68" s="544">
        <v>334.45378151260508</v>
      </c>
      <c r="CV68" s="544">
        <f>+CU68*19%</f>
        <v>63.546218487394967</v>
      </c>
      <c r="CW68" s="546">
        <f t="shared" ref="CW68:CW99" si="22">+ROUNDUP(IF(CT68&lt;15%,CR68,CQ68),0)</f>
        <v>398</v>
      </c>
      <c r="CX68" s="546">
        <f t="shared" ref="CX68:CX99" si="23">+CW68*E68</f>
        <v>398</v>
      </c>
      <c r="CY68" s="551" t="s">
        <v>932</v>
      </c>
    </row>
    <row r="69" spans="1:103" s="549" customFormat="1" ht="42.75" customHeight="1" x14ac:dyDescent="0.35">
      <c r="A69" s="540">
        <v>66</v>
      </c>
      <c r="B69" s="541" t="s">
        <v>1022</v>
      </c>
      <c r="C69" s="542" t="s">
        <v>1027</v>
      </c>
      <c r="D69" s="543" t="s">
        <v>771</v>
      </c>
      <c r="E69" s="543">
        <v>1</v>
      </c>
      <c r="F69" s="544"/>
      <c r="G69" s="544"/>
      <c r="H69" s="544"/>
      <c r="I69" s="544"/>
      <c r="J69" s="544"/>
      <c r="K69" s="544"/>
      <c r="L69" s="544"/>
      <c r="M69" s="544"/>
      <c r="N69" s="544"/>
      <c r="O69" s="550"/>
      <c r="P69" s="550"/>
      <c r="Q69" s="550"/>
      <c r="R69" s="544">
        <v>9103.6414565826344</v>
      </c>
      <c r="S69" s="544">
        <f>+R69*19%</f>
        <v>1729.6918767507007</v>
      </c>
      <c r="T69" s="544">
        <f>+R69+S69</f>
        <v>10833.333333333336</v>
      </c>
      <c r="U69" s="550"/>
      <c r="V69" s="550"/>
      <c r="W69" s="550"/>
      <c r="X69" s="550"/>
      <c r="Y69" s="550">
        <v>12268.90756302521</v>
      </c>
      <c r="Z69" s="550">
        <f>+Y69*0.19</f>
        <v>2331.09243697479</v>
      </c>
      <c r="AA69" s="550">
        <f>+Y69+Z69</f>
        <v>14600</v>
      </c>
      <c r="AB69" s="550"/>
      <c r="AC69" s="550"/>
      <c r="AD69" s="550"/>
      <c r="AE69" s="550"/>
      <c r="AF69" s="550"/>
      <c r="AG69" s="550"/>
      <c r="AH69" s="550"/>
      <c r="AI69" s="550"/>
      <c r="AJ69" s="550"/>
      <c r="AK69" s="550"/>
      <c r="AL69" s="550"/>
      <c r="AM69" s="550"/>
      <c r="AN69" s="550"/>
      <c r="AO69" s="550"/>
      <c r="AP69" s="550"/>
      <c r="AQ69" s="550"/>
      <c r="AR69" s="550"/>
      <c r="AS69" s="550"/>
      <c r="AT69" s="550"/>
      <c r="AU69" s="550"/>
      <c r="AV69" s="550"/>
      <c r="AW69" s="550"/>
      <c r="AX69" s="550"/>
      <c r="AY69" s="550"/>
      <c r="AZ69" s="550"/>
      <c r="BA69" s="550"/>
      <c r="BB69" s="550"/>
      <c r="BC69" s="550"/>
      <c r="BD69" s="550"/>
      <c r="BE69" s="550"/>
      <c r="BF69" s="550"/>
      <c r="BG69" s="550"/>
      <c r="BH69" s="550"/>
      <c r="BI69" s="550"/>
      <c r="BJ69" s="550"/>
      <c r="BK69" s="550"/>
      <c r="BL69" s="550"/>
      <c r="BM69" s="550"/>
      <c r="BN69" s="550"/>
      <c r="BO69" s="550"/>
      <c r="BP69" s="550"/>
      <c r="BQ69" s="550"/>
      <c r="BR69" s="550"/>
      <c r="BS69" s="550"/>
      <c r="BT69" s="550"/>
      <c r="BU69" s="550"/>
      <c r="BV69" s="550"/>
      <c r="BW69" s="550"/>
      <c r="BX69" s="544"/>
      <c r="BY69" s="544"/>
      <c r="BZ69" s="544"/>
      <c r="CA69" s="544"/>
      <c r="CB69" s="544"/>
      <c r="CC69" s="544"/>
      <c r="CD69" s="544"/>
      <c r="CE69" s="544"/>
      <c r="CF69" s="544"/>
      <c r="CG69" s="544"/>
      <c r="CH69" s="544"/>
      <c r="CI69" s="544"/>
      <c r="CJ69" s="544"/>
      <c r="CK69" s="544"/>
      <c r="CL69" s="544"/>
      <c r="CM69" s="544"/>
      <c r="CN69" s="544"/>
      <c r="CO69" s="544"/>
      <c r="CP69" s="544"/>
      <c r="CQ69" s="544">
        <f>+MEDIAN(T69,AA69)</f>
        <v>12716.666666666668</v>
      </c>
      <c r="CR69" s="544">
        <f>+AVERAGE(T69,AA69)</f>
        <v>12716.666666666668</v>
      </c>
      <c r="CS69" s="544">
        <f>+STDEV(T69,AA69)</f>
        <v>2663.4355424693304</v>
      </c>
      <c r="CT69" s="545">
        <f t="shared" si="10"/>
        <v>0.20944447254018322</v>
      </c>
      <c r="CU69" s="544">
        <v>10686.55462184874</v>
      </c>
      <c r="CV69" s="544">
        <f t="shared" si="9"/>
        <v>2030.4453781512607</v>
      </c>
      <c r="CW69" s="546">
        <f t="shared" si="22"/>
        <v>12717</v>
      </c>
      <c r="CX69" s="546">
        <f t="shared" si="23"/>
        <v>12717</v>
      </c>
      <c r="CY69" s="551" t="s">
        <v>929</v>
      </c>
    </row>
    <row r="70" spans="1:103" s="549" customFormat="1" ht="29" x14ac:dyDescent="0.35">
      <c r="A70" s="540">
        <v>67</v>
      </c>
      <c r="B70" s="541" t="s">
        <v>1028</v>
      </c>
      <c r="C70" s="542" t="s">
        <v>1029</v>
      </c>
      <c r="D70" s="543" t="s">
        <v>86</v>
      </c>
      <c r="E70" s="543">
        <v>1</v>
      </c>
      <c r="F70" s="544"/>
      <c r="G70" s="544"/>
      <c r="H70" s="544"/>
      <c r="I70" s="544">
        <f>(18908/25)</f>
        <v>756.32</v>
      </c>
      <c r="J70" s="544">
        <f>+I70*0.19</f>
        <v>143.70080000000002</v>
      </c>
      <c r="K70" s="544">
        <f>+I70+J70</f>
        <v>900.02080000000001</v>
      </c>
      <c r="L70" s="544"/>
      <c r="M70" s="544"/>
      <c r="N70" s="544"/>
      <c r="O70" s="550"/>
      <c r="P70" s="550"/>
      <c r="Q70" s="550"/>
      <c r="R70" s="544">
        <v>1260.5042016806724</v>
      </c>
      <c r="S70" s="544">
        <f>+R70*19%</f>
        <v>239.49579831932775</v>
      </c>
      <c r="T70" s="544">
        <f>+R70+S70</f>
        <v>1500.0000000000002</v>
      </c>
      <c r="U70" s="550"/>
      <c r="V70" s="550"/>
      <c r="W70" s="550"/>
      <c r="X70" s="550"/>
      <c r="Y70" s="550"/>
      <c r="Z70" s="550"/>
      <c r="AA70" s="550"/>
      <c r="AB70" s="550"/>
      <c r="AC70" s="550"/>
      <c r="AD70" s="550"/>
      <c r="AE70" s="550"/>
      <c r="AF70" s="550"/>
      <c r="AG70" s="550"/>
      <c r="AH70" s="550"/>
      <c r="AI70" s="550"/>
      <c r="AJ70" s="550"/>
      <c r="AK70" s="550"/>
      <c r="AL70" s="550"/>
      <c r="AM70" s="550"/>
      <c r="AN70" s="550"/>
      <c r="AO70" s="550"/>
      <c r="AP70" s="550"/>
      <c r="AQ70" s="550"/>
      <c r="AR70" s="550"/>
      <c r="AS70" s="550"/>
      <c r="AT70" s="550"/>
      <c r="AU70" s="550"/>
      <c r="AV70" s="550"/>
      <c r="AW70" s="550"/>
      <c r="AX70" s="550"/>
      <c r="AY70" s="550"/>
      <c r="AZ70" s="550"/>
      <c r="BA70" s="550"/>
      <c r="BB70" s="550"/>
      <c r="BC70" s="550"/>
      <c r="BD70" s="550"/>
      <c r="BE70" s="550"/>
      <c r="BF70" s="550"/>
      <c r="BG70" s="550"/>
      <c r="BH70" s="550"/>
      <c r="BI70" s="550"/>
      <c r="BJ70" s="550"/>
      <c r="BK70" s="550"/>
      <c r="BL70" s="550"/>
      <c r="BM70" s="550"/>
      <c r="BN70" s="550"/>
      <c r="BO70" s="550"/>
      <c r="BP70" s="550"/>
      <c r="BQ70" s="550"/>
      <c r="BR70" s="550"/>
      <c r="BS70" s="550"/>
      <c r="BT70" s="550"/>
      <c r="BU70" s="550"/>
      <c r="BV70" s="550"/>
      <c r="BW70" s="550"/>
      <c r="BX70" s="544"/>
      <c r="BY70" s="544"/>
      <c r="BZ70" s="544"/>
      <c r="CA70" s="544"/>
      <c r="CB70" s="544"/>
      <c r="CC70" s="544"/>
      <c r="CD70" s="544"/>
      <c r="CE70" s="544"/>
      <c r="CF70" s="544"/>
      <c r="CG70" s="544"/>
      <c r="CH70" s="544"/>
      <c r="CI70" s="544"/>
      <c r="CJ70" s="544"/>
      <c r="CK70" s="544"/>
      <c r="CL70" s="544"/>
      <c r="CM70" s="544"/>
      <c r="CN70" s="544">
        <f>1200/1.19</f>
        <v>1008.4033613445379</v>
      </c>
      <c r="CO70" s="544">
        <f>+CN70*0.19</f>
        <v>191.59663865546219</v>
      </c>
      <c r="CP70" s="544">
        <f>+CN70+CO70</f>
        <v>1200</v>
      </c>
      <c r="CQ70" s="544">
        <f>+MEDIAN(K70,T70,CP70)</f>
        <v>1200</v>
      </c>
      <c r="CR70" s="544">
        <f>AVERAGE(K70,T70,CP70)</f>
        <v>1200.0069333333333</v>
      </c>
      <c r="CS70" s="544">
        <f>+STDEV(K70,T70,CP70)</f>
        <v>299.98960006009077</v>
      </c>
      <c r="CT70" s="545">
        <f>CS70/CR70</f>
        <v>0.24998988899738364</v>
      </c>
      <c r="CU70" s="544">
        <v>1008.4033613445379</v>
      </c>
      <c r="CV70" s="544">
        <f>+CU70*19%</f>
        <v>191.59663865546219</v>
      </c>
      <c r="CW70" s="546">
        <f t="shared" si="22"/>
        <v>1200</v>
      </c>
      <c r="CX70" s="546">
        <f t="shared" si="23"/>
        <v>1200</v>
      </c>
      <c r="CY70" s="551" t="s">
        <v>929</v>
      </c>
    </row>
    <row r="71" spans="1:103" s="549" customFormat="1" ht="29" x14ac:dyDescent="0.35">
      <c r="A71" s="540">
        <v>68</v>
      </c>
      <c r="B71" s="541" t="s">
        <v>1030</v>
      </c>
      <c r="C71" s="542" t="s">
        <v>1031</v>
      </c>
      <c r="D71" s="543" t="s">
        <v>273</v>
      </c>
      <c r="E71" s="543">
        <v>1</v>
      </c>
      <c r="F71" s="544"/>
      <c r="G71" s="544"/>
      <c r="H71" s="544"/>
      <c r="I71" s="544"/>
      <c r="J71" s="544"/>
      <c r="K71" s="544"/>
      <c r="L71" s="544"/>
      <c r="M71" s="544"/>
      <c r="N71" s="544"/>
      <c r="O71" s="550"/>
      <c r="P71" s="550"/>
      <c r="Q71" s="550"/>
      <c r="R71" s="544"/>
      <c r="S71" s="544"/>
      <c r="T71" s="544"/>
      <c r="U71" s="550"/>
      <c r="V71" s="550"/>
      <c r="W71" s="550"/>
      <c r="X71" s="550"/>
      <c r="Y71" s="550"/>
      <c r="Z71" s="550"/>
      <c r="AA71" s="550"/>
      <c r="AB71" s="550"/>
      <c r="AC71" s="550"/>
      <c r="AD71" s="550"/>
      <c r="AE71" s="550">
        <v>15042.01680672269</v>
      </c>
      <c r="AF71" s="550">
        <f>+AE71*19%</f>
        <v>2857.9831932773109</v>
      </c>
      <c r="AG71" s="550">
        <f>+AE71+AF71</f>
        <v>17900</v>
      </c>
      <c r="AH71" s="544">
        <f>+AG71*15%</f>
        <v>2685</v>
      </c>
      <c r="AI71" s="544">
        <f>+AG71+AH71</f>
        <v>20585</v>
      </c>
      <c r="AJ71" s="550"/>
      <c r="AK71" s="550"/>
      <c r="AL71" s="550"/>
      <c r="AM71" s="550"/>
      <c r="AN71" s="550"/>
      <c r="AO71" s="550"/>
      <c r="AP71" s="550"/>
      <c r="AQ71" s="550"/>
      <c r="AR71" s="550"/>
      <c r="AS71" s="550"/>
      <c r="AT71" s="550"/>
      <c r="AU71" s="550"/>
      <c r="AV71" s="550"/>
      <c r="AW71" s="550"/>
      <c r="AX71" s="550"/>
      <c r="AY71" s="550"/>
      <c r="AZ71" s="550"/>
      <c r="BA71" s="550"/>
      <c r="BB71" s="550"/>
      <c r="BC71" s="550"/>
      <c r="BD71" s="550"/>
      <c r="BE71" s="550"/>
      <c r="BF71" s="550"/>
      <c r="BG71" s="550"/>
      <c r="BH71" s="550"/>
      <c r="BI71" s="550"/>
      <c r="BJ71" s="550"/>
      <c r="BK71" s="550"/>
      <c r="BL71" s="550"/>
      <c r="BM71" s="550"/>
      <c r="BN71" s="550"/>
      <c r="BO71" s="550"/>
      <c r="BP71" s="550"/>
      <c r="BQ71" s="550"/>
      <c r="BR71" s="550"/>
      <c r="BS71" s="550"/>
      <c r="BT71" s="550"/>
      <c r="BU71" s="550"/>
      <c r="BV71" s="550"/>
      <c r="BW71" s="550"/>
      <c r="BX71" s="544"/>
      <c r="BY71" s="544"/>
      <c r="BZ71" s="544"/>
      <c r="CA71" s="544"/>
      <c r="CB71" s="544"/>
      <c r="CC71" s="544"/>
      <c r="CD71" s="544"/>
      <c r="CE71" s="544"/>
      <c r="CF71" s="544"/>
      <c r="CG71" s="544"/>
      <c r="CH71" s="544"/>
      <c r="CI71" s="544">
        <f>16900/1.19</f>
        <v>14201.680672268909</v>
      </c>
      <c r="CJ71" s="544">
        <f>+CI71*19%</f>
        <v>2698.3193277310929</v>
      </c>
      <c r="CK71" s="544">
        <f>+CI71+CJ71</f>
        <v>16900</v>
      </c>
      <c r="CL71" s="544">
        <f>+CK71*15%</f>
        <v>2535</v>
      </c>
      <c r="CM71" s="544">
        <f>+CK71+CL71</f>
        <v>19435</v>
      </c>
      <c r="CN71" s="544"/>
      <c r="CO71" s="544"/>
      <c r="CP71" s="544"/>
      <c r="CQ71" s="544">
        <f>+MEDIAN(AI71,CM71)</f>
        <v>20010</v>
      </c>
      <c r="CR71" s="544">
        <f>+AVERAGE(AI71,CM71)</f>
        <v>20010</v>
      </c>
      <c r="CS71" s="544">
        <f>+STDEV(AI71,CM71)</f>
        <v>813.17279836452963</v>
      </c>
      <c r="CT71" s="545">
        <f t="shared" si="10"/>
        <v>4.0638320757847554E-2</v>
      </c>
      <c r="CU71" s="544">
        <v>16815.126050420167</v>
      </c>
      <c r="CV71" s="544">
        <f t="shared" ref="CV71:CV110" si="24">+CU71*19%</f>
        <v>3194.8739495798318</v>
      </c>
      <c r="CW71" s="546">
        <f t="shared" si="22"/>
        <v>20010</v>
      </c>
      <c r="CX71" s="546">
        <f t="shared" si="23"/>
        <v>20010</v>
      </c>
      <c r="CY71" s="551" t="s">
        <v>932</v>
      </c>
    </row>
    <row r="72" spans="1:103" s="549" customFormat="1" ht="29" x14ac:dyDescent="0.35">
      <c r="A72" s="540">
        <v>69</v>
      </c>
      <c r="B72" s="541" t="s">
        <v>1030</v>
      </c>
      <c r="C72" s="542" t="s">
        <v>1032</v>
      </c>
      <c r="D72" s="543" t="s">
        <v>273</v>
      </c>
      <c r="E72" s="543">
        <v>1</v>
      </c>
      <c r="F72" s="544"/>
      <c r="G72" s="544"/>
      <c r="H72" s="544"/>
      <c r="I72" s="544">
        <v>29412</v>
      </c>
      <c r="J72" s="544">
        <f>+I72*0.19</f>
        <v>5588.28</v>
      </c>
      <c r="K72" s="544">
        <f>+I72+J72</f>
        <v>35000.28</v>
      </c>
      <c r="L72" s="544">
        <v>29814</v>
      </c>
      <c r="M72" s="544">
        <f>+L72*0.19</f>
        <v>5664.66</v>
      </c>
      <c r="N72" s="544">
        <f>+L72+M72</f>
        <v>35478.660000000003</v>
      </c>
      <c r="O72" s="550"/>
      <c r="P72" s="550"/>
      <c r="Q72" s="550"/>
      <c r="R72" s="550"/>
      <c r="S72" s="550"/>
      <c r="T72" s="550"/>
      <c r="U72" s="550"/>
      <c r="V72" s="550"/>
      <c r="W72" s="550"/>
      <c r="X72" s="550"/>
      <c r="Y72" s="550"/>
      <c r="Z72" s="550"/>
      <c r="AA72" s="550"/>
      <c r="AB72" s="550"/>
      <c r="AC72" s="550"/>
      <c r="AD72" s="550"/>
      <c r="AE72" s="550"/>
      <c r="AF72" s="550"/>
      <c r="AG72" s="550"/>
      <c r="AH72" s="550"/>
      <c r="AI72" s="550"/>
      <c r="AJ72" s="550"/>
      <c r="AK72" s="550"/>
      <c r="AL72" s="550"/>
      <c r="AM72" s="550"/>
      <c r="AN72" s="550"/>
      <c r="AO72" s="550"/>
      <c r="AP72" s="550"/>
      <c r="AQ72" s="550"/>
      <c r="AR72" s="550"/>
      <c r="AS72" s="550"/>
      <c r="AT72" s="550"/>
      <c r="AU72" s="550"/>
      <c r="AV72" s="550"/>
      <c r="AW72" s="550"/>
      <c r="AX72" s="550"/>
      <c r="AY72" s="550"/>
      <c r="AZ72" s="550"/>
      <c r="BA72" s="550"/>
      <c r="BB72" s="550"/>
      <c r="BC72" s="550"/>
      <c r="BD72" s="550"/>
      <c r="BE72" s="550"/>
      <c r="BF72" s="550"/>
      <c r="BG72" s="550"/>
      <c r="BH72" s="550"/>
      <c r="BI72" s="550"/>
      <c r="BJ72" s="550"/>
      <c r="BK72" s="550"/>
      <c r="BL72" s="550"/>
      <c r="BM72" s="550"/>
      <c r="BN72" s="550"/>
      <c r="BO72" s="550"/>
      <c r="BP72" s="550"/>
      <c r="BQ72" s="550"/>
      <c r="BR72" s="550"/>
      <c r="BS72" s="550"/>
      <c r="BT72" s="550"/>
      <c r="BU72" s="550"/>
      <c r="BV72" s="550"/>
      <c r="BW72" s="550"/>
      <c r="BX72" s="544"/>
      <c r="BY72" s="544"/>
      <c r="BZ72" s="544"/>
      <c r="CA72" s="544"/>
      <c r="CB72" s="544"/>
      <c r="CC72" s="544"/>
      <c r="CD72" s="544"/>
      <c r="CE72" s="544"/>
      <c r="CF72" s="544"/>
      <c r="CG72" s="544"/>
      <c r="CH72" s="544"/>
      <c r="CI72" s="544"/>
      <c r="CJ72" s="544"/>
      <c r="CK72" s="544"/>
      <c r="CL72" s="544"/>
      <c r="CM72" s="544"/>
      <c r="CN72" s="544"/>
      <c r="CO72" s="544"/>
      <c r="CP72" s="544"/>
      <c r="CQ72" s="544">
        <f>+MEDIAN(K72,N72)</f>
        <v>35239.47</v>
      </c>
      <c r="CR72" s="544">
        <f>+AVERAGE(K72,N72)</f>
        <v>35239.47</v>
      </c>
      <c r="CS72" s="544">
        <f>+STDEV(K72,N72)</f>
        <v>338.26574198402386</v>
      </c>
      <c r="CT72" s="545">
        <f t="shared" si="10"/>
        <v>9.5990587254582392E-3</v>
      </c>
      <c r="CU72" s="544">
        <v>29613.44537815126</v>
      </c>
      <c r="CV72" s="544">
        <f t="shared" si="24"/>
        <v>5626.5546218487398</v>
      </c>
      <c r="CW72" s="546">
        <f t="shared" si="22"/>
        <v>35240</v>
      </c>
      <c r="CX72" s="546">
        <f t="shared" si="23"/>
        <v>35240</v>
      </c>
      <c r="CY72" s="551" t="s">
        <v>932</v>
      </c>
    </row>
    <row r="73" spans="1:103" s="549" customFormat="1" ht="43.5" x14ac:dyDescent="0.35">
      <c r="A73" s="540">
        <v>70</v>
      </c>
      <c r="B73" s="541" t="s">
        <v>1033</v>
      </c>
      <c r="C73" s="542" t="s">
        <v>1034</v>
      </c>
      <c r="D73" s="543" t="s">
        <v>67</v>
      </c>
      <c r="E73" s="543">
        <v>1</v>
      </c>
      <c r="F73" s="544">
        <v>10504</v>
      </c>
      <c r="G73" s="544">
        <f>+F73*19%</f>
        <v>1995.76</v>
      </c>
      <c r="H73" s="544">
        <f>+F73+G73</f>
        <v>12499.76</v>
      </c>
      <c r="I73" s="544"/>
      <c r="J73" s="544"/>
      <c r="K73" s="544"/>
      <c r="L73" s="544"/>
      <c r="M73" s="544"/>
      <c r="N73" s="544"/>
      <c r="O73" s="550"/>
      <c r="P73" s="550"/>
      <c r="Q73" s="550"/>
      <c r="R73" s="544">
        <v>11204.481792717088</v>
      </c>
      <c r="S73" s="544">
        <f>+R73*19%</f>
        <v>2128.8515406162469</v>
      </c>
      <c r="T73" s="544">
        <f>+R73+S73</f>
        <v>13333.333333333336</v>
      </c>
      <c r="U73" s="550"/>
      <c r="V73" s="550"/>
      <c r="W73" s="550"/>
      <c r="X73" s="550"/>
      <c r="Y73" s="550"/>
      <c r="Z73" s="550"/>
      <c r="AA73" s="550"/>
      <c r="AB73" s="550"/>
      <c r="AC73" s="550"/>
      <c r="AD73" s="550"/>
      <c r="AE73" s="550"/>
      <c r="AF73" s="550"/>
      <c r="AG73" s="550"/>
      <c r="AH73" s="550"/>
      <c r="AI73" s="550"/>
      <c r="AJ73" s="550"/>
      <c r="AK73" s="550"/>
      <c r="AL73" s="550"/>
      <c r="AM73" s="550"/>
      <c r="AN73" s="550"/>
      <c r="AO73" s="550"/>
      <c r="AP73" s="550"/>
      <c r="AQ73" s="550"/>
      <c r="AR73" s="550"/>
      <c r="AS73" s="550"/>
      <c r="AT73" s="550"/>
      <c r="AU73" s="550"/>
      <c r="AV73" s="550"/>
      <c r="AW73" s="550"/>
      <c r="AX73" s="550"/>
      <c r="AY73" s="550"/>
      <c r="AZ73" s="550"/>
      <c r="BA73" s="550"/>
      <c r="BB73" s="550"/>
      <c r="BC73" s="550"/>
      <c r="BD73" s="550"/>
      <c r="BE73" s="550"/>
      <c r="BF73" s="550"/>
      <c r="BG73" s="550"/>
      <c r="BH73" s="550"/>
      <c r="BI73" s="550"/>
      <c r="BJ73" s="550"/>
      <c r="BK73" s="550"/>
      <c r="BL73" s="550"/>
      <c r="BM73" s="550"/>
      <c r="BN73" s="550"/>
      <c r="BO73" s="550"/>
      <c r="BP73" s="550"/>
      <c r="BQ73" s="550"/>
      <c r="BR73" s="550"/>
      <c r="BS73" s="550"/>
      <c r="BT73" s="550"/>
      <c r="BU73" s="550"/>
      <c r="BV73" s="550"/>
      <c r="BW73" s="550"/>
      <c r="BX73" s="544"/>
      <c r="BY73" s="544"/>
      <c r="BZ73" s="544"/>
      <c r="CA73" s="544"/>
      <c r="CB73" s="544"/>
      <c r="CC73" s="544"/>
      <c r="CD73" s="544"/>
      <c r="CE73" s="544"/>
      <c r="CF73" s="544"/>
      <c r="CG73" s="544"/>
      <c r="CH73" s="544"/>
      <c r="CI73" s="544"/>
      <c r="CJ73" s="544"/>
      <c r="CK73" s="544"/>
      <c r="CL73" s="544"/>
      <c r="CM73" s="544"/>
      <c r="CN73" s="544"/>
      <c r="CO73" s="544"/>
      <c r="CP73" s="544"/>
      <c r="CQ73" s="544">
        <f>+MEDIAN(H73,T73)</f>
        <v>12916.546666666669</v>
      </c>
      <c r="CR73" s="544">
        <f>+AVERAGE(H73,T73)</f>
        <v>12916.546666666669</v>
      </c>
      <c r="CS73" s="544">
        <f>+STDEV(H73,T73)</f>
        <v>589.42535661627596</v>
      </c>
      <c r="CT73" s="545">
        <f t="shared" si="10"/>
        <v>4.5633354783394829E-2</v>
      </c>
      <c r="CU73" s="544">
        <v>10854.621848739496</v>
      </c>
      <c r="CV73" s="544">
        <f t="shared" si="24"/>
        <v>2062.3781512605042</v>
      </c>
      <c r="CW73" s="546">
        <f t="shared" si="22"/>
        <v>12917</v>
      </c>
      <c r="CX73" s="546">
        <f t="shared" si="23"/>
        <v>12917</v>
      </c>
      <c r="CY73" s="551" t="s">
        <v>932</v>
      </c>
    </row>
    <row r="74" spans="1:103" s="549" customFormat="1" ht="29" x14ac:dyDescent="0.35">
      <c r="A74" s="540">
        <v>71</v>
      </c>
      <c r="B74" s="541" t="s">
        <v>161</v>
      </c>
      <c r="C74" s="542" t="s">
        <v>1035</v>
      </c>
      <c r="D74" s="543" t="s">
        <v>67</v>
      </c>
      <c r="E74" s="543">
        <v>1</v>
      </c>
      <c r="F74" s="544"/>
      <c r="G74" s="544"/>
      <c r="H74" s="544"/>
      <c r="I74" s="544"/>
      <c r="J74" s="544"/>
      <c r="K74" s="544"/>
      <c r="L74" s="544"/>
      <c r="M74" s="544"/>
      <c r="N74" s="544"/>
      <c r="O74" s="550"/>
      <c r="P74" s="550"/>
      <c r="Q74" s="550"/>
      <c r="R74" s="544"/>
      <c r="S74" s="544"/>
      <c r="T74" s="544"/>
      <c r="U74" s="550">
        <v>5378.1512605042017</v>
      </c>
      <c r="V74" s="550">
        <f>+U74*0.19</f>
        <v>1021.8487394957983</v>
      </c>
      <c r="W74" s="550">
        <f>+U74+V74</f>
        <v>6400</v>
      </c>
      <c r="X74" s="550"/>
      <c r="Y74" s="550">
        <v>4873.9495798319331</v>
      </c>
      <c r="Z74" s="550">
        <f>+Y74*0.19</f>
        <v>926.05042016806726</v>
      </c>
      <c r="AA74" s="550">
        <f>+Y74+Z74</f>
        <v>5800</v>
      </c>
      <c r="AB74" s="550"/>
      <c r="AC74" s="550"/>
      <c r="AD74" s="550"/>
      <c r="AE74" s="550"/>
      <c r="AF74" s="550"/>
      <c r="AG74" s="550"/>
      <c r="AH74" s="550"/>
      <c r="AI74" s="550"/>
      <c r="AJ74" s="544"/>
      <c r="AK74" s="544"/>
      <c r="AL74" s="544"/>
      <c r="AM74" s="544"/>
      <c r="AN74" s="544"/>
      <c r="AO74" s="544"/>
      <c r="AP74" s="544"/>
      <c r="AQ74" s="550"/>
      <c r="AR74" s="550"/>
      <c r="AS74" s="550"/>
      <c r="AT74" s="550"/>
      <c r="AU74" s="550"/>
      <c r="AV74" s="550"/>
      <c r="AW74" s="550"/>
      <c r="AX74" s="550"/>
      <c r="AY74" s="550"/>
      <c r="AZ74" s="550"/>
      <c r="BA74" s="550"/>
      <c r="BB74" s="550"/>
      <c r="BC74" s="550"/>
      <c r="BD74" s="550"/>
      <c r="BE74" s="550"/>
      <c r="BF74" s="550"/>
      <c r="BG74" s="550"/>
      <c r="BH74" s="550"/>
      <c r="BI74" s="550"/>
      <c r="BJ74" s="550"/>
      <c r="BK74" s="550"/>
      <c r="BL74" s="550"/>
      <c r="BM74" s="550"/>
      <c r="BN74" s="550"/>
      <c r="BO74" s="550"/>
      <c r="BP74" s="550"/>
      <c r="BQ74" s="550"/>
      <c r="BR74" s="550"/>
      <c r="BS74" s="550"/>
      <c r="BT74" s="550"/>
      <c r="BU74" s="550"/>
      <c r="BV74" s="550"/>
      <c r="BW74" s="550"/>
      <c r="BX74" s="544"/>
      <c r="BY74" s="544"/>
      <c r="BZ74" s="544"/>
      <c r="CA74" s="544"/>
      <c r="CB74" s="544"/>
      <c r="CC74" s="544"/>
      <c r="CD74" s="544"/>
      <c r="CE74" s="544"/>
      <c r="CF74" s="544"/>
      <c r="CG74" s="544"/>
      <c r="CH74" s="544"/>
      <c r="CI74" s="544"/>
      <c r="CJ74" s="544"/>
      <c r="CK74" s="544"/>
      <c r="CL74" s="544"/>
      <c r="CM74" s="544"/>
      <c r="CN74" s="544"/>
      <c r="CO74" s="544"/>
      <c r="CP74" s="544"/>
      <c r="CQ74" s="544">
        <f>+MEDIAN(W74,AA74)</f>
        <v>6100</v>
      </c>
      <c r="CR74" s="544">
        <f>+AVERAGE(W74,AA74)</f>
        <v>6100</v>
      </c>
      <c r="CS74" s="544">
        <f>+STDEV(W74,AA74)</f>
        <v>424.26406871192853</v>
      </c>
      <c r="CT74" s="545">
        <f t="shared" si="10"/>
        <v>6.9551486674086643E-2</v>
      </c>
      <c r="CU74" s="544">
        <v>5126.0504201680678</v>
      </c>
      <c r="CV74" s="544">
        <f t="shared" si="24"/>
        <v>973.94957983193285</v>
      </c>
      <c r="CW74" s="546">
        <f t="shared" si="22"/>
        <v>6100</v>
      </c>
      <c r="CX74" s="546">
        <f t="shared" si="23"/>
        <v>6100</v>
      </c>
      <c r="CY74" s="551" t="s">
        <v>932</v>
      </c>
    </row>
    <row r="75" spans="1:103" s="549" customFormat="1" x14ac:dyDescent="0.35">
      <c r="A75" s="540">
        <v>72</v>
      </c>
      <c r="B75" s="541" t="s">
        <v>161</v>
      </c>
      <c r="C75" s="542" t="s">
        <v>1036</v>
      </c>
      <c r="D75" s="543" t="s">
        <v>273</v>
      </c>
      <c r="E75" s="543">
        <v>1</v>
      </c>
      <c r="F75" s="544">
        <v>40336</v>
      </c>
      <c r="G75" s="544">
        <f>+F75*19%</f>
        <v>7663.84</v>
      </c>
      <c r="H75" s="544">
        <f>+F75+G75</f>
        <v>47999.839999999997</v>
      </c>
      <c r="I75" s="544">
        <v>29285.714285714286</v>
      </c>
      <c r="J75" s="544">
        <f>+I75*0.19</f>
        <v>5564.2857142857147</v>
      </c>
      <c r="K75" s="544">
        <f>+I75+J75</f>
        <v>34850</v>
      </c>
      <c r="L75" s="544">
        <v>43373</v>
      </c>
      <c r="M75" s="544">
        <f>+L75*0.19</f>
        <v>8240.8700000000008</v>
      </c>
      <c r="N75" s="544">
        <f>+L75+M75</f>
        <v>51613.87</v>
      </c>
      <c r="O75" s="550"/>
      <c r="P75" s="550"/>
      <c r="Q75" s="550"/>
      <c r="R75" s="550"/>
      <c r="S75" s="550"/>
      <c r="T75" s="550"/>
      <c r="U75" s="550"/>
      <c r="V75" s="550"/>
      <c r="W75" s="550"/>
      <c r="X75" s="550"/>
      <c r="Y75" s="550"/>
      <c r="Z75" s="550"/>
      <c r="AA75" s="550"/>
      <c r="AB75" s="550"/>
      <c r="AC75" s="550"/>
      <c r="AD75" s="550"/>
      <c r="AE75" s="550"/>
      <c r="AF75" s="550"/>
      <c r="AG75" s="550"/>
      <c r="AH75" s="550"/>
      <c r="AI75" s="550"/>
      <c r="AJ75" s="550"/>
      <c r="AK75" s="550"/>
      <c r="AL75" s="550"/>
      <c r="AM75" s="550"/>
      <c r="AN75" s="550"/>
      <c r="AO75" s="550"/>
      <c r="AP75" s="550"/>
      <c r="AQ75" s="550"/>
      <c r="AR75" s="550"/>
      <c r="AS75" s="550"/>
      <c r="AT75" s="550"/>
      <c r="AU75" s="550"/>
      <c r="AV75" s="550"/>
      <c r="AW75" s="550"/>
      <c r="AX75" s="550"/>
      <c r="AY75" s="550"/>
      <c r="AZ75" s="550"/>
      <c r="BA75" s="550"/>
      <c r="BB75" s="550"/>
      <c r="BC75" s="550"/>
      <c r="BD75" s="550"/>
      <c r="BE75" s="550"/>
      <c r="BF75" s="550"/>
      <c r="BG75" s="550"/>
      <c r="BH75" s="550"/>
      <c r="BI75" s="550"/>
      <c r="BJ75" s="550"/>
      <c r="BK75" s="550"/>
      <c r="BL75" s="550"/>
      <c r="BM75" s="550"/>
      <c r="BN75" s="550"/>
      <c r="BO75" s="550"/>
      <c r="BP75" s="550"/>
      <c r="BQ75" s="550"/>
      <c r="BR75" s="550"/>
      <c r="BS75" s="550"/>
      <c r="BT75" s="550"/>
      <c r="BU75" s="550"/>
      <c r="BV75" s="550"/>
      <c r="BW75" s="550"/>
      <c r="BX75" s="544"/>
      <c r="BY75" s="544"/>
      <c r="BZ75" s="544"/>
      <c r="CA75" s="544"/>
      <c r="CB75" s="544"/>
      <c r="CC75" s="544"/>
      <c r="CD75" s="544"/>
      <c r="CE75" s="544"/>
      <c r="CF75" s="544"/>
      <c r="CG75" s="544"/>
      <c r="CH75" s="544"/>
      <c r="CI75" s="544"/>
      <c r="CJ75" s="544"/>
      <c r="CK75" s="544"/>
      <c r="CL75" s="544"/>
      <c r="CM75" s="544"/>
      <c r="CN75" s="544"/>
      <c r="CO75" s="544"/>
      <c r="CP75" s="544"/>
      <c r="CQ75" s="544">
        <f>+MEDIAN(H75,K75,N75)</f>
        <v>47999.839999999997</v>
      </c>
      <c r="CR75" s="544">
        <f>+AVERAGE(H75,K75,N75)</f>
        <v>44821.236666666664</v>
      </c>
      <c r="CS75" s="544">
        <f>+STDEV(H75,K75,N75)</f>
        <v>8822.3848083856501</v>
      </c>
      <c r="CT75" s="545">
        <f t="shared" si="10"/>
        <v>0.19683492613105016</v>
      </c>
      <c r="CU75" s="544">
        <v>40336.134453781517</v>
      </c>
      <c r="CV75" s="544">
        <f t="shared" si="24"/>
        <v>7663.8655462184879</v>
      </c>
      <c r="CW75" s="546">
        <f t="shared" si="22"/>
        <v>48000</v>
      </c>
      <c r="CX75" s="546">
        <f t="shared" si="23"/>
        <v>48000</v>
      </c>
      <c r="CY75" s="551" t="s">
        <v>929</v>
      </c>
    </row>
    <row r="76" spans="1:103" s="549" customFormat="1" ht="186.75" customHeight="1" x14ac:dyDescent="0.35">
      <c r="A76" s="540">
        <v>73</v>
      </c>
      <c r="B76" s="541" t="s">
        <v>1037</v>
      </c>
      <c r="C76" s="542" t="s">
        <v>1038</v>
      </c>
      <c r="D76" s="543" t="s">
        <v>928</v>
      </c>
      <c r="E76" s="543">
        <v>1</v>
      </c>
      <c r="F76" s="544"/>
      <c r="G76" s="544"/>
      <c r="H76" s="544"/>
      <c r="I76" s="544"/>
      <c r="J76" s="544"/>
      <c r="K76" s="544"/>
      <c r="L76" s="544"/>
      <c r="M76" s="544"/>
      <c r="N76" s="544"/>
      <c r="O76" s="550"/>
      <c r="P76" s="550"/>
      <c r="Q76" s="550"/>
      <c r="R76" s="544">
        <v>20588.235294117647</v>
      </c>
      <c r="S76" s="544">
        <f>+R76*19%</f>
        <v>3911.7647058823532</v>
      </c>
      <c r="T76" s="544">
        <f>+R76+S76</f>
        <v>24500</v>
      </c>
      <c r="U76" s="550"/>
      <c r="V76" s="550"/>
      <c r="W76" s="550"/>
      <c r="X76" s="550"/>
      <c r="Y76" s="550"/>
      <c r="Z76" s="550"/>
      <c r="AA76" s="550"/>
      <c r="AB76" s="544"/>
      <c r="AC76" s="544"/>
      <c r="AD76" s="544"/>
      <c r="AE76" s="544">
        <f>18823.5294117647</f>
        <v>18823.529411764699</v>
      </c>
      <c r="AF76" s="544">
        <f>+AE76*19%</f>
        <v>3576.4705882352928</v>
      </c>
      <c r="AG76" s="544">
        <f>+AE76+AF76</f>
        <v>22399.999999999993</v>
      </c>
      <c r="AH76" s="544">
        <f>+AG76*15%</f>
        <v>3359.9999999999986</v>
      </c>
      <c r="AI76" s="544">
        <f>+AG76+AH76</f>
        <v>25759.999999999993</v>
      </c>
      <c r="AJ76" s="544"/>
      <c r="AK76" s="544"/>
      <c r="AL76" s="544"/>
      <c r="AM76" s="544"/>
      <c r="AN76" s="544"/>
      <c r="AO76" s="544"/>
      <c r="AP76" s="544"/>
      <c r="AQ76" s="550"/>
      <c r="AR76" s="550"/>
      <c r="AS76" s="550"/>
      <c r="AT76" s="550"/>
      <c r="AU76" s="550"/>
      <c r="AV76" s="550"/>
      <c r="AW76" s="550"/>
      <c r="AX76" s="550"/>
      <c r="AY76" s="550"/>
      <c r="AZ76" s="550"/>
      <c r="BA76" s="550"/>
      <c r="BB76" s="550"/>
      <c r="BC76" s="550"/>
      <c r="BD76" s="550"/>
      <c r="BE76" s="550"/>
      <c r="BF76" s="550"/>
      <c r="BG76" s="550"/>
      <c r="BH76" s="550"/>
      <c r="BI76" s="550"/>
      <c r="BJ76" s="550"/>
      <c r="BK76" s="550"/>
      <c r="BL76" s="550"/>
      <c r="BM76" s="550"/>
      <c r="BN76" s="550"/>
      <c r="BO76" s="550"/>
      <c r="BP76" s="550"/>
      <c r="BQ76" s="550"/>
      <c r="BR76" s="550"/>
      <c r="BS76" s="550"/>
      <c r="BT76" s="550"/>
      <c r="BU76" s="550"/>
      <c r="BV76" s="550"/>
      <c r="BW76" s="550"/>
      <c r="BX76" s="544"/>
      <c r="BY76" s="544"/>
      <c r="BZ76" s="544"/>
      <c r="CA76" s="544"/>
      <c r="CB76" s="544"/>
      <c r="CC76" s="544"/>
      <c r="CD76" s="544"/>
      <c r="CE76" s="544"/>
      <c r="CF76" s="544"/>
      <c r="CG76" s="544"/>
      <c r="CH76" s="544"/>
      <c r="CI76" s="544"/>
      <c r="CJ76" s="544"/>
      <c r="CK76" s="544"/>
      <c r="CL76" s="544"/>
      <c r="CM76" s="544"/>
      <c r="CN76" s="544"/>
      <c r="CO76" s="544"/>
      <c r="CP76" s="544"/>
      <c r="CQ76" s="544">
        <f>+MEDIAN(T76,AI76)</f>
        <v>25129.999999999996</v>
      </c>
      <c r="CR76" s="544">
        <f>+AVERAGE(T76,AI76)</f>
        <v>25129.999999999996</v>
      </c>
      <c r="CS76" s="544">
        <f>+STDEV(T76,AI76)</f>
        <v>890.95454429504468</v>
      </c>
      <c r="CT76" s="545">
        <f t="shared" si="10"/>
        <v>3.5453821897932544E-2</v>
      </c>
      <c r="CU76" s="544">
        <v>21117.647058823532</v>
      </c>
      <c r="CV76" s="544">
        <f t="shared" si="24"/>
        <v>4012.3529411764712</v>
      </c>
      <c r="CW76" s="546">
        <f t="shared" si="22"/>
        <v>25130</v>
      </c>
      <c r="CX76" s="546">
        <f t="shared" si="23"/>
        <v>25130</v>
      </c>
      <c r="CY76" s="547" t="s">
        <v>932</v>
      </c>
    </row>
    <row r="77" spans="1:103" s="549" customFormat="1" ht="29" x14ac:dyDescent="0.35">
      <c r="A77" s="540">
        <v>74</v>
      </c>
      <c r="B77" s="541" t="s">
        <v>1039</v>
      </c>
      <c r="C77" s="542" t="s">
        <v>153</v>
      </c>
      <c r="D77" s="543" t="s">
        <v>928</v>
      </c>
      <c r="E77" s="543">
        <v>1</v>
      </c>
      <c r="F77" s="544"/>
      <c r="G77" s="544"/>
      <c r="H77" s="544"/>
      <c r="I77" s="544"/>
      <c r="J77" s="544"/>
      <c r="K77" s="544"/>
      <c r="L77" s="544"/>
      <c r="M77" s="544"/>
      <c r="N77" s="544"/>
      <c r="O77" s="550"/>
      <c r="P77" s="550"/>
      <c r="Q77" s="550"/>
      <c r="R77" s="544"/>
      <c r="S77" s="544"/>
      <c r="T77" s="544"/>
      <c r="U77" s="550">
        <v>124.36974789915966</v>
      </c>
      <c r="V77" s="550">
        <f>+U77*0.19</f>
        <v>23.630252100840337</v>
      </c>
      <c r="W77" s="550">
        <f>+U77+V77</f>
        <v>148</v>
      </c>
      <c r="X77" s="550"/>
      <c r="Y77" s="550">
        <v>151.26050420168067</v>
      </c>
      <c r="Z77" s="550">
        <f>+Y77*0.19</f>
        <v>28.739495798319329</v>
      </c>
      <c r="AA77" s="550">
        <f>+Y77+Z77</f>
        <v>180</v>
      </c>
      <c r="AB77" s="550"/>
      <c r="AC77" s="550"/>
      <c r="AD77" s="550"/>
      <c r="AE77" s="550"/>
      <c r="AF77" s="550"/>
      <c r="AG77" s="550"/>
      <c r="AH77" s="550"/>
      <c r="AI77" s="550"/>
      <c r="AJ77" s="550"/>
      <c r="AK77" s="550"/>
      <c r="AL77" s="550"/>
      <c r="AM77" s="550"/>
      <c r="AN77" s="550"/>
      <c r="AO77" s="550"/>
      <c r="AP77" s="550"/>
      <c r="AQ77" s="550"/>
      <c r="AR77" s="550"/>
      <c r="AS77" s="550"/>
      <c r="AT77" s="550"/>
      <c r="AU77" s="550"/>
      <c r="AV77" s="550"/>
      <c r="AW77" s="550"/>
      <c r="AX77" s="550"/>
      <c r="AY77" s="550"/>
      <c r="AZ77" s="550"/>
      <c r="BA77" s="550"/>
      <c r="BB77" s="550"/>
      <c r="BC77" s="550"/>
      <c r="BD77" s="550"/>
      <c r="BE77" s="550"/>
      <c r="BF77" s="550"/>
      <c r="BG77" s="550"/>
      <c r="BH77" s="550"/>
      <c r="BI77" s="550"/>
      <c r="BJ77" s="550"/>
      <c r="BK77" s="550"/>
      <c r="BL77" s="550"/>
      <c r="BM77" s="550"/>
      <c r="BN77" s="550"/>
      <c r="BO77" s="550"/>
      <c r="BP77" s="550"/>
      <c r="BQ77" s="550"/>
      <c r="BR77" s="550"/>
      <c r="BS77" s="550"/>
      <c r="BT77" s="550"/>
      <c r="BU77" s="550"/>
      <c r="BV77" s="550"/>
      <c r="BW77" s="550"/>
      <c r="BX77" s="544"/>
      <c r="BY77" s="544"/>
      <c r="BZ77" s="544"/>
      <c r="CA77" s="544"/>
      <c r="CB77" s="544"/>
      <c r="CC77" s="544"/>
      <c r="CD77" s="544"/>
      <c r="CE77" s="544"/>
      <c r="CF77" s="544"/>
      <c r="CG77" s="544"/>
      <c r="CH77" s="544"/>
      <c r="CI77" s="544"/>
      <c r="CJ77" s="544"/>
      <c r="CK77" s="544"/>
      <c r="CL77" s="544"/>
      <c r="CM77" s="544"/>
      <c r="CN77" s="544"/>
      <c r="CO77" s="544"/>
      <c r="CP77" s="544"/>
      <c r="CQ77" s="544">
        <f>+MEDIAN(W77,AA77)</f>
        <v>164</v>
      </c>
      <c r="CR77" s="544">
        <f>+AVERAGE(W77,AA77)</f>
        <v>164</v>
      </c>
      <c r="CS77" s="544">
        <f>+STDEV(W77,AA77)</f>
        <v>22.627416997969522</v>
      </c>
      <c r="CT77" s="545">
        <f t="shared" si="10"/>
        <v>0.13797205486566783</v>
      </c>
      <c r="CU77" s="544">
        <v>137.81512605042016</v>
      </c>
      <c r="CV77" s="544">
        <f t="shared" si="24"/>
        <v>26.184873949579831</v>
      </c>
      <c r="CW77" s="546">
        <f t="shared" si="22"/>
        <v>164</v>
      </c>
      <c r="CX77" s="546">
        <f t="shared" si="23"/>
        <v>164</v>
      </c>
      <c r="CY77" s="547" t="s">
        <v>932</v>
      </c>
    </row>
    <row r="78" spans="1:103" s="549" customFormat="1" ht="55.5" customHeight="1" x14ac:dyDescent="0.35">
      <c r="A78" s="540">
        <v>75</v>
      </c>
      <c r="B78" s="541" t="s">
        <v>1040</v>
      </c>
      <c r="C78" s="542" t="s">
        <v>1041</v>
      </c>
      <c r="D78" s="543" t="s">
        <v>67</v>
      </c>
      <c r="E78" s="543">
        <v>1</v>
      </c>
      <c r="F78" s="544"/>
      <c r="G78" s="544"/>
      <c r="H78" s="544"/>
      <c r="I78" s="544"/>
      <c r="J78" s="544"/>
      <c r="K78" s="544"/>
      <c r="L78" s="544"/>
      <c r="M78" s="544"/>
      <c r="N78" s="544"/>
      <c r="O78" s="550"/>
      <c r="P78" s="550"/>
      <c r="Q78" s="550"/>
      <c r="R78" s="544">
        <v>21008.403361344539</v>
      </c>
      <c r="S78" s="544">
        <f>+R78*19%</f>
        <v>3991.5966386554624</v>
      </c>
      <c r="T78" s="544">
        <f>+R78+S78</f>
        <v>25000</v>
      </c>
      <c r="U78" s="550"/>
      <c r="V78" s="550"/>
      <c r="W78" s="550"/>
      <c r="X78" s="550"/>
      <c r="Y78" s="550"/>
      <c r="Z78" s="550"/>
      <c r="AA78" s="550"/>
      <c r="AB78" s="550"/>
      <c r="AC78" s="550"/>
      <c r="AD78" s="550"/>
      <c r="AE78" s="550"/>
      <c r="AF78" s="550"/>
      <c r="AG78" s="550"/>
      <c r="AH78" s="550"/>
      <c r="AI78" s="550"/>
      <c r="AJ78" s="550"/>
      <c r="AK78" s="550"/>
      <c r="AL78" s="550"/>
      <c r="AM78" s="550"/>
      <c r="AN78" s="550"/>
      <c r="AO78" s="550"/>
      <c r="AP78" s="550"/>
      <c r="AQ78" s="550"/>
      <c r="AR78" s="550"/>
      <c r="AS78" s="550"/>
      <c r="AT78" s="550"/>
      <c r="AU78" s="550"/>
      <c r="AV78" s="550"/>
      <c r="AW78" s="550"/>
      <c r="AX78" s="550"/>
      <c r="AY78" s="550"/>
      <c r="AZ78" s="550"/>
      <c r="BA78" s="550"/>
      <c r="BB78" s="550"/>
      <c r="BC78" s="550"/>
      <c r="BD78" s="550">
        <v>21428.571428571431</v>
      </c>
      <c r="BE78" s="550">
        <f>+BD78*0.19</f>
        <v>4071.428571428572</v>
      </c>
      <c r="BF78" s="550">
        <f>+BD78+BE78</f>
        <v>25500.000000000004</v>
      </c>
      <c r="BG78" s="550">
        <f>+BF78*15%</f>
        <v>3825.0000000000005</v>
      </c>
      <c r="BH78" s="550">
        <f>+BF78+BG78</f>
        <v>29325.000000000004</v>
      </c>
      <c r="BI78" s="550"/>
      <c r="BJ78" s="550"/>
      <c r="BK78" s="550"/>
      <c r="BL78" s="550"/>
      <c r="BM78" s="550"/>
      <c r="BN78" s="550"/>
      <c r="BO78" s="550"/>
      <c r="BP78" s="550"/>
      <c r="BQ78" s="550"/>
      <c r="BR78" s="550"/>
      <c r="BS78" s="550"/>
      <c r="BT78" s="550"/>
      <c r="BU78" s="550"/>
      <c r="BV78" s="550"/>
      <c r="BW78" s="550"/>
      <c r="BX78" s="544"/>
      <c r="BY78" s="544"/>
      <c r="BZ78" s="544"/>
      <c r="CA78" s="544"/>
      <c r="CB78" s="544"/>
      <c r="CC78" s="544"/>
      <c r="CD78" s="544"/>
      <c r="CE78" s="544"/>
      <c r="CF78" s="544"/>
      <c r="CG78" s="544"/>
      <c r="CH78" s="544"/>
      <c r="CI78" s="544"/>
      <c r="CJ78" s="544"/>
      <c r="CK78" s="544"/>
      <c r="CL78" s="544"/>
      <c r="CM78" s="544"/>
      <c r="CN78" s="544"/>
      <c r="CO78" s="544"/>
      <c r="CP78" s="544"/>
      <c r="CQ78" s="544">
        <f>+MEDIAN(T78,BH78)</f>
        <v>27162.5</v>
      </c>
      <c r="CR78" s="544">
        <f>+AVERAGE(T78,BH78)</f>
        <v>27162.5</v>
      </c>
      <c r="CS78" s="544">
        <f>+STDEV(T78,BH78)</f>
        <v>3058.2368286318206</v>
      </c>
      <c r="CT78" s="545">
        <f t="shared" si="10"/>
        <v>0.11259040326302147</v>
      </c>
      <c r="CU78" s="544">
        <v>22826.050420168067</v>
      </c>
      <c r="CV78" s="544">
        <f t="shared" si="24"/>
        <v>4336.9495798319331</v>
      </c>
      <c r="CW78" s="546">
        <f t="shared" si="22"/>
        <v>27163</v>
      </c>
      <c r="CX78" s="546">
        <f t="shared" si="23"/>
        <v>27163</v>
      </c>
      <c r="CY78" s="547" t="s">
        <v>932</v>
      </c>
    </row>
    <row r="79" spans="1:103" s="549" customFormat="1" ht="48.75" customHeight="1" x14ac:dyDescent="0.35">
      <c r="A79" s="540">
        <v>76</v>
      </c>
      <c r="B79" s="541" t="s">
        <v>1042</v>
      </c>
      <c r="C79" s="542" t="s">
        <v>1043</v>
      </c>
      <c r="D79" s="543" t="s">
        <v>928</v>
      </c>
      <c r="E79" s="543">
        <v>1</v>
      </c>
      <c r="F79" s="544"/>
      <c r="G79" s="544"/>
      <c r="H79" s="544"/>
      <c r="I79" s="544"/>
      <c r="J79" s="544"/>
      <c r="K79" s="544"/>
      <c r="L79" s="544"/>
      <c r="M79" s="544"/>
      <c r="N79" s="544"/>
      <c r="O79" s="550"/>
      <c r="P79" s="550"/>
      <c r="Q79" s="550"/>
      <c r="R79" s="544"/>
      <c r="S79" s="544"/>
      <c r="T79" s="544"/>
      <c r="U79" s="550">
        <v>159663.8655462185</v>
      </c>
      <c r="V79" s="550">
        <f>+U79*0.19</f>
        <v>30336.134453781517</v>
      </c>
      <c r="W79" s="550">
        <f>+U79+V79</f>
        <v>190000</v>
      </c>
      <c r="X79" s="550"/>
      <c r="Y79" s="550">
        <v>196008.40336134454</v>
      </c>
      <c r="Z79" s="550">
        <f>+Y79*0.19</f>
        <v>37241.596638655465</v>
      </c>
      <c r="AA79" s="550">
        <f>+Y79+Z79</f>
        <v>233250</v>
      </c>
      <c r="AB79" s="550"/>
      <c r="AC79" s="550"/>
      <c r="AD79" s="550"/>
      <c r="AE79" s="550"/>
      <c r="AF79" s="550"/>
      <c r="AG79" s="550"/>
      <c r="AH79" s="550"/>
      <c r="AI79" s="550"/>
      <c r="AJ79" s="544"/>
      <c r="AK79" s="544"/>
      <c r="AL79" s="544"/>
      <c r="AM79" s="544"/>
      <c r="AN79" s="544"/>
      <c r="AO79" s="544">
        <v>218487.3949579832</v>
      </c>
      <c r="AP79" s="544">
        <f>+AO79*0.19</f>
        <v>41512.60504201681</v>
      </c>
      <c r="AQ79" s="544">
        <f>+AO79+AP79</f>
        <v>260000</v>
      </c>
      <c r="AR79" s="544">
        <f>+AQ79*15%</f>
        <v>39000</v>
      </c>
      <c r="AS79" s="544">
        <f>+AQ79+AR79</f>
        <v>299000</v>
      </c>
      <c r="AT79" s="544"/>
      <c r="AU79" s="544"/>
      <c r="AV79" s="544"/>
      <c r="AW79" s="544"/>
      <c r="AX79" s="544"/>
      <c r="AY79" s="544"/>
      <c r="AZ79" s="544"/>
      <c r="BA79" s="544"/>
      <c r="BB79" s="544"/>
      <c r="BC79" s="544"/>
      <c r="BD79" s="550"/>
      <c r="BE79" s="550"/>
      <c r="BF79" s="550"/>
      <c r="BG79" s="550"/>
      <c r="BH79" s="550"/>
      <c r="BI79" s="550"/>
      <c r="BJ79" s="550"/>
      <c r="BK79" s="550"/>
      <c r="BL79" s="550"/>
      <c r="BM79" s="550"/>
      <c r="BN79" s="550"/>
      <c r="BO79" s="550"/>
      <c r="BP79" s="550"/>
      <c r="BQ79" s="550"/>
      <c r="BR79" s="550"/>
      <c r="BS79" s="550"/>
      <c r="BT79" s="550"/>
      <c r="BU79" s="550"/>
      <c r="BV79" s="550"/>
      <c r="BW79" s="550"/>
      <c r="BX79" s="544"/>
      <c r="BY79" s="544"/>
      <c r="BZ79" s="544"/>
      <c r="CA79" s="544"/>
      <c r="CB79" s="544"/>
      <c r="CC79" s="544"/>
      <c r="CD79" s="544"/>
      <c r="CE79" s="544"/>
      <c r="CF79" s="544"/>
      <c r="CG79" s="544"/>
      <c r="CH79" s="544"/>
      <c r="CI79" s="544"/>
      <c r="CJ79" s="544"/>
      <c r="CK79" s="544"/>
      <c r="CL79" s="544"/>
      <c r="CM79" s="544"/>
      <c r="CN79" s="544"/>
      <c r="CO79" s="544"/>
      <c r="CP79" s="544"/>
      <c r="CQ79" s="544">
        <f>+MEDIAN(W79,AA79,AS79)</f>
        <v>233250</v>
      </c>
      <c r="CR79" s="544">
        <f>+AVERAGE(W79,AA79,AS79)</f>
        <v>240750</v>
      </c>
      <c r="CS79" s="544">
        <f>+STDEV(W79,AA79,AS79)</f>
        <v>54885.67663789889</v>
      </c>
      <c r="CT79" s="545">
        <f t="shared" si="10"/>
        <v>0.22797788842325603</v>
      </c>
      <c r="CU79" s="544">
        <v>196008.40336134454</v>
      </c>
      <c r="CV79" s="544">
        <f>+CU79*19%</f>
        <v>37241.596638655465</v>
      </c>
      <c r="CW79" s="546">
        <f t="shared" si="22"/>
        <v>233250</v>
      </c>
      <c r="CX79" s="546">
        <f t="shared" si="23"/>
        <v>233250</v>
      </c>
      <c r="CY79" s="547" t="s">
        <v>929</v>
      </c>
    </row>
    <row r="80" spans="1:103" s="549" customFormat="1" ht="29" x14ac:dyDescent="0.35">
      <c r="A80" s="540">
        <v>77</v>
      </c>
      <c r="B80" s="541" t="s">
        <v>1044</v>
      </c>
      <c r="C80" s="542" t="s">
        <v>1045</v>
      </c>
      <c r="D80" s="543" t="s">
        <v>928</v>
      </c>
      <c r="E80" s="543">
        <v>1</v>
      </c>
      <c r="F80" s="544">
        <v>4370</v>
      </c>
      <c r="G80" s="544">
        <f>+F80*19%</f>
        <v>830.3</v>
      </c>
      <c r="H80" s="544">
        <f>+F80+G80</f>
        <v>5200.3</v>
      </c>
      <c r="I80" s="544">
        <v>2185</v>
      </c>
      <c r="J80" s="544">
        <f>+I80*0.19</f>
        <v>415.15</v>
      </c>
      <c r="K80" s="544">
        <f>+I80+J80</f>
        <v>2600.15</v>
      </c>
      <c r="L80" s="544">
        <v>1872</v>
      </c>
      <c r="M80" s="544">
        <f>+L80*0.19</f>
        <v>355.68</v>
      </c>
      <c r="N80" s="544">
        <f>+L80+M80</f>
        <v>2227.6799999999998</v>
      </c>
      <c r="O80" s="550"/>
      <c r="P80" s="550"/>
      <c r="Q80" s="550"/>
      <c r="R80" s="550"/>
      <c r="S80" s="550"/>
      <c r="T80" s="550"/>
      <c r="U80" s="550"/>
      <c r="V80" s="550"/>
      <c r="W80" s="550"/>
      <c r="X80" s="550"/>
      <c r="Y80" s="550"/>
      <c r="Z80" s="550"/>
      <c r="AA80" s="550"/>
      <c r="AB80" s="550"/>
      <c r="AC80" s="550"/>
      <c r="AD80" s="550"/>
      <c r="AE80" s="550"/>
      <c r="AF80" s="550"/>
      <c r="AG80" s="550"/>
      <c r="AH80" s="550"/>
      <c r="AI80" s="550"/>
      <c r="AJ80" s="550"/>
      <c r="AK80" s="550"/>
      <c r="AL80" s="550"/>
      <c r="AM80" s="550"/>
      <c r="AN80" s="550"/>
      <c r="AO80" s="550"/>
      <c r="AP80" s="550"/>
      <c r="AQ80" s="550"/>
      <c r="AR80" s="550"/>
      <c r="AS80" s="550"/>
      <c r="AT80" s="550"/>
      <c r="AU80" s="550"/>
      <c r="AV80" s="550"/>
      <c r="AW80" s="550"/>
      <c r="AX80" s="550"/>
      <c r="AY80" s="550"/>
      <c r="AZ80" s="550"/>
      <c r="BA80" s="550"/>
      <c r="BB80" s="550"/>
      <c r="BC80" s="550"/>
      <c r="BD80" s="550"/>
      <c r="BE80" s="550"/>
      <c r="BF80" s="550"/>
      <c r="BG80" s="550"/>
      <c r="BH80" s="550"/>
      <c r="BI80" s="550"/>
      <c r="BJ80" s="550"/>
      <c r="BK80" s="550"/>
      <c r="BL80" s="550"/>
      <c r="BM80" s="550"/>
      <c r="BN80" s="550"/>
      <c r="BO80" s="550"/>
      <c r="BP80" s="550"/>
      <c r="BQ80" s="550"/>
      <c r="BR80" s="550"/>
      <c r="BS80" s="550"/>
      <c r="BT80" s="550"/>
      <c r="BU80" s="550"/>
      <c r="BV80" s="550"/>
      <c r="BW80" s="550"/>
      <c r="BX80" s="544"/>
      <c r="BY80" s="544"/>
      <c r="BZ80" s="544"/>
      <c r="CA80" s="544"/>
      <c r="CB80" s="544"/>
      <c r="CC80" s="544"/>
      <c r="CD80" s="544"/>
      <c r="CE80" s="544"/>
      <c r="CF80" s="544"/>
      <c r="CG80" s="544"/>
      <c r="CH80" s="544"/>
      <c r="CI80" s="544"/>
      <c r="CJ80" s="544"/>
      <c r="CK80" s="544"/>
      <c r="CL80" s="544"/>
      <c r="CM80" s="544"/>
      <c r="CN80" s="544"/>
      <c r="CO80" s="544"/>
      <c r="CP80" s="544"/>
      <c r="CQ80" s="544">
        <f>+MEDIAN(K80,N80)</f>
        <v>2413.915</v>
      </c>
      <c r="CR80" s="544">
        <f>+AVERAGE(K80,N80)</f>
        <v>2413.915</v>
      </c>
      <c r="CS80" s="544">
        <f>+STDEV(K80,N80)</f>
        <v>263.37606278855355</v>
      </c>
      <c r="CT80" s="545">
        <f t="shared" si="10"/>
        <v>0.10910743037288122</v>
      </c>
      <c r="CU80" s="544">
        <v>2028.5714285714287</v>
      </c>
      <c r="CV80" s="544">
        <f t="shared" si="24"/>
        <v>385.42857142857144</v>
      </c>
      <c r="CW80" s="546">
        <f t="shared" si="22"/>
        <v>2414</v>
      </c>
      <c r="CX80" s="546">
        <f t="shared" si="23"/>
        <v>2414</v>
      </c>
      <c r="CY80" s="547" t="s">
        <v>932</v>
      </c>
    </row>
    <row r="81" spans="1:103" s="549" customFormat="1" ht="29" x14ac:dyDescent="0.35">
      <c r="A81" s="540">
        <v>78</v>
      </c>
      <c r="B81" s="541" t="s">
        <v>1044</v>
      </c>
      <c r="C81" s="542" t="s">
        <v>1046</v>
      </c>
      <c r="D81" s="543" t="s">
        <v>928</v>
      </c>
      <c r="E81" s="543">
        <v>1</v>
      </c>
      <c r="F81" s="544"/>
      <c r="G81" s="544"/>
      <c r="H81" s="544"/>
      <c r="I81" s="544">
        <v>6639</v>
      </c>
      <c r="J81" s="544">
        <f>+I81*0.19</f>
        <v>1261.4100000000001</v>
      </c>
      <c r="K81" s="544">
        <f>+I81+J81</f>
        <v>7900.41</v>
      </c>
      <c r="L81" s="544">
        <v>6797</v>
      </c>
      <c r="M81" s="544">
        <f>+L81*0.19</f>
        <v>1291.43</v>
      </c>
      <c r="N81" s="544">
        <f>+L81+M81</f>
        <v>8088.43</v>
      </c>
      <c r="O81" s="550"/>
      <c r="P81" s="550"/>
      <c r="Q81" s="550"/>
      <c r="R81" s="544"/>
      <c r="S81" s="544"/>
      <c r="T81" s="553"/>
      <c r="U81" s="550"/>
      <c r="V81" s="550"/>
      <c r="W81" s="550"/>
      <c r="X81" s="550"/>
      <c r="Y81" s="550"/>
      <c r="Z81" s="550"/>
      <c r="AA81" s="550"/>
      <c r="AB81" s="550"/>
      <c r="AC81" s="550"/>
      <c r="AD81" s="550"/>
      <c r="AE81" s="550"/>
      <c r="AF81" s="550"/>
      <c r="AG81" s="550"/>
      <c r="AH81" s="550"/>
      <c r="AI81" s="550"/>
      <c r="AJ81" s="550"/>
      <c r="AK81" s="550"/>
      <c r="AL81" s="550"/>
      <c r="AM81" s="550"/>
      <c r="AN81" s="550"/>
      <c r="AO81" s="550"/>
      <c r="AP81" s="550"/>
      <c r="AQ81" s="550"/>
      <c r="AR81" s="550"/>
      <c r="AS81" s="550"/>
      <c r="AT81" s="550"/>
      <c r="AU81" s="550"/>
      <c r="AV81" s="550"/>
      <c r="AW81" s="550"/>
      <c r="AX81" s="550"/>
      <c r="AY81" s="550"/>
      <c r="AZ81" s="550"/>
      <c r="BA81" s="550"/>
      <c r="BB81" s="550"/>
      <c r="BC81" s="550"/>
      <c r="BD81" s="550"/>
      <c r="BE81" s="550"/>
      <c r="BF81" s="550"/>
      <c r="BG81" s="550"/>
      <c r="BH81" s="550"/>
      <c r="BI81" s="550"/>
      <c r="BJ81" s="550"/>
      <c r="BK81" s="550"/>
      <c r="BL81" s="550"/>
      <c r="BM81" s="550"/>
      <c r="BN81" s="550"/>
      <c r="BO81" s="550"/>
      <c r="BP81" s="550"/>
      <c r="BQ81" s="550"/>
      <c r="BR81" s="550"/>
      <c r="BS81" s="550"/>
      <c r="BT81" s="550"/>
      <c r="BU81" s="550"/>
      <c r="BV81" s="550"/>
      <c r="BW81" s="550"/>
      <c r="BX81" s="544"/>
      <c r="BY81" s="544"/>
      <c r="BZ81" s="544"/>
      <c r="CA81" s="544"/>
      <c r="CB81" s="544"/>
      <c r="CC81" s="544"/>
      <c r="CD81" s="544"/>
      <c r="CE81" s="544"/>
      <c r="CF81" s="544"/>
      <c r="CG81" s="544"/>
      <c r="CH81" s="544"/>
      <c r="CI81" s="544"/>
      <c r="CJ81" s="544"/>
      <c r="CK81" s="544"/>
      <c r="CL81" s="544"/>
      <c r="CM81" s="544"/>
      <c r="CN81" s="544"/>
      <c r="CO81" s="544"/>
      <c r="CP81" s="544"/>
      <c r="CQ81" s="544">
        <f>+MEDIAN(K81,N81)</f>
        <v>7994.42</v>
      </c>
      <c r="CR81" s="544">
        <f>+AVERAGE(K81,N81)</f>
        <v>7994.42</v>
      </c>
      <c r="CS81" s="544">
        <f>+STDEV(K81,N81)</f>
        <v>132.95021699869497</v>
      </c>
      <c r="CT81" s="545">
        <f t="shared" si="10"/>
        <v>1.6630376812663702E-2</v>
      </c>
      <c r="CU81" s="544">
        <v>6718.4873949579833</v>
      </c>
      <c r="CV81" s="544">
        <f t="shared" si="24"/>
        <v>1276.5126050420167</v>
      </c>
      <c r="CW81" s="546">
        <f t="shared" si="22"/>
        <v>7995</v>
      </c>
      <c r="CX81" s="546">
        <f t="shared" si="23"/>
        <v>7995</v>
      </c>
      <c r="CY81" s="551" t="s">
        <v>932</v>
      </c>
    </row>
    <row r="82" spans="1:103" s="549" customFormat="1" ht="61.5" customHeight="1" x14ac:dyDescent="0.35">
      <c r="A82" s="540">
        <v>79</v>
      </c>
      <c r="B82" s="541" t="s">
        <v>1047</v>
      </c>
      <c r="C82" s="542" t="s">
        <v>1048</v>
      </c>
      <c r="D82" s="543" t="s">
        <v>928</v>
      </c>
      <c r="E82" s="543">
        <v>1</v>
      </c>
      <c r="F82" s="544">
        <v>268908</v>
      </c>
      <c r="G82" s="544">
        <f>+F82*19%</f>
        <v>51092.520000000004</v>
      </c>
      <c r="H82" s="544">
        <f>+F82+G82</f>
        <v>320000.52</v>
      </c>
      <c r="I82" s="544"/>
      <c r="J82" s="544"/>
      <c r="K82" s="544"/>
      <c r="L82" s="544">
        <v>333331</v>
      </c>
      <c r="M82" s="544">
        <f>+L82*0.19</f>
        <v>63332.89</v>
      </c>
      <c r="N82" s="544">
        <f>+L82+M82</f>
        <v>396663.89</v>
      </c>
      <c r="O82" s="550"/>
      <c r="P82" s="550"/>
      <c r="Q82" s="550"/>
      <c r="R82" s="550"/>
      <c r="S82" s="550"/>
      <c r="T82" s="550"/>
      <c r="U82" s="550"/>
      <c r="V82" s="550"/>
      <c r="W82" s="550"/>
      <c r="X82" s="550"/>
      <c r="Y82" s="550"/>
      <c r="Z82" s="550"/>
      <c r="AA82" s="550"/>
      <c r="AB82" s="550"/>
      <c r="AC82" s="550"/>
      <c r="AD82" s="550"/>
      <c r="AE82" s="550"/>
      <c r="AF82" s="550"/>
      <c r="AG82" s="550"/>
      <c r="AH82" s="550"/>
      <c r="AI82" s="550"/>
      <c r="AJ82" s="550"/>
      <c r="AK82" s="550"/>
      <c r="AL82" s="550"/>
      <c r="AM82" s="550"/>
      <c r="AN82" s="550"/>
      <c r="AO82" s="550"/>
      <c r="AP82" s="550"/>
      <c r="AQ82" s="550"/>
      <c r="AR82" s="550"/>
      <c r="AS82" s="550"/>
      <c r="AT82" s="550"/>
      <c r="AU82" s="550"/>
      <c r="AV82" s="550"/>
      <c r="AW82" s="550"/>
      <c r="AX82" s="550"/>
      <c r="AY82" s="550"/>
      <c r="AZ82" s="550"/>
      <c r="BA82" s="550"/>
      <c r="BB82" s="550"/>
      <c r="BC82" s="550"/>
      <c r="BD82" s="550"/>
      <c r="BE82" s="550"/>
      <c r="BF82" s="550"/>
      <c r="BG82" s="550"/>
      <c r="BH82" s="550"/>
      <c r="BI82" s="550"/>
      <c r="BJ82" s="550"/>
      <c r="BK82" s="550"/>
      <c r="BL82" s="550"/>
      <c r="BM82" s="550"/>
      <c r="BN82" s="550"/>
      <c r="BO82" s="550"/>
      <c r="BP82" s="550"/>
      <c r="BQ82" s="550"/>
      <c r="BR82" s="550"/>
      <c r="BS82" s="550"/>
      <c r="BT82" s="550"/>
      <c r="BU82" s="550"/>
      <c r="BV82" s="550"/>
      <c r="BW82" s="550"/>
      <c r="BX82" s="544"/>
      <c r="BY82" s="544"/>
      <c r="BZ82" s="544"/>
      <c r="CA82" s="544"/>
      <c r="CB82" s="544"/>
      <c r="CC82" s="544"/>
      <c r="CD82" s="544"/>
      <c r="CE82" s="544"/>
      <c r="CF82" s="544"/>
      <c r="CG82" s="544"/>
      <c r="CH82" s="544"/>
      <c r="CI82" s="544"/>
      <c r="CJ82" s="544"/>
      <c r="CK82" s="544"/>
      <c r="CL82" s="544"/>
      <c r="CM82" s="544"/>
      <c r="CN82" s="544"/>
      <c r="CO82" s="544"/>
      <c r="CP82" s="544"/>
      <c r="CQ82" s="544">
        <f>+MEDIAN(H82,N82)</f>
        <v>358332.20500000002</v>
      </c>
      <c r="CR82" s="544">
        <f>+AVERAGE(H82,N82)</f>
        <v>358332.20500000002</v>
      </c>
      <c r="CS82" s="544">
        <f>+STDEV(H82,N82)</f>
        <v>54209.188795613321</v>
      </c>
      <c r="CT82" s="545">
        <f>CS82/CR82</f>
        <v>0.15128193346621835</v>
      </c>
      <c r="CU82" s="544">
        <v>301120.16806722688</v>
      </c>
      <c r="CV82" s="544">
        <f t="shared" si="24"/>
        <v>57212.831932773108</v>
      </c>
      <c r="CW82" s="546">
        <f t="shared" si="22"/>
        <v>358333</v>
      </c>
      <c r="CX82" s="546">
        <f t="shared" si="23"/>
        <v>358333</v>
      </c>
      <c r="CY82" s="547" t="s">
        <v>929</v>
      </c>
    </row>
    <row r="83" spans="1:103" s="549" customFormat="1" ht="61.5" customHeight="1" x14ac:dyDescent="0.35">
      <c r="A83" s="540">
        <v>80</v>
      </c>
      <c r="B83" s="541" t="s">
        <v>1047</v>
      </c>
      <c r="C83" s="542" t="s">
        <v>1049</v>
      </c>
      <c r="D83" s="543" t="s">
        <v>928</v>
      </c>
      <c r="E83" s="543">
        <v>1</v>
      </c>
      <c r="F83" s="544"/>
      <c r="G83" s="544"/>
      <c r="H83" s="544"/>
      <c r="I83" s="544"/>
      <c r="J83" s="544"/>
      <c r="K83" s="544"/>
      <c r="L83" s="544"/>
      <c r="M83" s="544"/>
      <c r="N83" s="544"/>
      <c r="O83" s="550"/>
      <c r="P83" s="550"/>
      <c r="Q83" s="550"/>
      <c r="R83" s="544"/>
      <c r="S83" s="544"/>
      <c r="T83" s="544"/>
      <c r="U83" s="550"/>
      <c r="V83" s="550"/>
      <c r="W83" s="550"/>
      <c r="X83" s="550"/>
      <c r="Y83" s="550"/>
      <c r="Z83" s="550"/>
      <c r="AA83" s="550"/>
      <c r="AB83" s="550"/>
      <c r="AC83" s="550"/>
      <c r="AD83" s="550"/>
      <c r="AE83" s="550">
        <f>142000/1.19</f>
        <v>119327.73109243698</v>
      </c>
      <c r="AF83" s="550">
        <f>+AE83*19%</f>
        <v>22672.268907563026</v>
      </c>
      <c r="AG83" s="550">
        <f>+AE83+AF83</f>
        <v>142000</v>
      </c>
      <c r="AH83" s="544">
        <f>+AG83*15%</f>
        <v>21300</v>
      </c>
      <c r="AI83" s="544">
        <f>+AG83+AH83</f>
        <v>163300</v>
      </c>
      <c r="AJ83" s="550"/>
      <c r="AK83" s="550"/>
      <c r="AL83" s="550"/>
      <c r="AM83" s="550"/>
      <c r="AN83" s="550"/>
      <c r="AO83" s="550"/>
      <c r="AP83" s="550"/>
      <c r="AQ83" s="550"/>
      <c r="AR83" s="550"/>
      <c r="AS83" s="550"/>
      <c r="AT83" s="550"/>
      <c r="AU83" s="550"/>
      <c r="AV83" s="550"/>
      <c r="AW83" s="550"/>
      <c r="AX83" s="550"/>
      <c r="AY83" s="550"/>
      <c r="AZ83" s="550"/>
      <c r="BA83" s="550"/>
      <c r="BB83" s="550"/>
      <c r="BC83" s="550"/>
      <c r="BD83" s="550"/>
      <c r="BE83" s="550"/>
      <c r="BF83" s="550"/>
      <c r="BG83" s="550"/>
      <c r="BH83" s="550"/>
      <c r="BI83" s="550">
        <f>116500/1.19</f>
        <v>97899.159663865546</v>
      </c>
      <c r="BJ83" s="550">
        <f>+BI83*0.19</f>
        <v>18600.840336134454</v>
      </c>
      <c r="BK83" s="550">
        <f>+BI83+BJ83</f>
        <v>116500</v>
      </c>
      <c r="BL83" s="554">
        <f>+BK83*15%</f>
        <v>17475</v>
      </c>
      <c r="BM83" s="554">
        <f>+BK83+BL83</f>
        <v>133975</v>
      </c>
      <c r="BN83" s="550"/>
      <c r="BO83" s="550"/>
      <c r="BP83" s="550"/>
      <c r="BQ83" s="550"/>
      <c r="BR83" s="550"/>
      <c r="BS83" s="550"/>
      <c r="BT83" s="550"/>
      <c r="BU83" s="550"/>
      <c r="BV83" s="550"/>
      <c r="BW83" s="550"/>
      <c r="BX83" s="544"/>
      <c r="BY83" s="544"/>
      <c r="BZ83" s="544"/>
      <c r="CA83" s="544"/>
      <c r="CB83" s="544"/>
      <c r="CC83" s="544"/>
      <c r="CD83" s="544"/>
      <c r="CE83" s="544"/>
      <c r="CF83" s="544"/>
      <c r="CG83" s="544"/>
      <c r="CH83" s="544"/>
      <c r="CI83" s="544"/>
      <c r="CJ83" s="544"/>
      <c r="CK83" s="544"/>
      <c r="CL83" s="544"/>
      <c r="CM83" s="544"/>
      <c r="CN83" s="544"/>
      <c r="CO83" s="544"/>
      <c r="CP83" s="544"/>
      <c r="CQ83" s="544">
        <f>+MEDIAN(AI83,BM83)</f>
        <v>148637.5</v>
      </c>
      <c r="CR83" s="544">
        <f>+AVERAGE(AI83,BM83)</f>
        <v>148637.5</v>
      </c>
      <c r="CS83" s="544">
        <f>+STDEV(AI83,BM83)</f>
        <v>20735.906358295506</v>
      </c>
      <c r="CT83" s="545">
        <f t="shared" si="10"/>
        <v>0.13950656031146585</v>
      </c>
      <c r="CU83" s="544">
        <v>124905.88235294119</v>
      </c>
      <c r="CV83" s="544">
        <f t="shared" si="24"/>
        <v>23732.117647058825</v>
      </c>
      <c r="CW83" s="546">
        <f t="shared" si="22"/>
        <v>148638</v>
      </c>
      <c r="CX83" s="546">
        <f t="shared" si="23"/>
        <v>148638</v>
      </c>
      <c r="CY83" s="547" t="s">
        <v>932</v>
      </c>
    </row>
    <row r="84" spans="1:103" s="549" customFormat="1" ht="29" x14ac:dyDescent="0.35">
      <c r="A84" s="540">
        <v>81</v>
      </c>
      <c r="B84" s="541" t="s">
        <v>662</v>
      </c>
      <c r="C84" s="542" t="s">
        <v>1050</v>
      </c>
      <c r="D84" s="543" t="s">
        <v>24</v>
      </c>
      <c r="E84" s="543">
        <v>1</v>
      </c>
      <c r="F84" s="544"/>
      <c r="G84" s="544"/>
      <c r="H84" s="544"/>
      <c r="I84" s="544"/>
      <c r="J84" s="544"/>
      <c r="K84" s="544"/>
      <c r="L84" s="544"/>
      <c r="M84" s="544"/>
      <c r="N84" s="544"/>
      <c r="O84" s="550"/>
      <c r="P84" s="550"/>
      <c r="Q84" s="550"/>
      <c r="R84" s="544"/>
      <c r="S84" s="544"/>
      <c r="T84" s="544"/>
      <c r="U84" s="550">
        <v>4840.3361344537816</v>
      </c>
      <c r="V84" s="550">
        <f>+U84*0.19</f>
        <v>919.66386554621852</v>
      </c>
      <c r="W84" s="550">
        <f>+U84+V84</f>
        <v>5760</v>
      </c>
      <c r="X84" s="550"/>
      <c r="Y84" s="550">
        <v>4537.8151260504201</v>
      </c>
      <c r="Z84" s="550">
        <f>+Y84*0.19</f>
        <v>862.18487394957981</v>
      </c>
      <c r="AA84" s="550">
        <f>+Y84+Z84</f>
        <v>5400</v>
      </c>
      <c r="AB84" s="550"/>
      <c r="AC84" s="550"/>
      <c r="AD84" s="550"/>
      <c r="AE84" s="550"/>
      <c r="AF84" s="550"/>
      <c r="AG84" s="550"/>
      <c r="AH84" s="550"/>
      <c r="AI84" s="550"/>
      <c r="AJ84" s="544"/>
      <c r="AK84" s="544"/>
      <c r="AL84" s="544"/>
      <c r="AM84" s="544"/>
      <c r="AN84" s="544"/>
      <c r="AO84" s="544"/>
      <c r="AP84" s="544"/>
      <c r="AQ84" s="550"/>
      <c r="AR84" s="550"/>
      <c r="AS84" s="550"/>
      <c r="AT84" s="550"/>
      <c r="AU84" s="550"/>
      <c r="AV84" s="550"/>
      <c r="AW84" s="550"/>
      <c r="AX84" s="550"/>
      <c r="AY84" s="550"/>
      <c r="AZ84" s="550"/>
      <c r="BA84" s="550"/>
      <c r="BB84" s="550"/>
      <c r="BC84" s="550"/>
      <c r="BD84" s="544"/>
      <c r="BE84" s="544"/>
      <c r="BF84" s="544"/>
      <c r="BG84" s="544"/>
      <c r="BH84" s="544"/>
      <c r="BI84" s="544"/>
      <c r="BJ84" s="544"/>
      <c r="BK84" s="544"/>
      <c r="BL84" s="544"/>
      <c r="BM84" s="544"/>
      <c r="BN84" s="544"/>
      <c r="BO84" s="544"/>
      <c r="BP84" s="544"/>
      <c r="BQ84" s="544"/>
      <c r="BR84" s="544"/>
      <c r="BS84" s="544"/>
      <c r="BT84" s="544"/>
      <c r="BU84" s="544"/>
      <c r="BV84" s="544"/>
      <c r="BW84" s="544"/>
      <c r="BX84" s="544"/>
      <c r="BY84" s="544"/>
      <c r="BZ84" s="544"/>
      <c r="CA84" s="544"/>
      <c r="CB84" s="544"/>
      <c r="CC84" s="544"/>
      <c r="CD84" s="544"/>
      <c r="CE84" s="544"/>
      <c r="CF84" s="544"/>
      <c r="CG84" s="544"/>
      <c r="CH84" s="544"/>
      <c r="CI84" s="544"/>
      <c r="CJ84" s="544"/>
      <c r="CK84" s="544"/>
      <c r="CL84" s="544"/>
      <c r="CM84" s="544"/>
      <c r="CN84" s="544"/>
      <c r="CO84" s="544"/>
      <c r="CP84" s="544"/>
      <c r="CQ84" s="544">
        <f>+MEDIAN(W84,AA84)</f>
        <v>5580</v>
      </c>
      <c r="CR84" s="544">
        <f>+AVERAGE(W84,AA84)</f>
        <v>5580</v>
      </c>
      <c r="CS84" s="544">
        <f>+STDEV(W84,AA84)</f>
        <v>254.55844122715712</v>
      </c>
      <c r="CT84" s="545">
        <f t="shared" si="10"/>
        <v>4.5619792334615973E-2</v>
      </c>
      <c r="CU84" s="544">
        <v>4689.0756302521013</v>
      </c>
      <c r="CV84" s="544">
        <f t="shared" si="24"/>
        <v>890.92436974789928</v>
      </c>
      <c r="CW84" s="546">
        <f t="shared" si="22"/>
        <v>5580</v>
      </c>
      <c r="CX84" s="546">
        <f t="shared" si="23"/>
        <v>5580</v>
      </c>
      <c r="CY84" s="547" t="s">
        <v>932</v>
      </c>
    </row>
    <row r="85" spans="1:103" s="549" customFormat="1" ht="29" x14ac:dyDescent="0.35">
      <c r="A85" s="540">
        <v>82</v>
      </c>
      <c r="B85" s="541" t="s">
        <v>1051</v>
      </c>
      <c r="C85" s="542" t="s">
        <v>1052</v>
      </c>
      <c r="D85" s="543" t="s">
        <v>24</v>
      </c>
      <c r="E85" s="543">
        <v>1</v>
      </c>
      <c r="F85" s="544"/>
      <c r="G85" s="544"/>
      <c r="H85" s="544"/>
      <c r="I85" s="544"/>
      <c r="J85" s="544"/>
      <c r="K85" s="544"/>
      <c r="L85" s="544"/>
      <c r="M85" s="544"/>
      <c r="N85" s="544"/>
      <c r="O85" s="550"/>
      <c r="P85" s="550"/>
      <c r="Q85" s="550"/>
      <c r="R85" s="544"/>
      <c r="S85" s="544"/>
      <c r="T85" s="544"/>
      <c r="U85" s="550">
        <v>4840.3361344537816</v>
      </c>
      <c r="V85" s="550">
        <f>+U85*0.19</f>
        <v>919.66386554621852</v>
      </c>
      <c r="W85" s="550">
        <f>+U85+V85</f>
        <v>5760</v>
      </c>
      <c r="X85" s="550"/>
      <c r="Y85" s="550">
        <v>4537.8151260504201</v>
      </c>
      <c r="Z85" s="550">
        <f>+Y85*0.19</f>
        <v>862.18487394957981</v>
      </c>
      <c r="AA85" s="550">
        <f>+Y85+Z85</f>
        <v>5400</v>
      </c>
      <c r="AB85" s="550"/>
      <c r="AC85" s="550"/>
      <c r="AD85" s="550"/>
      <c r="AE85" s="550"/>
      <c r="AF85" s="550"/>
      <c r="AG85" s="550"/>
      <c r="AH85" s="550"/>
      <c r="AI85" s="550"/>
      <c r="AJ85" s="544"/>
      <c r="AK85" s="544"/>
      <c r="AL85" s="544"/>
      <c r="AM85" s="544"/>
      <c r="AN85" s="544"/>
      <c r="AO85" s="544"/>
      <c r="AP85" s="544"/>
      <c r="AQ85" s="550"/>
      <c r="AR85" s="550"/>
      <c r="AS85" s="550"/>
      <c r="AT85" s="550"/>
      <c r="AU85" s="550"/>
      <c r="AV85" s="550"/>
      <c r="AW85" s="550"/>
      <c r="AX85" s="550"/>
      <c r="AY85" s="550"/>
      <c r="AZ85" s="550"/>
      <c r="BA85" s="550"/>
      <c r="BB85" s="550"/>
      <c r="BC85" s="550"/>
      <c r="BD85" s="544"/>
      <c r="BE85" s="544"/>
      <c r="BF85" s="544"/>
      <c r="BG85" s="544"/>
      <c r="BH85" s="544"/>
      <c r="BI85" s="544"/>
      <c r="BJ85" s="544"/>
      <c r="BK85" s="544"/>
      <c r="BL85" s="544"/>
      <c r="BM85" s="544"/>
      <c r="BN85" s="544"/>
      <c r="BO85" s="544"/>
      <c r="BP85" s="544"/>
      <c r="BQ85" s="544"/>
      <c r="BR85" s="544"/>
      <c r="BS85" s="544"/>
      <c r="BT85" s="544"/>
      <c r="BU85" s="544"/>
      <c r="BV85" s="544"/>
      <c r="BW85" s="544"/>
      <c r="BX85" s="544"/>
      <c r="BY85" s="544"/>
      <c r="BZ85" s="544"/>
      <c r="CA85" s="544"/>
      <c r="CB85" s="544"/>
      <c r="CC85" s="544"/>
      <c r="CD85" s="544"/>
      <c r="CE85" s="544"/>
      <c r="CF85" s="544"/>
      <c r="CG85" s="544"/>
      <c r="CH85" s="544"/>
      <c r="CI85" s="544"/>
      <c r="CJ85" s="544"/>
      <c r="CK85" s="544"/>
      <c r="CL85" s="544"/>
      <c r="CM85" s="544"/>
      <c r="CN85" s="544"/>
      <c r="CO85" s="544"/>
      <c r="CP85" s="544"/>
      <c r="CQ85" s="544">
        <f>+MEDIAN(W85,AA85)</f>
        <v>5580</v>
      </c>
      <c r="CR85" s="544">
        <f>+AVERAGE(W85,AA85)</f>
        <v>5580</v>
      </c>
      <c r="CS85" s="544">
        <f>+STDEV(W85,AA85)</f>
        <v>254.55844122715712</v>
      </c>
      <c r="CT85" s="545">
        <f t="shared" si="10"/>
        <v>4.5619792334615973E-2</v>
      </c>
      <c r="CU85" s="544">
        <v>4689.0756302521013</v>
      </c>
      <c r="CV85" s="544">
        <f t="shared" si="24"/>
        <v>890.92436974789928</v>
      </c>
      <c r="CW85" s="546">
        <f t="shared" si="22"/>
        <v>5580</v>
      </c>
      <c r="CX85" s="546">
        <f t="shared" si="23"/>
        <v>5580</v>
      </c>
      <c r="CY85" s="547" t="s">
        <v>932</v>
      </c>
    </row>
    <row r="86" spans="1:103" s="549" customFormat="1" ht="171" customHeight="1" x14ac:dyDescent="0.35">
      <c r="A86" s="540">
        <v>83</v>
      </c>
      <c r="B86" s="541" t="s">
        <v>1051</v>
      </c>
      <c r="C86" s="542" t="s">
        <v>1053</v>
      </c>
      <c r="D86" s="543" t="s">
        <v>24</v>
      </c>
      <c r="E86" s="543">
        <v>1</v>
      </c>
      <c r="F86" s="544"/>
      <c r="G86" s="544"/>
      <c r="H86" s="544"/>
      <c r="I86" s="544"/>
      <c r="J86" s="544"/>
      <c r="K86" s="544"/>
      <c r="L86" s="544"/>
      <c r="M86" s="544"/>
      <c r="N86" s="544"/>
      <c r="O86" s="544"/>
      <c r="P86" s="544"/>
      <c r="Q86" s="544"/>
      <c r="R86" s="544"/>
      <c r="S86" s="544"/>
      <c r="T86" s="544"/>
      <c r="U86" s="544"/>
      <c r="V86" s="544"/>
      <c r="W86" s="544"/>
      <c r="X86" s="550"/>
      <c r="Y86" s="550">
        <v>7563.0252100840344</v>
      </c>
      <c r="Z86" s="550">
        <f>+Y86*0.19</f>
        <v>1436.9747899159665</v>
      </c>
      <c r="AA86" s="550">
        <f>+Y86+Z86</f>
        <v>9000</v>
      </c>
      <c r="AB86" s="550"/>
      <c r="AC86" s="550"/>
      <c r="AD86" s="550"/>
      <c r="AE86" s="550"/>
      <c r="AF86" s="550"/>
      <c r="AG86" s="550"/>
      <c r="AH86" s="550"/>
      <c r="AI86" s="550"/>
      <c r="AJ86" s="544"/>
      <c r="AK86" s="544"/>
      <c r="AL86" s="544"/>
      <c r="AM86" s="544"/>
      <c r="AN86" s="544"/>
      <c r="AO86" s="544"/>
      <c r="AP86" s="544"/>
      <c r="AQ86" s="550"/>
      <c r="AR86" s="550"/>
      <c r="AS86" s="550"/>
      <c r="AT86" s="550"/>
      <c r="AU86" s="550"/>
      <c r="AV86" s="550"/>
      <c r="AW86" s="550"/>
      <c r="AX86" s="550"/>
      <c r="AY86" s="550"/>
      <c r="AZ86" s="550"/>
      <c r="BA86" s="550"/>
      <c r="BB86" s="550"/>
      <c r="BC86" s="550"/>
      <c r="BD86" s="544"/>
      <c r="BE86" s="544"/>
      <c r="BF86" s="544"/>
      <c r="BG86" s="544"/>
      <c r="BH86" s="544"/>
      <c r="BI86" s="544"/>
      <c r="BJ86" s="544"/>
      <c r="BK86" s="544"/>
      <c r="BL86" s="544"/>
      <c r="BM86" s="544"/>
      <c r="BN86" s="544">
        <v>8742.8571428571431</v>
      </c>
      <c r="BO86" s="544">
        <f>+BN86*0.19</f>
        <v>1661.1428571428571</v>
      </c>
      <c r="BP86" s="544">
        <f>+BN86+BO86</f>
        <v>10404</v>
      </c>
      <c r="BQ86" s="544">
        <f>+BP86*15%</f>
        <v>1560.6</v>
      </c>
      <c r="BR86" s="544">
        <f>+BP86+BQ86</f>
        <v>11964.6</v>
      </c>
      <c r="BS86" s="550"/>
      <c r="BT86" s="550"/>
      <c r="BU86" s="550"/>
      <c r="BV86" s="550"/>
      <c r="BW86" s="550"/>
      <c r="BX86" s="544"/>
      <c r="BY86" s="544"/>
      <c r="BZ86" s="544"/>
      <c r="CA86" s="544"/>
      <c r="CB86" s="544"/>
      <c r="CC86" s="544"/>
      <c r="CD86" s="544"/>
      <c r="CE86" s="544"/>
      <c r="CF86" s="544"/>
      <c r="CG86" s="544"/>
      <c r="CH86" s="544"/>
      <c r="CI86" s="544"/>
      <c r="CJ86" s="544"/>
      <c r="CK86" s="544"/>
      <c r="CL86" s="544"/>
      <c r="CM86" s="544"/>
      <c r="CN86" s="544"/>
      <c r="CO86" s="544"/>
      <c r="CP86" s="544"/>
      <c r="CQ86" s="544">
        <f>+MEDIAN(AA86,BR86)</f>
        <v>10482.299999999999</v>
      </c>
      <c r="CR86" s="544">
        <f>+AVERAGE(AA86,BR86)</f>
        <v>10482.299999999999</v>
      </c>
      <c r="CS86" s="544">
        <f>+STDEV(AA86,BR86)</f>
        <v>2096.2887635056418</v>
      </c>
      <c r="CT86" s="545">
        <f>CS86/CR86</f>
        <v>0.19998366422499278</v>
      </c>
      <c r="CU86" s="544">
        <v>8809.2436974789925</v>
      </c>
      <c r="CV86" s="544">
        <f t="shared" si="24"/>
        <v>1673.7563025210086</v>
      </c>
      <c r="CW86" s="546">
        <f t="shared" si="22"/>
        <v>10483</v>
      </c>
      <c r="CX86" s="546">
        <f t="shared" si="23"/>
        <v>10483</v>
      </c>
      <c r="CY86" s="547" t="s">
        <v>929</v>
      </c>
    </row>
    <row r="87" spans="1:103" s="549" customFormat="1" ht="111" customHeight="1" x14ac:dyDescent="0.35">
      <c r="A87" s="540">
        <v>84</v>
      </c>
      <c r="B87" s="541" t="s">
        <v>1054</v>
      </c>
      <c r="C87" s="542" t="s">
        <v>1055</v>
      </c>
      <c r="D87" s="543" t="s">
        <v>928</v>
      </c>
      <c r="E87" s="543">
        <v>1</v>
      </c>
      <c r="F87" s="544">
        <v>19328</v>
      </c>
      <c r="G87" s="544">
        <f>+F87*19%</f>
        <v>3672.32</v>
      </c>
      <c r="H87" s="544">
        <f>+F87+G87</f>
        <v>23000.32</v>
      </c>
      <c r="I87" s="544"/>
      <c r="J87" s="544"/>
      <c r="K87" s="544"/>
      <c r="L87" s="544">
        <v>29868</v>
      </c>
      <c r="M87" s="544">
        <f t="shared" ref="M87:M107" si="25">+L87*0.19</f>
        <v>5674.92</v>
      </c>
      <c r="N87" s="544">
        <f>+L87+M87</f>
        <v>35542.92</v>
      </c>
      <c r="O87" s="550"/>
      <c r="P87" s="550"/>
      <c r="Q87" s="550"/>
      <c r="R87" s="544">
        <v>28011.20448179272</v>
      </c>
      <c r="S87" s="544">
        <f>+R87*19%</f>
        <v>5322.1288515406168</v>
      </c>
      <c r="T87" s="544">
        <f>+R87+S87</f>
        <v>33333.333333333336</v>
      </c>
      <c r="U87" s="550"/>
      <c r="V87" s="550"/>
      <c r="W87" s="550"/>
      <c r="X87" s="550"/>
      <c r="Y87" s="550"/>
      <c r="Z87" s="550"/>
      <c r="AA87" s="550"/>
      <c r="AB87" s="550"/>
      <c r="AC87" s="550"/>
      <c r="AD87" s="550"/>
      <c r="AE87" s="550"/>
      <c r="AF87" s="550"/>
      <c r="AG87" s="550"/>
      <c r="AH87" s="550"/>
      <c r="AI87" s="550"/>
      <c r="AJ87" s="550"/>
      <c r="AK87" s="550"/>
      <c r="AL87" s="550"/>
      <c r="AM87" s="550"/>
      <c r="AN87" s="550"/>
      <c r="AO87" s="550"/>
      <c r="AP87" s="550"/>
      <c r="AQ87" s="550"/>
      <c r="AR87" s="550"/>
      <c r="AS87" s="550"/>
      <c r="AT87" s="550"/>
      <c r="AU87" s="550"/>
      <c r="AV87" s="550"/>
      <c r="AW87" s="550"/>
      <c r="AX87" s="550"/>
      <c r="AY87" s="550"/>
      <c r="AZ87" s="550"/>
      <c r="BA87" s="550"/>
      <c r="BB87" s="550"/>
      <c r="BC87" s="550"/>
      <c r="BD87" s="550"/>
      <c r="BE87" s="550"/>
      <c r="BF87" s="550"/>
      <c r="BG87" s="550"/>
      <c r="BH87" s="550"/>
      <c r="BI87" s="550"/>
      <c r="BJ87" s="550"/>
      <c r="BK87" s="550"/>
      <c r="BL87" s="550"/>
      <c r="BM87" s="550"/>
      <c r="BN87" s="550"/>
      <c r="BO87" s="550"/>
      <c r="BP87" s="544"/>
      <c r="BQ87" s="544"/>
      <c r="BR87" s="544"/>
      <c r="BS87" s="544"/>
      <c r="BT87" s="544"/>
      <c r="BU87" s="544"/>
      <c r="BV87" s="544"/>
      <c r="BW87" s="544"/>
      <c r="BX87" s="544"/>
      <c r="BY87" s="544"/>
      <c r="BZ87" s="544"/>
      <c r="CA87" s="544"/>
      <c r="CB87" s="544"/>
      <c r="CC87" s="544"/>
      <c r="CD87" s="544"/>
      <c r="CE87" s="544"/>
      <c r="CF87" s="544"/>
      <c r="CG87" s="544"/>
      <c r="CH87" s="544"/>
      <c r="CI87" s="544"/>
      <c r="CJ87" s="544"/>
      <c r="CK87" s="544"/>
      <c r="CL87" s="544"/>
      <c r="CM87" s="544"/>
      <c r="CN87" s="544"/>
      <c r="CO87" s="544"/>
      <c r="CP87" s="544"/>
      <c r="CQ87" s="544">
        <f>+MEDIAN(H87,N87,T87)</f>
        <v>33333.333333333336</v>
      </c>
      <c r="CR87" s="544">
        <f>+AVERAGE(H87,N87,T87)</f>
        <v>30625.524444444443</v>
      </c>
      <c r="CS87" s="544">
        <f>+STDEV(H87,N87,T87)</f>
        <v>6695.3995716506261</v>
      </c>
      <c r="CT87" s="545">
        <f t="shared" si="10"/>
        <v>0.21862154830348351</v>
      </c>
      <c r="CU87" s="544">
        <v>28011.764705882353</v>
      </c>
      <c r="CV87" s="544">
        <f t="shared" si="24"/>
        <v>5322.2352941176468</v>
      </c>
      <c r="CW87" s="546">
        <f t="shared" si="22"/>
        <v>33334</v>
      </c>
      <c r="CX87" s="546">
        <f t="shared" si="23"/>
        <v>33334</v>
      </c>
      <c r="CY87" s="547" t="s">
        <v>929</v>
      </c>
    </row>
    <row r="88" spans="1:103" s="549" customFormat="1" ht="70.5" customHeight="1" x14ac:dyDescent="0.35">
      <c r="A88" s="540">
        <v>85</v>
      </c>
      <c r="B88" s="541" t="s">
        <v>145</v>
      </c>
      <c r="C88" s="542" t="s">
        <v>1056</v>
      </c>
      <c r="D88" s="543" t="s">
        <v>24</v>
      </c>
      <c r="E88" s="543">
        <v>1</v>
      </c>
      <c r="F88" s="544">
        <v>7143</v>
      </c>
      <c r="G88" s="544">
        <f>+F88*19%</f>
        <v>1357.17</v>
      </c>
      <c r="H88" s="544">
        <f>+F88+G88</f>
        <v>8500.17</v>
      </c>
      <c r="I88" s="544">
        <v>5840.3361344537816</v>
      </c>
      <c r="J88" s="544">
        <f t="shared" ref="J88:J108" si="26">+I88*0.19</f>
        <v>1109.6638655462184</v>
      </c>
      <c r="K88" s="544">
        <f>+I88+J88</f>
        <v>6950</v>
      </c>
      <c r="L88" s="544"/>
      <c r="M88" s="544"/>
      <c r="N88" s="544"/>
      <c r="O88" s="550"/>
      <c r="P88" s="550"/>
      <c r="Q88" s="550"/>
      <c r="R88" s="550"/>
      <c r="S88" s="550"/>
      <c r="T88" s="550"/>
      <c r="U88" s="550"/>
      <c r="V88" s="550"/>
      <c r="W88" s="550"/>
      <c r="X88" s="550"/>
      <c r="Y88" s="550"/>
      <c r="Z88" s="550"/>
      <c r="AA88" s="550"/>
      <c r="AB88" s="550"/>
      <c r="AC88" s="550"/>
      <c r="AD88" s="550"/>
      <c r="AE88" s="550"/>
      <c r="AF88" s="550"/>
      <c r="AG88" s="550"/>
      <c r="AH88" s="550"/>
      <c r="AI88" s="550"/>
      <c r="AJ88" s="550"/>
      <c r="AK88" s="550"/>
      <c r="AL88" s="550"/>
      <c r="AM88" s="550"/>
      <c r="AN88" s="550"/>
      <c r="AO88" s="550"/>
      <c r="AP88" s="550"/>
      <c r="AQ88" s="550"/>
      <c r="AR88" s="550"/>
      <c r="AS88" s="550"/>
      <c r="AT88" s="550"/>
      <c r="AU88" s="550"/>
      <c r="AV88" s="550"/>
      <c r="AW88" s="550"/>
      <c r="AX88" s="550"/>
      <c r="AY88" s="550"/>
      <c r="AZ88" s="550"/>
      <c r="BA88" s="550"/>
      <c r="BB88" s="550"/>
      <c r="BC88" s="550"/>
      <c r="BD88" s="550"/>
      <c r="BE88" s="550"/>
      <c r="BF88" s="550"/>
      <c r="BG88" s="550"/>
      <c r="BH88" s="550"/>
      <c r="BI88" s="550"/>
      <c r="BJ88" s="550"/>
      <c r="BK88" s="550"/>
      <c r="BL88" s="550"/>
      <c r="BM88" s="550"/>
      <c r="BN88" s="550"/>
      <c r="BO88" s="550"/>
      <c r="BP88" s="544"/>
      <c r="BQ88" s="544"/>
      <c r="BR88" s="544"/>
      <c r="BS88" s="544"/>
      <c r="BT88" s="544"/>
      <c r="BU88" s="544"/>
      <c r="BV88" s="544"/>
      <c r="BW88" s="544"/>
      <c r="BX88" s="544"/>
      <c r="BY88" s="544"/>
      <c r="BZ88" s="544"/>
      <c r="CA88" s="544"/>
      <c r="CB88" s="544"/>
      <c r="CC88" s="544"/>
      <c r="CD88" s="544"/>
      <c r="CE88" s="544"/>
      <c r="CF88" s="544"/>
      <c r="CG88" s="544"/>
      <c r="CH88" s="544"/>
      <c r="CI88" s="544"/>
      <c r="CJ88" s="544"/>
      <c r="CK88" s="544"/>
      <c r="CL88" s="544"/>
      <c r="CM88" s="544"/>
      <c r="CN88" s="544"/>
      <c r="CO88" s="544"/>
      <c r="CP88" s="544"/>
      <c r="CQ88" s="544">
        <f>+MEDIAN(H88,K88)</f>
        <v>7725.085</v>
      </c>
      <c r="CR88" s="544">
        <f>+AVERAGE(H88,K88)</f>
        <v>7725.085</v>
      </c>
      <c r="CS88" s="544">
        <f>+STDEV(H88,K88)</f>
        <v>1096.1357189919504</v>
      </c>
      <c r="CT88" s="545">
        <f t="shared" si="10"/>
        <v>0.14189303017273602</v>
      </c>
      <c r="CU88" s="544">
        <v>6492.4369747899163</v>
      </c>
      <c r="CV88" s="544">
        <f t="shared" si="24"/>
        <v>1233.5630252100841</v>
      </c>
      <c r="CW88" s="546">
        <f t="shared" si="22"/>
        <v>7726</v>
      </c>
      <c r="CX88" s="546">
        <f t="shared" si="23"/>
        <v>7726</v>
      </c>
      <c r="CY88" s="551" t="s">
        <v>932</v>
      </c>
    </row>
    <row r="89" spans="1:103" s="549" customFormat="1" x14ac:dyDescent="0.35">
      <c r="A89" s="540">
        <v>86</v>
      </c>
      <c r="B89" s="541" t="s">
        <v>1057</v>
      </c>
      <c r="C89" s="542" t="s">
        <v>1058</v>
      </c>
      <c r="D89" s="543" t="s">
        <v>928</v>
      </c>
      <c r="E89" s="543">
        <v>1</v>
      </c>
      <c r="F89" s="544"/>
      <c r="G89" s="544"/>
      <c r="H89" s="544"/>
      <c r="I89" s="544"/>
      <c r="J89" s="544"/>
      <c r="K89" s="544"/>
      <c r="L89" s="544"/>
      <c r="M89" s="544"/>
      <c r="N89" s="544"/>
      <c r="O89" s="550"/>
      <c r="P89" s="550"/>
      <c r="Q89" s="550"/>
      <c r="R89" s="544"/>
      <c r="S89" s="544"/>
      <c r="T89" s="544"/>
      <c r="U89" s="550">
        <v>1260.5042016806724</v>
      </c>
      <c r="V89" s="550">
        <f>+U89*0.19</f>
        <v>239.49579831932775</v>
      </c>
      <c r="W89" s="550">
        <f>+U89+V89</f>
        <v>1500.0000000000002</v>
      </c>
      <c r="X89" s="550"/>
      <c r="Y89" s="550">
        <v>840.3361344537816</v>
      </c>
      <c r="Z89" s="550">
        <f>+Y89*0.19</f>
        <v>159.66386554621852</v>
      </c>
      <c r="AA89" s="550">
        <f>+Y89+Z89</f>
        <v>1000.0000000000001</v>
      </c>
      <c r="AB89" s="550"/>
      <c r="AC89" s="550"/>
      <c r="AD89" s="550"/>
      <c r="AE89" s="550"/>
      <c r="AF89" s="550"/>
      <c r="AG89" s="550"/>
      <c r="AH89" s="550"/>
      <c r="AI89" s="550"/>
      <c r="AJ89" s="544"/>
      <c r="AK89" s="544"/>
      <c r="AL89" s="544"/>
      <c r="AM89" s="544"/>
      <c r="AN89" s="544"/>
      <c r="AO89" s="544"/>
      <c r="AP89" s="544"/>
      <c r="AQ89" s="550"/>
      <c r="AR89" s="550"/>
      <c r="AS89" s="550"/>
      <c r="AT89" s="550"/>
      <c r="AU89" s="550"/>
      <c r="AV89" s="550"/>
      <c r="AW89" s="550"/>
      <c r="AX89" s="550"/>
      <c r="AY89" s="550"/>
      <c r="AZ89" s="550"/>
      <c r="BA89" s="550"/>
      <c r="BB89" s="550"/>
      <c r="BC89" s="550"/>
      <c r="BD89" s="550"/>
      <c r="BE89" s="550"/>
      <c r="BF89" s="550"/>
      <c r="BG89" s="550"/>
      <c r="BH89" s="550"/>
      <c r="BI89" s="550"/>
      <c r="BJ89" s="550"/>
      <c r="BK89" s="550"/>
      <c r="BL89" s="550"/>
      <c r="BM89" s="550"/>
      <c r="BN89" s="550"/>
      <c r="BO89" s="550"/>
      <c r="BP89" s="544"/>
      <c r="BQ89" s="544"/>
      <c r="BR89" s="544"/>
      <c r="BS89" s="544"/>
      <c r="BT89" s="544"/>
      <c r="BU89" s="544"/>
      <c r="BV89" s="544"/>
      <c r="BW89" s="544"/>
      <c r="BX89" s="544"/>
      <c r="BY89" s="544"/>
      <c r="BZ89" s="544"/>
      <c r="CA89" s="544"/>
      <c r="CB89" s="544"/>
      <c r="CC89" s="544"/>
      <c r="CD89" s="544"/>
      <c r="CE89" s="544"/>
      <c r="CF89" s="544"/>
      <c r="CG89" s="544"/>
      <c r="CH89" s="544"/>
      <c r="CI89" s="544"/>
      <c r="CJ89" s="544"/>
      <c r="CK89" s="544"/>
      <c r="CL89" s="544"/>
      <c r="CM89" s="544"/>
      <c r="CN89" s="544"/>
      <c r="CO89" s="544"/>
      <c r="CP89" s="544"/>
      <c r="CQ89" s="544">
        <f>+MEDIAN(W89,AA89)</f>
        <v>1250.0000000000002</v>
      </c>
      <c r="CR89" s="544">
        <f>+AVERAGE(W89,AA89)</f>
        <v>1250.0000000000002</v>
      </c>
      <c r="CS89" s="544">
        <f>+STDEV(W89,AA89)</f>
        <v>353.55339059327378</v>
      </c>
      <c r="CT89" s="545">
        <f t="shared" si="10"/>
        <v>0.28284271247461895</v>
      </c>
      <c r="CU89" s="544">
        <v>1050.420168067227</v>
      </c>
      <c r="CV89" s="544">
        <f t="shared" si="24"/>
        <v>199.57983193277312</v>
      </c>
      <c r="CW89" s="546">
        <f t="shared" si="22"/>
        <v>1250</v>
      </c>
      <c r="CX89" s="546">
        <f t="shared" si="23"/>
        <v>1250</v>
      </c>
      <c r="CY89" s="547" t="s">
        <v>929</v>
      </c>
    </row>
    <row r="90" spans="1:103" s="549" customFormat="1" ht="29" x14ac:dyDescent="0.35">
      <c r="A90" s="540">
        <v>87</v>
      </c>
      <c r="B90" s="541" t="s">
        <v>1057</v>
      </c>
      <c r="C90" s="542" t="s">
        <v>1059</v>
      </c>
      <c r="D90" s="543" t="s">
        <v>928</v>
      </c>
      <c r="E90" s="543">
        <v>1</v>
      </c>
      <c r="F90" s="552"/>
      <c r="G90" s="552"/>
      <c r="H90" s="552"/>
      <c r="I90" s="544">
        <v>3571.4285714285716</v>
      </c>
      <c r="J90" s="544">
        <f t="shared" si="26"/>
        <v>678.57142857142856</v>
      </c>
      <c r="K90" s="544">
        <f>+I90+J90</f>
        <v>4250</v>
      </c>
      <c r="L90" s="544">
        <v>4043</v>
      </c>
      <c r="M90" s="544">
        <f t="shared" si="25"/>
        <v>768.17</v>
      </c>
      <c r="N90" s="544">
        <f>+L90+M90</f>
        <v>4811.17</v>
      </c>
      <c r="O90" s="550"/>
      <c r="P90" s="550"/>
      <c r="Q90" s="550"/>
      <c r="R90" s="550"/>
      <c r="S90" s="550"/>
      <c r="T90" s="550"/>
      <c r="U90" s="550"/>
      <c r="V90" s="550"/>
      <c r="W90" s="550"/>
      <c r="X90" s="550"/>
      <c r="Y90" s="550"/>
      <c r="Z90" s="550"/>
      <c r="AA90" s="550"/>
      <c r="AB90" s="550"/>
      <c r="AC90" s="550"/>
      <c r="AD90" s="550"/>
      <c r="AE90" s="550"/>
      <c r="AF90" s="550"/>
      <c r="AG90" s="550"/>
      <c r="AH90" s="550"/>
      <c r="AI90" s="550"/>
      <c r="AJ90" s="550"/>
      <c r="AK90" s="550"/>
      <c r="AL90" s="550"/>
      <c r="AM90" s="550"/>
      <c r="AN90" s="550"/>
      <c r="AO90" s="550"/>
      <c r="AP90" s="550"/>
      <c r="AQ90" s="550"/>
      <c r="AR90" s="550"/>
      <c r="AS90" s="550"/>
      <c r="AT90" s="550"/>
      <c r="AU90" s="550"/>
      <c r="AV90" s="550"/>
      <c r="AW90" s="550"/>
      <c r="AX90" s="550"/>
      <c r="AY90" s="550"/>
      <c r="AZ90" s="550"/>
      <c r="BA90" s="550"/>
      <c r="BB90" s="550"/>
      <c r="BC90" s="550"/>
      <c r="BD90" s="550"/>
      <c r="BE90" s="550"/>
      <c r="BF90" s="550"/>
      <c r="BG90" s="550"/>
      <c r="BH90" s="550"/>
      <c r="BI90" s="550"/>
      <c r="BJ90" s="550"/>
      <c r="BK90" s="550"/>
      <c r="BL90" s="550"/>
      <c r="BM90" s="550"/>
      <c r="BN90" s="550"/>
      <c r="BO90" s="550"/>
      <c r="BP90" s="544"/>
      <c r="BQ90" s="544"/>
      <c r="BR90" s="544"/>
      <c r="BS90" s="544"/>
      <c r="BT90" s="544"/>
      <c r="BU90" s="544"/>
      <c r="BV90" s="544"/>
      <c r="BW90" s="544"/>
      <c r="BX90" s="544"/>
      <c r="BY90" s="544"/>
      <c r="BZ90" s="544"/>
      <c r="CA90" s="544"/>
      <c r="CB90" s="544"/>
      <c r="CC90" s="544"/>
      <c r="CD90" s="544"/>
      <c r="CE90" s="544"/>
      <c r="CF90" s="544"/>
      <c r="CG90" s="544"/>
      <c r="CH90" s="544"/>
      <c r="CI90" s="544"/>
      <c r="CJ90" s="544"/>
      <c r="CK90" s="544"/>
      <c r="CL90" s="544"/>
      <c r="CM90" s="544"/>
      <c r="CN90" s="544"/>
      <c r="CO90" s="544"/>
      <c r="CP90" s="544"/>
      <c r="CQ90" s="544">
        <f>+MEDIAN(K90,N90)</f>
        <v>4530.585</v>
      </c>
      <c r="CR90" s="544">
        <f>+AVERAGE(K90,N90)</f>
        <v>4530.585</v>
      </c>
      <c r="CS90" s="544">
        <f>+STDEV(K90,N90)</f>
        <v>396.80711239845493</v>
      </c>
      <c r="CT90" s="545">
        <f t="shared" si="10"/>
        <v>8.7584078523734774E-2</v>
      </c>
      <c r="CU90" s="544">
        <v>3807.5630252100841</v>
      </c>
      <c r="CV90" s="544">
        <f t="shared" si="24"/>
        <v>723.43697478991601</v>
      </c>
      <c r="CW90" s="546">
        <f t="shared" si="22"/>
        <v>4531</v>
      </c>
      <c r="CX90" s="546">
        <f t="shared" si="23"/>
        <v>4531</v>
      </c>
      <c r="CY90" s="551" t="s">
        <v>932</v>
      </c>
    </row>
    <row r="91" spans="1:103" s="549" customFormat="1" ht="51" customHeight="1" x14ac:dyDescent="0.35">
      <c r="A91" s="540">
        <v>88</v>
      </c>
      <c r="B91" s="541" t="s">
        <v>1060</v>
      </c>
      <c r="C91" s="542" t="s">
        <v>1061</v>
      </c>
      <c r="D91" s="543" t="s">
        <v>24</v>
      </c>
      <c r="E91" s="543">
        <v>1</v>
      </c>
      <c r="F91" s="550"/>
      <c r="G91" s="550"/>
      <c r="H91" s="550"/>
      <c r="I91" s="544">
        <v>9244</v>
      </c>
      <c r="J91" s="544">
        <f t="shared" si="26"/>
        <v>1756.3600000000001</v>
      </c>
      <c r="K91" s="544">
        <f>+I91+J91</f>
        <v>11000.36</v>
      </c>
      <c r="L91" s="544">
        <v>9910</v>
      </c>
      <c r="M91" s="544">
        <f t="shared" si="25"/>
        <v>1882.9</v>
      </c>
      <c r="N91" s="544">
        <f>+L91+M91</f>
        <v>11792.9</v>
      </c>
      <c r="O91" s="550"/>
      <c r="P91" s="550"/>
      <c r="Q91" s="550"/>
      <c r="R91" s="550"/>
      <c r="S91" s="550"/>
      <c r="T91" s="550"/>
      <c r="U91" s="550"/>
      <c r="V91" s="550"/>
      <c r="W91" s="550"/>
      <c r="X91" s="550"/>
      <c r="Y91" s="550"/>
      <c r="Z91" s="550"/>
      <c r="AA91" s="550"/>
      <c r="AB91" s="550"/>
      <c r="AC91" s="550"/>
      <c r="AD91" s="550"/>
      <c r="AE91" s="550"/>
      <c r="AF91" s="550"/>
      <c r="AG91" s="550"/>
      <c r="AH91" s="550"/>
      <c r="AI91" s="550"/>
      <c r="AJ91" s="550"/>
      <c r="AK91" s="550"/>
      <c r="AL91" s="550"/>
      <c r="AM91" s="550"/>
      <c r="AN91" s="550"/>
      <c r="AO91" s="550"/>
      <c r="AP91" s="550"/>
      <c r="AQ91" s="550"/>
      <c r="AR91" s="550"/>
      <c r="AS91" s="550"/>
      <c r="AT91" s="550"/>
      <c r="AU91" s="550"/>
      <c r="AV91" s="550"/>
      <c r="AW91" s="550"/>
      <c r="AX91" s="550"/>
      <c r="AY91" s="550"/>
      <c r="AZ91" s="550"/>
      <c r="BA91" s="550"/>
      <c r="BB91" s="550"/>
      <c r="BC91" s="550"/>
      <c r="BD91" s="550"/>
      <c r="BE91" s="550"/>
      <c r="BF91" s="550"/>
      <c r="BG91" s="550"/>
      <c r="BH91" s="550"/>
      <c r="BI91" s="550"/>
      <c r="BJ91" s="550"/>
      <c r="BK91" s="550"/>
      <c r="BL91" s="550"/>
      <c r="BM91" s="550"/>
      <c r="BN91" s="550"/>
      <c r="BO91" s="550"/>
      <c r="BP91" s="544"/>
      <c r="BQ91" s="544"/>
      <c r="BR91" s="544"/>
      <c r="BS91" s="544"/>
      <c r="BT91" s="544"/>
      <c r="BU91" s="544"/>
      <c r="BV91" s="544"/>
      <c r="BW91" s="544"/>
      <c r="BX91" s="544"/>
      <c r="BY91" s="544"/>
      <c r="BZ91" s="544"/>
      <c r="CA91" s="544"/>
      <c r="CB91" s="544"/>
      <c r="CC91" s="544"/>
      <c r="CD91" s="544"/>
      <c r="CE91" s="544"/>
      <c r="CF91" s="544"/>
      <c r="CG91" s="544"/>
      <c r="CH91" s="544"/>
      <c r="CI91" s="544"/>
      <c r="CJ91" s="544"/>
      <c r="CK91" s="544"/>
      <c r="CL91" s="544"/>
      <c r="CM91" s="544"/>
      <c r="CN91" s="544"/>
      <c r="CO91" s="544"/>
      <c r="CP91" s="544"/>
      <c r="CQ91" s="544">
        <f>+MEDIAN(K91,N91)</f>
        <v>11396.630000000001</v>
      </c>
      <c r="CR91" s="544">
        <f>+AVERAGE(K91,N91)</f>
        <v>11396.630000000001</v>
      </c>
      <c r="CS91" s="544">
        <f>+STDEV(K91,N91)</f>
        <v>560.41040836158572</v>
      </c>
      <c r="CT91" s="545">
        <f t="shared" ref="CT91:CT98" si="27">CS91/CR91</f>
        <v>4.9173344081679032E-2</v>
      </c>
      <c r="CU91" s="544">
        <v>9577.310924369749</v>
      </c>
      <c r="CV91" s="544">
        <f t="shared" si="24"/>
        <v>1819.6890756302523</v>
      </c>
      <c r="CW91" s="546">
        <f t="shared" si="22"/>
        <v>11397</v>
      </c>
      <c r="CX91" s="546">
        <f t="shared" si="23"/>
        <v>11397</v>
      </c>
      <c r="CY91" s="551" t="s">
        <v>932</v>
      </c>
    </row>
    <row r="92" spans="1:103" s="549" customFormat="1" ht="132" customHeight="1" x14ac:dyDescent="0.35">
      <c r="A92" s="540">
        <v>89</v>
      </c>
      <c r="B92" s="541" t="s">
        <v>1060</v>
      </c>
      <c r="C92" s="542" t="s">
        <v>1062</v>
      </c>
      <c r="D92" s="543" t="s">
        <v>24</v>
      </c>
      <c r="E92" s="543">
        <v>1</v>
      </c>
      <c r="F92" s="544"/>
      <c r="G92" s="544"/>
      <c r="H92" s="544"/>
      <c r="I92" s="544"/>
      <c r="J92" s="544"/>
      <c r="K92" s="544"/>
      <c r="L92" s="544"/>
      <c r="M92" s="544"/>
      <c r="N92" s="544"/>
      <c r="O92" s="550"/>
      <c r="P92" s="550"/>
      <c r="Q92" s="550"/>
      <c r="R92" s="544">
        <v>7941.176470588236</v>
      </c>
      <c r="S92" s="544">
        <f>+R92*19%</f>
        <v>1508.8235294117649</v>
      </c>
      <c r="T92" s="544">
        <f>+R92+S92</f>
        <v>9450</v>
      </c>
      <c r="U92" s="550">
        <v>6554.6218487394963</v>
      </c>
      <c r="V92" s="550">
        <f>+U92*0.19</f>
        <v>1245.3781512605044</v>
      </c>
      <c r="W92" s="550">
        <f>+U92+V92</f>
        <v>7800.0000000000009</v>
      </c>
      <c r="X92" s="550"/>
      <c r="Y92" s="550">
        <v>7563.0252100840344</v>
      </c>
      <c r="Z92" s="550">
        <f>+Y92*0.19</f>
        <v>1436.9747899159665</v>
      </c>
      <c r="AA92" s="550">
        <f>+Y92+Z92</f>
        <v>9000</v>
      </c>
      <c r="AB92" s="550"/>
      <c r="AC92" s="550"/>
      <c r="AD92" s="550"/>
      <c r="AE92" s="550"/>
      <c r="AF92" s="550"/>
      <c r="AG92" s="550"/>
      <c r="AH92" s="550"/>
      <c r="AI92" s="550"/>
      <c r="AJ92" s="544"/>
      <c r="AK92" s="544"/>
      <c r="AL92" s="544"/>
      <c r="AM92" s="544"/>
      <c r="AN92" s="544"/>
      <c r="AO92" s="544"/>
      <c r="AP92" s="544"/>
      <c r="AQ92" s="550"/>
      <c r="AR92" s="550"/>
      <c r="AS92" s="550"/>
      <c r="AT92" s="550"/>
      <c r="AU92" s="550"/>
      <c r="AV92" s="550"/>
      <c r="AW92" s="550"/>
      <c r="AX92" s="550"/>
      <c r="AY92" s="550"/>
      <c r="AZ92" s="550"/>
      <c r="BA92" s="550"/>
      <c r="BB92" s="550"/>
      <c r="BC92" s="550"/>
      <c r="BD92" s="550"/>
      <c r="BE92" s="550"/>
      <c r="BF92" s="550"/>
      <c r="BG92" s="550"/>
      <c r="BH92" s="550"/>
      <c r="BI92" s="550"/>
      <c r="BJ92" s="550"/>
      <c r="BK92" s="550"/>
      <c r="BL92" s="550"/>
      <c r="BM92" s="550"/>
      <c r="BN92" s="550"/>
      <c r="BO92" s="550"/>
      <c r="BP92" s="544"/>
      <c r="BQ92" s="544"/>
      <c r="BR92" s="544"/>
      <c r="BS92" s="544"/>
      <c r="BT92" s="544"/>
      <c r="BU92" s="544"/>
      <c r="BV92" s="544"/>
      <c r="BW92" s="544"/>
      <c r="BX92" s="544"/>
      <c r="BY92" s="544"/>
      <c r="BZ92" s="544"/>
      <c r="CA92" s="544"/>
      <c r="CB92" s="544"/>
      <c r="CC92" s="544"/>
      <c r="CD92" s="544"/>
      <c r="CE92" s="544"/>
      <c r="CF92" s="544"/>
      <c r="CG92" s="544"/>
      <c r="CH92" s="544"/>
      <c r="CI92" s="544"/>
      <c r="CJ92" s="544"/>
      <c r="CK92" s="544"/>
      <c r="CL92" s="544"/>
      <c r="CM92" s="544"/>
      <c r="CN92" s="544"/>
      <c r="CO92" s="544"/>
      <c r="CP92" s="544"/>
      <c r="CQ92" s="544">
        <f>+MEDIAN(T92,W92,AA92)</f>
        <v>9000</v>
      </c>
      <c r="CR92" s="544">
        <f>+AVERAGE(T92,W92,AA92)</f>
        <v>8750</v>
      </c>
      <c r="CS92" s="544">
        <f>+STDEV(T92,W92,AA92)</f>
        <v>852.93610546159846</v>
      </c>
      <c r="CT92" s="545">
        <f>CS92/CR92</f>
        <v>9.7478412052754107E-2</v>
      </c>
      <c r="CU92" s="544">
        <v>7352.9411764705883</v>
      </c>
      <c r="CV92" s="544">
        <f t="shared" si="24"/>
        <v>1397.0588235294117</v>
      </c>
      <c r="CW92" s="546">
        <f t="shared" si="22"/>
        <v>8750</v>
      </c>
      <c r="CX92" s="546">
        <f t="shared" si="23"/>
        <v>8750</v>
      </c>
      <c r="CY92" s="547" t="s">
        <v>932</v>
      </c>
    </row>
    <row r="93" spans="1:103" s="549" customFormat="1" ht="29" x14ac:dyDescent="0.35">
      <c r="A93" s="540">
        <v>90</v>
      </c>
      <c r="B93" s="541" t="s">
        <v>1063</v>
      </c>
      <c r="C93" s="542" t="s">
        <v>1064</v>
      </c>
      <c r="D93" s="543" t="s">
        <v>928</v>
      </c>
      <c r="E93" s="543">
        <v>1</v>
      </c>
      <c r="F93" s="544">
        <v>2521</v>
      </c>
      <c r="G93" s="544">
        <f>+F93*19%</f>
        <v>478.99</v>
      </c>
      <c r="H93" s="544">
        <f>+F93+G93</f>
        <v>2999.99</v>
      </c>
      <c r="I93" s="550"/>
      <c r="J93" s="550"/>
      <c r="K93" s="550"/>
      <c r="L93" s="550"/>
      <c r="M93" s="550"/>
      <c r="N93" s="550"/>
      <c r="O93" s="550"/>
      <c r="P93" s="550"/>
      <c r="Q93" s="550"/>
      <c r="R93" s="544">
        <v>2941.1764705882356</v>
      </c>
      <c r="S93" s="544">
        <f>+R93*19%</f>
        <v>558.82352941176475</v>
      </c>
      <c r="T93" s="544">
        <f>+R93+S93</f>
        <v>3500.0000000000005</v>
      </c>
      <c r="U93" s="550"/>
      <c r="V93" s="550"/>
      <c r="W93" s="550"/>
      <c r="X93" s="550"/>
      <c r="Y93" s="550"/>
      <c r="Z93" s="550"/>
      <c r="AA93" s="550"/>
      <c r="AB93" s="550"/>
      <c r="AC93" s="550"/>
      <c r="AD93" s="550"/>
      <c r="AE93" s="550"/>
      <c r="AF93" s="550"/>
      <c r="AG93" s="550"/>
      <c r="AH93" s="550"/>
      <c r="AI93" s="550"/>
      <c r="AJ93" s="550"/>
      <c r="AK93" s="550"/>
      <c r="AL93" s="550"/>
      <c r="AM93" s="550"/>
      <c r="AN93" s="550"/>
      <c r="AO93" s="550"/>
      <c r="AP93" s="550"/>
      <c r="AQ93" s="550"/>
      <c r="AR93" s="550"/>
      <c r="AS93" s="550"/>
      <c r="AT93" s="550"/>
      <c r="AU93" s="550"/>
      <c r="AV93" s="550"/>
      <c r="AW93" s="550"/>
      <c r="AX93" s="550"/>
      <c r="AY93" s="550"/>
      <c r="AZ93" s="550"/>
      <c r="BA93" s="550"/>
      <c r="BB93" s="550"/>
      <c r="BC93" s="550"/>
      <c r="BD93" s="550"/>
      <c r="BE93" s="550"/>
      <c r="BF93" s="550"/>
      <c r="BG93" s="550"/>
      <c r="BH93" s="550"/>
      <c r="BI93" s="550"/>
      <c r="BJ93" s="550"/>
      <c r="BK93" s="550"/>
      <c r="BL93" s="550"/>
      <c r="BM93" s="550"/>
      <c r="BN93" s="550"/>
      <c r="BO93" s="550"/>
      <c r="BP93" s="544"/>
      <c r="BQ93" s="544"/>
      <c r="BR93" s="544"/>
      <c r="BS93" s="544"/>
      <c r="BT93" s="544"/>
      <c r="BU93" s="544"/>
      <c r="BV93" s="544"/>
      <c r="BW93" s="544"/>
      <c r="BX93" s="544"/>
      <c r="BY93" s="544"/>
      <c r="BZ93" s="544"/>
      <c r="CA93" s="544"/>
      <c r="CB93" s="544"/>
      <c r="CC93" s="544"/>
      <c r="CD93" s="544"/>
      <c r="CE93" s="544"/>
      <c r="CF93" s="544"/>
      <c r="CG93" s="544"/>
      <c r="CH93" s="544"/>
      <c r="CI93" s="544"/>
      <c r="CJ93" s="544"/>
      <c r="CK93" s="544"/>
      <c r="CL93" s="544"/>
      <c r="CM93" s="544"/>
      <c r="CN93" s="544"/>
      <c r="CO93" s="544"/>
      <c r="CP93" s="544"/>
      <c r="CQ93" s="544">
        <f>+MEDIAN(H93,T93)</f>
        <v>3249.9949999999999</v>
      </c>
      <c r="CR93" s="544">
        <f>+AVERAGE(H93,T93)</f>
        <v>3249.9949999999999</v>
      </c>
      <c r="CS93" s="544">
        <f>+STDEV(H93,T93)</f>
        <v>353.56046166108609</v>
      </c>
      <c r="CT93" s="545">
        <f t="shared" si="27"/>
        <v>0.10878800172341375</v>
      </c>
      <c r="CU93" s="544">
        <v>2731.09243697479</v>
      </c>
      <c r="CV93" s="544">
        <f t="shared" si="24"/>
        <v>518.90756302521015</v>
      </c>
      <c r="CW93" s="546">
        <f t="shared" si="22"/>
        <v>3250</v>
      </c>
      <c r="CX93" s="546">
        <f t="shared" si="23"/>
        <v>3250</v>
      </c>
      <c r="CY93" s="547" t="s">
        <v>932</v>
      </c>
    </row>
    <row r="94" spans="1:103" s="549" customFormat="1" ht="29" x14ac:dyDescent="0.35">
      <c r="A94" s="540">
        <v>91</v>
      </c>
      <c r="B94" s="541" t="s">
        <v>1065</v>
      </c>
      <c r="C94" s="542" t="s">
        <v>1066</v>
      </c>
      <c r="D94" s="543" t="s">
        <v>755</v>
      </c>
      <c r="E94" s="543">
        <v>1</v>
      </c>
      <c r="F94" s="544">
        <v>21429</v>
      </c>
      <c r="G94" s="544">
        <f>+F94*19%</f>
        <v>4071.51</v>
      </c>
      <c r="H94" s="544">
        <f>+F94+G94</f>
        <v>25500.510000000002</v>
      </c>
      <c r="I94" s="544">
        <v>18967.226890756305</v>
      </c>
      <c r="J94" s="544">
        <f t="shared" si="26"/>
        <v>3603.7731092436979</v>
      </c>
      <c r="K94" s="544">
        <f>+I94+J94</f>
        <v>22571.000000000004</v>
      </c>
      <c r="L94" s="544">
        <v>18725</v>
      </c>
      <c r="M94" s="544">
        <f t="shared" si="25"/>
        <v>3557.75</v>
      </c>
      <c r="N94" s="544">
        <f>+L94+M94</f>
        <v>22282.75</v>
      </c>
      <c r="O94" s="544"/>
      <c r="P94" s="544"/>
      <c r="Q94" s="544"/>
      <c r="R94" s="544"/>
      <c r="S94" s="544"/>
      <c r="T94" s="544"/>
      <c r="U94" s="544"/>
      <c r="V94" s="544"/>
      <c r="W94" s="544"/>
      <c r="X94" s="544"/>
      <c r="Y94" s="550"/>
      <c r="Z94" s="550"/>
      <c r="AA94" s="550"/>
      <c r="AB94" s="550"/>
      <c r="AC94" s="550"/>
      <c r="AD94" s="550"/>
      <c r="AE94" s="550"/>
      <c r="AF94" s="544"/>
      <c r="AG94" s="544"/>
      <c r="AH94" s="544"/>
      <c r="AI94" s="544"/>
      <c r="AJ94" s="544"/>
      <c r="AK94" s="544"/>
      <c r="AL94" s="544"/>
      <c r="AM94" s="544"/>
      <c r="AN94" s="544"/>
      <c r="AO94" s="544"/>
      <c r="AP94" s="544"/>
      <c r="AQ94" s="550"/>
      <c r="AR94" s="550"/>
      <c r="AS94" s="550"/>
      <c r="AT94" s="550"/>
      <c r="AU94" s="550"/>
      <c r="AV94" s="550"/>
      <c r="AW94" s="550"/>
      <c r="AX94" s="550"/>
      <c r="AY94" s="550"/>
      <c r="AZ94" s="550"/>
      <c r="BA94" s="550"/>
      <c r="BB94" s="550"/>
      <c r="BC94" s="550"/>
      <c r="BD94" s="550"/>
      <c r="BE94" s="550"/>
      <c r="BF94" s="550"/>
      <c r="BG94" s="550"/>
      <c r="BH94" s="550"/>
      <c r="BI94" s="550"/>
      <c r="BJ94" s="550"/>
      <c r="BK94" s="550"/>
      <c r="BL94" s="550"/>
      <c r="BM94" s="550"/>
      <c r="BN94" s="550"/>
      <c r="BO94" s="550"/>
      <c r="BP94" s="544"/>
      <c r="BQ94" s="544"/>
      <c r="BR94" s="544"/>
      <c r="BS94" s="544"/>
      <c r="BT94" s="544"/>
      <c r="BU94" s="544"/>
      <c r="BV94" s="544"/>
      <c r="BW94" s="544"/>
      <c r="BX94" s="544"/>
      <c r="BY94" s="544"/>
      <c r="BZ94" s="544"/>
      <c r="CA94" s="544"/>
      <c r="CB94" s="544"/>
      <c r="CC94" s="544"/>
      <c r="CD94" s="544"/>
      <c r="CE94" s="544"/>
      <c r="CF94" s="544"/>
      <c r="CG94" s="544"/>
      <c r="CH94" s="544"/>
      <c r="CI94" s="544"/>
      <c r="CJ94" s="544"/>
      <c r="CK94" s="544"/>
      <c r="CL94" s="544"/>
      <c r="CM94" s="544"/>
      <c r="CN94" s="544"/>
      <c r="CO94" s="544"/>
      <c r="CP94" s="544"/>
      <c r="CQ94" s="544">
        <f>+MEDIAN(H94,K94,N94)</f>
        <v>22571.000000000004</v>
      </c>
      <c r="CR94" s="544">
        <f>+AVERAGE(H94,K94,N94)</f>
        <v>23451.420000000002</v>
      </c>
      <c r="CS94" s="544">
        <f>+STDEV(H94,K94,N94)</f>
        <v>1780.4070845455544</v>
      </c>
      <c r="CT94" s="545">
        <f t="shared" si="27"/>
        <v>7.5918945826971423E-2</v>
      </c>
      <c r="CU94" s="544">
        <v>19707.563025210085</v>
      </c>
      <c r="CV94" s="544">
        <f t="shared" si="24"/>
        <v>3744.4369747899163</v>
      </c>
      <c r="CW94" s="546">
        <f t="shared" si="22"/>
        <v>23452</v>
      </c>
      <c r="CX94" s="546">
        <f t="shared" si="23"/>
        <v>23452</v>
      </c>
      <c r="CY94" s="551" t="s">
        <v>932</v>
      </c>
    </row>
    <row r="95" spans="1:103" s="549" customFormat="1" ht="56.25" customHeight="1" x14ac:dyDescent="0.35">
      <c r="A95" s="540">
        <v>92</v>
      </c>
      <c r="B95" s="541" t="s">
        <v>1065</v>
      </c>
      <c r="C95" s="542" t="s">
        <v>1067</v>
      </c>
      <c r="D95" s="543" t="s">
        <v>928</v>
      </c>
      <c r="E95" s="543">
        <v>1</v>
      </c>
      <c r="F95" s="544">
        <v>10084</v>
      </c>
      <c r="G95" s="544">
        <f>+F95*19%</f>
        <v>1915.96</v>
      </c>
      <c r="H95" s="544">
        <f>+F95+G95</f>
        <v>11999.96</v>
      </c>
      <c r="I95" s="544">
        <v>5462.1848739495799</v>
      </c>
      <c r="J95" s="544">
        <f t="shared" si="26"/>
        <v>1037.8151260504203</v>
      </c>
      <c r="K95" s="544">
        <f>+I95+J95</f>
        <v>6500</v>
      </c>
      <c r="L95" s="544"/>
      <c r="M95" s="544"/>
      <c r="N95" s="544"/>
      <c r="O95" s="550"/>
      <c r="P95" s="550"/>
      <c r="Q95" s="550"/>
      <c r="R95" s="544"/>
      <c r="S95" s="544"/>
      <c r="T95" s="544"/>
      <c r="U95" s="544"/>
      <c r="V95" s="544"/>
      <c r="W95" s="544"/>
      <c r="X95" s="544"/>
      <c r="Y95" s="544"/>
      <c r="Z95" s="544"/>
      <c r="AA95" s="544"/>
      <c r="AB95" s="544"/>
      <c r="AC95" s="544"/>
      <c r="AD95" s="544"/>
      <c r="AE95" s="550"/>
      <c r="AF95" s="544"/>
      <c r="AG95" s="544"/>
      <c r="AH95" s="544"/>
      <c r="AI95" s="544"/>
      <c r="AJ95" s="544"/>
      <c r="AK95" s="544"/>
      <c r="AL95" s="544"/>
      <c r="AM95" s="544"/>
      <c r="AN95" s="544"/>
      <c r="AO95" s="544"/>
      <c r="AP95" s="544"/>
      <c r="AQ95" s="544"/>
      <c r="AR95" s="544"/>
      <c r="AS95" s="544"/>
      <c r="AT95" s="544"/>
      <c r="AU95" s="544"/>
      <c r="AV95" s="544"/>
      <c r="AW95" s="544"/>
      <c r="AX95" s="544"/>
      <c r="AY95" s="544"/>
      <c r="AZ95" s="544"/>
      <c r="BA95" s="544"/>
      <c r="BB95" s="544"/>
      <c r="BC95" s="544"/>
      <c r="BD95" s="544"/>
      <c r="BE95" s="544"/>
      <c r="BF95" s="544"/>
      <c r="BG95" s="544"/>
      <c r="BH95" s="544"/>
      <c r="BI95" s="544"/>
      <c r="BJ95" s="544"/>
      <c r="BK95" s="544"/>
      <c r="BL95" s="544"/>
      <c r="BM95" s="544"/>
      <c r="BN95" s="544"/>
      <c r="BO95" s="544"/>
      <c r="BP95" s="544"/>
      <c r="BQ95" s="544"/>
      <c r="BR95" s="544"/>
      <c r="BS95" s="544"/>
      <c r="BT95" s="544"/>
      <c r="BU95" s="544"/>
      <c r="BV95" s="544"/>
      <c r="BW95" s="544"/>
      <c r="BX95" s="544"/>
      <c r="BY95" s="544"/>
      <c r="BZ95" s="544"/>
      <c r="CA95" s="544"/>
      <c r="CB95" s="544"/>
      <c r="CC95" s="544"/>
      <c r="CD95" s="544"/>
      <c r="CE95" s="544"/>
      <c r="CF95" s="544"/>
      <c r="CG95" s="544"/>
      <c r="CH95" s="544"/>
      <c r="CI95" s="544"/>
      <c r="CJ95" s="544"/>
      <c r="CK95" s="544"/>
      <c r="CL95" s="544"/>
      <c r="CM95" s="544"/>
      <c r="CN95" s="544">
        <f>10600/1.19</f>
        <v>8907.5630252100837</v>
      </c>
      <c r="CO95" s="544">
        <f>+CN95*0.19</f>
        <v>1692.4369747899159</v>
      </c>
      <c r="CP95" s="544">
        <f>+CN95+CO95</f>
        <v>10600</v>
      </c>
      <c r="CQ95" s="544">
        <f>+MEDIAN(H95,K95,CP95)</f>
        <v>10600</v>
      </c>
      <c r="CR95" s="544">
        <f>+AVERAGE(H95,K95,CP95)</f>
        <v>9699.9866666666658</v>
      </c>
      <c r="CS95" s="544">
        <f>+STDEV(H95,K95,CP95)</f>
        <v>2858.3050922764251</v>
      </c>
      <c r="CT95" s="545">
        <f t="shared" si="27"/>
        <v>0.29467103311582821</v>
      </c>
      <c r="CU95" s="544">
        <v>8907.5630252100837</v>
      </c>
      <c r="CV95" s="544">
        <f>+CU95*19%</f>
        <v>1692.4369747899159</v>
      </c>
      <c r="CW95" s="546">
        <f t="shared" si="22"/>
        <v>10600</v>
      </c>
      <c r="CX95" s="546">
        <f t="shared" si="23"/>
        <v>10600</v>
      </c>
      <c r="CY95" s="551" t="s">
        <v>929</v>
      </c>
    </row>
    <row r="96" spans="1:103" s="549" customFormat="1" ht="29" x14ac:dyDescent="0.35">
      <c r="A96" s="540">
        <v>93</v>
      </c>
      <c r="B96" s="541" t="s">
        <v>1068</v>
      </c>
      <c r="C96" s="542" t="s">
        <v>1069</v>
      </c>
      <c r="D96" s="543" t="s">
        <v>24</v>
      </c>
      <c r="E96" s="543">
        <v>1</v>
      </c>
      <c r="F96" s="550"/>
      <c r="G96" s="550"/>
      <c r="H96" s="550"/>
      <c r="I96" s="544">
        <v>6386.5546218487398</v>
      </c>
      <c r="J96" s="544">
        <f t="shared" si="26"/>
        <v>1213.4453781512607</v>
      </c>
      <c r="K96" s="544">
        <f>+I96+J96</f>
        <v>7600</v>
      </c>
      <c r="L96" s="544">
        <v>6400</v>
      </c>
      <c r="M96" s="544">
        <f t="shared" si="25"/>
        <v>1216</v>
      </c>
      <c r="N96" s="544">
        <f>+L96+M96</f>
        <v>7616</v>
      </c>
      <c r="O96" s="550"/>
      <c r="P96" s="550"/>
      <c r="Q96" s="550"/>
      <c r="R96" s="550"/>
      <c r="S96" s="550"/>
      <c r="T96" s="550"/>
      <c r="U96" s="550"/>
      <c r="V96" s="550"/>
      <c r="W96" s="550"/>
      <c r="X96" s="550"/>
      <c r="Y96" s="550"/>
      <c r="Z96" s="550"/>
      <c r="AA96" s="550"/>
      <c r="AB96" s="550"/>
      <c r="AC96" s="550"/>
      <c r="AD96" s="550"/>
      <c r="AE96" s="550"/>
      <c r="AF96" s="550"/>
      <c r="AG96" s="550"/>
      <c r="AH96" s="550"/>
      <c r="AI96" s="550"/>
      <c r="AJ96" s="550"/>
      <c r="AK96" s="550"/>
      <c r="AL96" s="550"/>
      <c r="AM96" s="550"/>
      <c r="AN96" s="550"/>
      <c r="AO96" s="550"/>
      <c r="AP96" s="550"/>
      <c r="AQ96" s="550"/>
      <c r="AR96" s="550"/>
      <c r="AS96" s="550"/>
      <c r="AT96" s="550"/>
      <c r="AU96" s="550"/>
      <c r="AV96" s="550"/>
      <c r="AW96" s="550"/>
      <c r="AX96" s="550"/>
      <c r="AY96" s="550"/>
      <c r="AZ96" s="550"/>
      <c r="BA96" s="550"/>
      <c r="BB96" s="550"/>
      <c r="BC96" s="550"/>
      <c r="BD96" s="550"/>
      <c r="BE96" s="550"/>
      <c r="BF96" s="550"/>
      <c r="BG96" s="550"/>
      <c r="BH96" s="550"/>
      <c r="BI96" s="550"/>
      <c r="BJ96" s="550"/>
      <c r="BK96" s="550"/>
      <c r="BL96" s="550"/>
      <c r="BM96" s="550"/>
      <c r="BN96" s="550"/>
      <c r="BO96" s="550"/>
      <c r="BP96" s="550"/>
      <c r="BQ96" s="550"/>
      <c r="BR96" s="550"/>
      <c r="BS96" s="550"/>
      <c r="BT96" s="550"/>
      <c r="BU96" s="550"/>
      <c r="BV96" s="550"/>
      <c r="BW96" s="550"/>
      <c r="BX96" s="544"/>
      <c r="BY96" s="544"/>
      <c r="BZ96" s="544"/>
      <c r="CA96" s="544"/>
      <c r="CB96" s="544"/>
      <c r="CC96" s="544"/>
      <c r="CD96" s="544"/>
      <c r="CE96" s="544"/>
      <c r="CF96" s="544"/>
      <c r="CG96" s="544"/>
      <c r="CH96" s="544"/>
      <c r="CI96" s="544"/>
      <c r="CJ96" s="544"/>
      <c r="CK96" s="544"/>
      <c r="CL96" s="544"/>
      <c r="CM96" s="544"/>
      <c r="CN96" s="544"/>
      <c r="CO96" s="544"/>
      <c r="CP96" s="544"/>
      <c r="CQ96" s="544">
        <f>+MEDIAN(K96,N96)</f>
        <v>7608</v>
      </c>
      <c r="CR96" s="544">
        <f>+AVERAGE(K96,N96)</f>
        <v>7608</v>
      </c>
      <c r="CS96" s="544">
        <f>+STDEV(K96,N96)</f>
        <v>11.313708498984761</v>
      </c>
      <c r="CT96" s="545">
        <f t="shared" si="27"/>
        <v>1.4870805072272294E-3</v>
      </c>
      <c r="CU96" s="544">
        <v>6393.2773109243699</v>
      </c>
      <c r="CV96" s="544">
        <f t="shared" si="24"/>
        <v>1214.7226890756303</v>
      </c>
      <c r="CW96" s="546">
        <f t="shared" si="22"/>
        <v>7608</v>
      </c>
      <c r="CX96" s="546">
        <f t="shared" si="23"/>
        <v>7608</v>
      </c>
      <c r="CY96" s="551" t="s">
        <v>932</v>
      </c>
    </row>
    <row r="97" spans="1:103" s="549" customFormat="1" ht="29" x14ac:dyDescent="0.35">
      <c r="A97" s="540">
        <v>94</v>
      </c>
      <c r="B97" s="541" t="s">
        <v>1070</v>
      </c>
      <c r="C97" s="542" t="s">
        <v>1071</v>
      </c>
      <c r="D97" s="543" t="s">
        <v>67</v>
      </c>
      <c r="E97" s="543">
        <v>1</v>
      </c>
      <c r="F97" s="544">
        <v>9244</v>
      </c>
      <c r="G97" s="544">
        <f>+F97*19%</f>
        <v>1756.3600000000001</v>
      </c>
      <c r="H97" s="544">
        <f>+F97+G97</f>
        <v>11000.36</v>
      </c>
      <c r="I97" s="550"/>
      <c r="J97" s="550"/>
      <c r="K97" s="550"/>
      <c r="L97" s="544">
        <v>12800</v>
      </c>
      <c r="M97" s="544">
        <f t="shared" si="25"/>
        <v>2432</v>
      </c>
      <c r="N97" s="544">
        <f>+L97+M97</f>
        <v>15232</v>
      </c>
      <c r="O97" s="550"/>
      <c r="P97" s="550"/>
      <c r="Q97" s="550"/>
      <c r="R97" s="550"/>
      <c r="S97" s="550"/>
      <c r="T97" s="550"/>
      <c r="U97" s="550"/>
      <c r="V97" s="550"/>
      <c r="W97" s="550"/>
      <c r="X97" s="550"/>
      <c r="Y97" s="550"/>
      <c r="Z97" s="550"/>
      <c r="AA97" s="550"/>
      <c r="AB97" s="550"/>
      <c r="AC97" s="550"/>
      <c r="AD97" s="550"/>
      <c r="AE97" s="550"/>
      <c r="AF97" s="550"/>
      <c r="AG97" s="550"/>
      <c r="AH97" s="550"/>
      <c r="AI97" s="550"/>
      <c r="AJ97" s="550"/>
      <c r="AK97" s="550"/>
      <c r="AL97" s="550"/>
      <c r="AM97" s="550"/>
      <c r="AN97" s="550"/>
      <c r="AO97" s="550"/>
      <c r="AP97" s="550"/>
      <c r="AQ97" s="550"/>
      <c r="AR97" s="550"/>
      <c r="AS97" s="550"/>
      <c r="AT97" s="550"/>
      <c r="AU97" s="550"/>
      <c r="AV97" s="550"/>
      <c r="AW97" s="550"/>
      <c r="AX97" s="550"/>
      <c r="AY97" s="550"/>
      <c r="AZ97" s="550"/>
      <c r="BA97" s="550"/>
      <c r="BB97" s="550"/>
      <c r="BC97" s="550"/>
      <c r="BD97" s="550"/>
      <c r="BE97" s="550"/>
      <c r="BF97" s="550"/>
      <c r="BG97" s="550"/>
      <c r="BH97" s="550"/>
      <c r="BI97" s="550"/>
      <c r="BJ97" s="550"/>
      <c r="BK97" s="550"/>
      <c r="BL97" s="550"/>
      <c r="BM97" s="550"/>
      <c r="BN97" s="550"/>
      <c r="BO97" s="550"/>
      <c r="BP97" s="550"/>
      <c r="BQ97" s="550"/>
      <c r="BR97" s="550"/>
      <c r="BS97" s="550"/>
      <c r="BT97" s="550"/>
      <c r="BU97" s="550"/>
      <c r="BV97" s="550"/>
      <c r="BW97" s="550"/>
      <c r="BX97" s="544"/>
      <c r="BY97" s="544"/>
      <c r="BZ97" s="544"/>
      <c r="CA97" s="544"/>
      <c r="CB97" s="544"/>
      <c r="CC97" s="544"/>
      <c r="CD97" s="544"/>
      <c r="CE97" s="544"/>
      <c r="CF97" s="544"/>
      <c r="CG97" s="544"/>
      <c r="CH97" s="544"/>
      <c r="CI97" s="544"/>
      <c r="CJ97" s="544"/>
      <c r="CK97" s="544"/>
      <c r="CL97" s="544"/>
      <c r="CM97" s="544"/>
      <c r="CN97" s="544"/>
      <c r="CO97" s="544"/>
      <c r="CP97" s="544"/>
      <c r="CQ97" s="544">
        <f>+MEDIAN(H97,N97)</f>
        <v>13116.18</v>
      </c>
      <c r="CR97" s="544">
        <f>+AVERAGE(H97,N97)</f>
        <v>13116.18</v>
      </c>
      <c r="CS97" s="544">
        <f>+STDEV(H97,N97)</f>
        <v>2992.2213395402491</v>
      </c>
      <c r="CT97" s="545">
        <f t="shared" si="27"/>
        <v>0.22813207348025485</v>
      </c>
      <c r="CU97" s="544">
        <v>11022.689075630253</v>
      </c>
      <c r="CV97" s="544">
        <f t="shared" si="24"/>
        <v>2094.3109243697481</v>
      </c>
      <c r="CW97" s="546">
        <f t="shared" si="22"/>
        <v>13117</v>
      </c>
      <c r="CX97" s="546">
        <f t="shared" si="23"/>
        <v>13117</v>
      </c>
      <c r="CY97" s="551" t="s">
        <v>929</v>
      </c>
    </row>
    <row r="98" spans="1:103" s="549" customFormat="1" ht="43.5" x14ac:dyDescent="0.35">
      <c r="A98" s="540">
        <v>95</v>
      </c>
      <c r="B98" s="541" t="s">
        <v>1072</v>
      </c>
      <c r="C98" s="542" t="s">
        <v>1073</v>
      </c>
      <c r="D98" s="543" t="s">
        <v>928</v>
      </c>
      <c r="E98" s="543">
        <v>1</v>
      </c>
      <c r="F98" s="544"/>
      <c r="G98" s="544"/>
      <c r="H98" s="544"/>
      <c r="I98" s="544">
        <v>3781.5126050420172</v>
      </c>
      <c r="J98" s="544">
        <f t="shared" si="26"/>
        <v>718.48739495798327</v>
      </c>
      <c r="K98" s="544">
        <f>+I98+J98</f>
        <v>4500</v>
      </c>
      <c r="L98" s="544">
        <v>4104</v>
      </c>
      <c r="M98" s="544">
        <f t="shared" si="25"/>
        <v>779.76</v>
      </c>
      <c r="N98" s="544">
        <f>+L98+M98</f>
        <v>4883.76</v>
      </c>
      <c r="O98" s="550"/>
      <c r="P98" s="550"/>
      <c r="Q98" s="550"/>
      <c r="R98" s="544"/>
      <c r="S98" s="544"/>
      <c r="T98" s="553"/>
      <c r="U98" s="550"/>
      <c r="V98" s="550"/>
      <c r="W98" s="550"/>
      <c r="X98" s="550"/>
      <c r="Y98" s="550"/>
      <c r="Z98" s="550"/>
      <c r="AA98" s="550"/>
      <c r="AB98" s="550"/>
      <c r="AC98" s="550"/>
      <c r="AD98" s="550"/>
      <c r="AE98" s="550"/>
      <c r="AF98" s="550"/>
      <c r="AG98" s="550"/>
      <c r="AH98" s="550"/>
      <c r="AI98" s="550"/>
      <c r="AJ98" s="550"/>
      <c r="AK98" s="550"/>
      <c r="AL98" s="550"/>
      <c r="AM98" s="550"/>
      <c r="AN98" s="550"/>
      <c r="AO98" s="550"/>
      <c r="AP98" s="550"/>
      <c r="AQ98" s="550"/>
      <c r="AR98" s="550"/>
      <c r="AS98" s="550"/>
      <c r="AT98" s="550"/>
      <c r="AU98" s="550"/>
      <c r="AV98" s="550"/>
      <c r="AW98" s="550"/>
      <c r="AX98" s="550"/>
      <c r="AY98" s="550"/>
      <c r="AZ98" s="550"/>
      <c r="BA98" s="550"/>
      <c r="BB98" s="550"/>
      <c r="BC98" s="550"/>
      <c r="BD98" s="550"/>
      <c r="BE98" s="550"/>
      <c r="BF98" s="550"/>
      <c r="BG98" s="550"/>
      <c r="BH98" s="550"/>
      <c r="BI98" s="550"/>
      <c r="BJ98" s="550"/>
      <c r="BK98" s="550"/>
      <c r="BL98" s="550"/>
      <c r="BM98" s="550"/>
      <c r="BN98" s="550"/>
      <c r="BO98" s="550"/>
      <c r="BP98" s="550"/>
      <c r="BQ98" s="550"/>
      <c r="BR98" s="550"/>
      <c r="BS98" s="550"/>
      <c r="BT98" s="550"/>
      <c r="BU98" s="550"/>
      <c r="BV98" s="550"/>
      <c r="BW98" s="550"/>
      <c r="BX98" s="544"/>
      <c r="BY98" s="544"/>
      <c r="BZ98" s="544"/>
      <c r="CA98" s="544"/>
      <c r="CB98" s="544"/>
      <c r="CC98" s="544"/>
      <c r="CD98" s="544"/>
      <c r="CE98" s="544"/>
      <c r="CF98" s="544"/>
      <c r="CG98" s="544"/>
      <c r="CH98" s="544"/>
      <c r="CI98" s="544"/>
      <c r="CJ98" s="544"/>
      <c r="CK98" s="544"/>
      <c r="CL98" s="544"/>
      <c r="CM98" s="544"/>
      <c r="CN98" s="544"/>
      <c r="CO98" s="544"/>
      <c r="CP98" s="544"/>
      <c r="CQ98" s="544">
        <f>+MEDIAN(K98,N98)</f>
        <v>4691.88</v>
      </c>
      <c r="CR98" s="544">
        <f>+AVERAGE(K98,N98)</f>
        <v>4691.88</v>
      </c>
      <c r="CS98" s="544">
        <f>+STDEV(K98,N98)</f>
        <v>271.35929834814965</v>
      </c>
      <c r="CT98" s="545">
        <f t="shared" si="27"/>
        <v>5.7835941743639999E-2</v>
      </c>
      <c r="CU98" s="544">
        <v>3942.8571428571431</v>
      </c>
      <c r="CV98" s="544">
        <f t="shared" si="24"/>
        <v>749.14285714285722</v>
      </c>
      <c r="CW98" s="546">
        <f t="shared" si="22"/>
        <v>4692</v>
      </c>
      <c r="CX98" s="546">
        <f t="shared" si="23"/>
        <v>4692</v>
      </c>
      <c r="CY98" s="551" t="s">
        <v>932</v>
      </c>
    </row>
    <row r="99" spans="1:103" s="549" customFormat="1" ht="126" customHeight="1" x14ac:dyDescent="0.35">
      <c r="A99" s="540">
        <v>96</v>
      </c>
      <c r="B99" s="541" t="s">
        <v>1074</v>
      </c>
      <c r="C99" s="542" t="s">
        <v>1075</v>
      </c>
      <c r="D99" s="543" t="s">
        <v>928</v>
      </c>
      <c r="E99" s="543">
        <v>1</v>
      </c>
      <c r="F99" s="544"/>
      <c r="G99" s="544"/>
      <c r="H99" s="544"/>
      <c r="I99" s="544"/>
      <c r="J99" s="544"/>
      <c r="K99" s="544"/>
      <c r="L99" s="544"/>
      <c r="M99" s="544"/>
      <c r="N99" s="544"/>
      <c r="O99" s="550"/>
      <c r="P99" s="550"/>
      <c r="Q99" s="550"/>
      <c r="R99" s="544"/>
      <c r="S99" s="544"/>
      <c r="T99" s="544"/>
      <c r="U99" s="550"/>
      <c r="V99" s="550"/>
      <c r="W99" s="550"/>
      <c r="X99" s="550"/>
      <c r="Y99" s="550"/>
      <c r="Z99" s="550"/>
      <c r="AA99" s="550"/>
      <c r="AB99" s="550"/>
      <c r="AC99" s="550"/>
      <c r="AD99" s="550"/>
      <c r="AE99" s="550"/>
      <c r="AF99" s="550"/>
      <c r="AG99" s="550"/>
      <c r="AH99" s="550"/>
      <c r="AI99" s="550"/>
      <c r="AJ99" s="550"/>
      <c r="AK99" s="550"/>
      <c r="AL99" s="550"/>
      <c r="AM99" s="550"/>
      <c r="AN99" s="550"/>
      <c r="AO99" s="550">
        <f>56000/1.19</f>
        <v>47058.823529411769</v>
      </c>
      <c r="AP99" s="550">
        <f>+AO99*0.19</f>
        <v>8941.176470588236</v>
      </c>
      <c r="AQ99" s="550">
        <f>+AO99+AP99</f>
        <v>56000.000000000007</v>
      </c>
      <c r="AR99" s="544">
        <f>+AQ99*15%</f>
        <v>8400</v>
      </c>
      <c r="AS99" s="544">
        <f>+AQ99+AR99</f>
        <v>64400.000000000007</v>
      </c>
      <c r="AT99" s="544"/>
      <c r="AU99" s="544"/>
      <c r="AV99" s="544"/>
      <c r="AW99" s="544"/>
      <c r="AX99" s="544"/>
      <c r="AY99" s="544"/>
      <c r="AZ99" s="544"/>
      <c r="BA99" s="544"/>
      <c r="BB99" s="544"/>
      <c r="BC99" s="544"/>
      <c r="BD99" s="550"/>
      <c r="BE99" s="550"/>
      <c r="BF99" s="550"/>
      <c r="BG99" s="550"/>
      <c r="BH99" s="550"/>
      <c r="BI99" s="550"/>
      <c r="BJ99" s="550"/>
      <c r="BK99" s="550"/>
      <c r="BL99" s="550"/>
      <c r="BM99" s="550"/>
      <c r="BN99" s="550"/>
      <c r="BO99" s="550"/>
      <c r="BP99" s="550"/>
      <c r="BQ99" s="550"/>
      <c r="BR99" s="550"/>
      <c r="BS99" s="550"/>
      <c r="BT99" s="550"/>
      <c r="BU99" s="550"/>
      <c r="BV99" s="550"/>
      <c r="BW99" s="550"/>
      <c r="BX99" s="544"/>
      <c r="BY99" s="544"/>
      <c r="BZ99" s="544"/>
      <c r="CA99" s="544"/>
      <c r="CB99" s="544"/>
      <c r="CC99" s="544"/>
      <c r="CD99" s="544"/>
      <c r="CE99" s="544"/>
      <c r="CF99" s="544"/>
      <c r="CG99" s="544"/>
      <c r="CH99" s="544"/>
      <c r="CI99" s="544">
        <f>49900/1.19</f>
        <v>41932.773109243702</v>
      </c>
      <c r="CJ99" s="544">
        <f>+CI99*19%</f>
        <v>7967.2268907563039</v>
      </c>
      <c r="CK99" s="544">
        <f>+CI99+CJ99</f>
        <v>49900.000000000007</v>
      </c>
      <c r="CL99" s="544">
        <f>+CK99*15%</f>
        <v>7485.0000000000009</v>
      </c>
      <c r="CM99" s="544">
        <f>+CK99+CL99</f>
        <v>57385.000000000007</v>
      </c>
      <c r="CN99" s="544"/>
      <c r="CO99" s="544"/>
      <c r="CP99" s="544"/>
      <c r="CQ99" s="544">
        <f>+MEDIAN(AS99,CM99)</f>
        <v>60892.500000000007</v>
      </c>
      <c r="CR99" s="544">
        <f>+AVERAGE(AS99,CM99)</f>
        <v>60892.500000000007</v>
      </c>
      <c r="CS99" s="544">
        <f>+STDEV(AS99,CM99)</f>
        <v>4960.3540700236308</v>
      </c>
      <c r="CT99" s="545">
        <f>+CS99/CR99</f>
        <v>8.1460837870404895E-2</v>
      </c>
      <c r="CU99" s="544">
        <v>51170.588235294119</v>
      </c>
      <c r="CV99" s="544">
        <f>+CU99*19%</f>
        <v>9722.4117647058829</v>
      </c>
      <c r="CW99" s="546">
        <f t="shared" si="22"/>
        <v>60893</v>
      </c>
      <c r="CX99" s="546">
        <f t="shared" si="23"/>
        <v>60893</v>
      </c>
      <c r="CY99" s="551" t="s">
        <v>932</v>
      </c>
    </row>
    <row r="100" spans="1:103" s="549" customFormat="1" x14ac:dyDescent="0.35">
      <c r="A100" s="540">
        <v>97</v>
      </c>
      <c r="B100" s="541" t="s">
        <v>1076</v>
      </c>
      <c r="C100" s="542" t="s">
        <v>1077</v>
      </c>
      <c r="D100" s="543" t="s">
        <v>928</v>
      </c>
      <c r="E100" s="543">
        <v>1</v>
      </c>
      <c r="F100" s="544"/>
      <c r="G100" s="544"/>
      <c r="H100" s="544"/>
      <c r="I100" s="544"/>
      <c r="J100" s="544"/>
      <c r="K100" s="544"/>
      <c r="L100" s="544"/>
      <c r="M100" s="544"/>
      <c r="N100" s="544"/>
      <c r="O100" s="550"/>
      <c r="P100" s="550"/>
      <c r="Q100" s="550"/>
      <c r="R100" s="544">
        <v>126050.42016806723</v>
      </c>
      <c r="S100" s="544">
        <f>+R100*19%</f>
        <v>23949.579831932773</v>
      </c>
      <c r="T100" s="544">
        <f>+R100+S100</f>
        <v>150000</v>
      </c>
      <c r="U100" s="550">
        <v>180672.26890756303</v>
      </c>
      <c r="V100" s="550">
        <f>+U100*0.19</f>
        <v>34327.731092436974</v>
      </c>
      <c r="W100" s="550">
        <f>+U100+V100</f>
        <v>215000</v>
      </c>
      <c r="X100" s="550"/>
      <c r="Y100" s="550">
        <v>110924.36974789917</v>
      </c>
      <c r="Z100" s="550">
        <f>+Y100*0.19</f>
        <v>21075.630252100844</v>
      </c>
      <c r="AA100" s="550">
        <f t="shared" ref="AA100:AA106" si="28">+Y100+Z100</f>
        <v>132000</v>
      </c>
      <c r="AB100" s="550"/>
      <c r="AC100" s="550"/>
      <c r="AD100" s="550"/>
      <c r="AE100" s="550"/>
      <c r="AF100" s="550"/>
      <c r="AG100" s="550"/>
      <c r="AH100" s="550"/>
      <c r="AI100" s="550"/>
      <c r="AJ100" s="550"/>
      <c r="AK100" s="550"/>
      <c r="AL100" s="550"/>
      <c r="AM100" s="550"/>
      <c r="AN100" s="550"/>
      <c r="AO100" s="550"/>
      <c r="AP100" s="550"/>
      <c r="AQ100" s="550"/>
      <c r="AR100" s="550"/>
      <c r="AS100" s="550"/>
      <c r="AT100" s="550"/>
      <c r="AU100" s="550"/>
      <c r="AV100" s="550"/>
      <c r="AW100" s="550"/>
      <c r="AX100" s="550"/>
      <c r="AY100" s="550"/>
      <c r="AZ100" s="550"/>
      <c r="BA100" s="550"/>
      <c r="BB100" s="550"/>
      <c r="BC100" s="550"/>
      <c r="BD100" s="550"/>
      <c r="BE100" s="550"/>
      <c r="BF100" s="550"/>
      <c r="BG100" s="550"/>
      <c r="BH100" s="550"/>
      <c r="BI100" s="550"/>
      <c r="BJ100" s="550"/>
      <c r="BK100" s="550"/>
      <c r="BL100" s="550"/>
      <c r="BM100" s="550"/>
      <c r="BN100" s="550"/>
      <c r="BO100" s="550"/>
      <c r="BP100" s="550"/>
      <c r="BQ100" s="550"/>
      <c r="BR100" s="550"/>
      <c r="BS100" s="550"/>
      <c r="BT100" s="550"/>
      <c r="BU100" s="550"/>
      <c r="BV100" s="550"/>
      <c r="BW100" s="550"/>
      <c r="BX100" s="544"/>
      <c r="BY100" s="544"/>
      <c r="BZ100" s="544"/>
      <c r="CA100" s="544"/>
      <c r="CB100" s="544"/>
      <c r="CC100" s="544"/>
      <c r="CD100" s="544"/>
      <c r="CE100" s="544"/>
      <c r="CF100" s="544"/>
      <c r="CG100" s="544"/>
      <c r="CH100" s="544"/>
      <c r="CI100" s="544"/>
      <c r="CJ100" s="544"/>
      <c r="CK100" s="544"/>
      <c r="CL100" s="544"/>
      <c r="CM100" s="544"/>
      <c r="CN100" s="544"/>
      <c r="CO100" s="544"/>
      <c r="CP100" s="544"/>
      <c r="CQ100" s="544">
        <f>+MEDIAN(T100,W100,AA100)</f>
        <v>150000</v>
      </c>
      <c r="CR100" s="544">
        <f>+AVERAGE(T100,W100,AA100)</f>
        <v>165666.66666666666</v>
      </c>
      <c r="CS100" s="544">
        <f>+STDEV(T100,W100,AA100)</f>
        <v>43661.577311560053</v>
      </c>
      <c r="CT100" s="545">
        <f t="shared" ref="CT100:CT108" si="29">CS100/CR100</f>
        <v>0.26355076848024178</v>
      </c>
      <c r="CU100" s="544">
        <v>126050.42016806723</v>
      </c>
      <c r="CV100" s="544">
        <f t="shared" si="24"/>
        <v>23949.579831932773</v>
      </c>
      <c r="CW100" s="546">
        <f t="shared" ref="CW100:CW110" si="30">+ROUNDUP(IF(CT100&lt;15%,CR100,CQ100),0)</f>
        <v>150000</v>
      </c>
      <c r="CX100" s="546">
        <f t="shared" ref="CX100:CX110" si="31">+CW100*E100</f>
        <v>150000</v>
      </c>
      <c r="CY100" s="547" t="s">
        <v>929</v>
      </c>
    </row>
    <row r="101" spans="1:103" s="549" customFormat="1" ht="103.5" customHeight="1" x14ac:dyDescent="0.35">
      <c r="A101" s="540">
        <v>98</v>
      </c>
      <c r="B101" s="541" t="s">
        <v>1078</v>
      </c>
      <c r="C101" s="542" t="s">
        <v>1079</v>
      </c>
      <c r="D101" s="543" t="s">
        <v>928</v>
      </c>
      <c r="E101" s="543">
        <v>1</v>
      </c>
      <c r="F101" s="544">
        <v>142857</v>
      </c>
      <c r="G101" s="544">
        <f>+F101*19%</f>
        <v>27142.83</v>
      </c>
      <c r="H101" s="544">
        <f>+F101+G101</f>
        <v>169999.83000000002</v>
      </c>
      <c r="I101" s="544"/>
      <c r="J101" s="544"/>
      <c r="K101" s="544"/>
      <c r="L101" s="544">
        <v>139079</v>
      </c>
      <c r="M101" s="544">
        <f t="shared" si="25"/>
        <v>26425.010000000002</v>
      </c>
      <c r="N101" s="544">
        <f t="shared" ref="N101:N107" si="32">+L101+M101</f>
        <v>165504.01</v>
      </c>
      <c r="O101" s="550"/>
      <c r="P101" s="550"/>
      <c r="Q101" s="550"/>
      <c r="R101" s="550"/>
      <c r="S101" s="550"/>
      <c r="T101" s="550"/>
      <c r="U101" s="550"/>
      <c r="V101" s="550"/>
      <c r="W101" s="550"/>
      <c r="X101" s="550"/>
      <c r="Y101" s="550"/>
      <c r="Z101" s="550"/>
      <c r="AA101" s="550"/>
      <c r="AB101" s="550"/>
      <c r="AC101" s="550"/>
      <c r="AD101" s="550"/>
      <c r="AE101" s="550"/>
      <c r="AF101" s="550"/>
      <c r="AG101" s="550"/>
      <c r="AH101" s="550"/>
      <c r="AI101" s="550"/>
      <c r="AJ101" s="550"/>
      <c r="AK101" s="550"/>
      <c r="AL101" s="550"/>
      <c r="AM101" s="550"/>
      <c r="AN101" s="550"/>
      <c r="AO101" s="550"/>
      <c r="AP101" s="550"/>
      <c r="AQ101" s="550"/>
      <c r="AR101" s="550"/>
      <c r="AS101" s="550"/>
      <c r="AT101" s="550"/>
      <c r="AU101" s="550"/>
      <c r="AV101" s="550"/>
      <c r="AW101" s="550"/>
      <c r="AX101" s="550"/>
      <c r="AY101" s="550"/>
      <c r="AZ101" s="550"/>
      <c r="BA101" s="550"/>
      <c r="BB101" s="550"/>
      <c r="BC101" s="550"/>
      <c r="BD101" s="550"/>
      <c r="BE101" s="550"/>
      <c r="BF101" s="550"/>
      <c r="BG101" s="550"/>
      <c r="BH101" s="550"/>
      <c r="BI101" s="550"/>
      <c r="BJ101" s="550"/>
      <c r="BK101" s="550"/>
      <c r="BL101" s="550"/>
      <c r="BM101" s="550"/>
      <c r="BN101" s="550"/>
      <c r="BO101" s="550"/>
      <c r="BP101" s="550"/>
      <c r="BQ101" s="550"/>
      <c r="BR101" s="550"/>
      <c r="BS101" s="550"/>
      <c r="BT101" s="550"/>
      <c r="BU101" s="550"/>
      <c r="BV101" s="550"/>
      <c r="BW101" s="550"/>
      <c r="BX101" s="544"/>
      <c r="BY101" s="544"/>
      <c r="BZ101" s="544"/>
      <c r="CA101" s="544"/>
      <c r="CB101" s="544"/>
      <c r="CC101" s="544"/>
      <c r="CD101" s="544"/>
      <c r="CE101" s="544"/>
      <c r="CF101" s="544"/>
      <c r="CG101" s="544"/>
      <c r="CH101" s="544"/>
      <c r="CI101" s="544"/>
      <c r="CJ101" s="544"/>
      <c r="CK101" s="544"/>
      <c r="CL101" s="544"/>
      <c r="CM101" s="544"/>
      <c r="CN101" s="544"/>
      <c r="CO101" s="544"/>
      <c r="CP101" s="544"/>
      <c r="CQ101" s="544">
        <f>+MEDIAN(H101,N101)</f>
        <v>167751.92000000001</v>
      </c>
      <c r="CR101" s="544">
        <f>+AVERAGE(H101,N101)</f>
        <v>167751.92000000001</v>
      </c>
      <c r="CS101" s="544">
        <f>+STDEV(H101,N101)</f>
        <v>3179.0248089941088</v>
      </c>
      <c r="CT101" s="545">
        <f t="shared" si="29"/>
        <v>1.8950750662013936E-2</v>
      </c>
      <c r="CU101" s="544">
        <v>140968.06722689077</v>
      </c>
      <c r="CV101" s="544">
        <f t="shared" si="24"/>
        <v>26783.932773109245</v>
      </c>
      <c r="CW101" s="546">
        <f t="shared" si="30"/>
        <v>167752</v>
      </c>
      <c r="CX101" s="546">
        <f t="shared" si="31"/>
        <v>167752</v>
      </c>
      <c r="CY101" s="551" t="s">
        <v>932</v>
      </c>
    </row>
    <row r="102" spans="1:103" s="549" customFormat="1" ht="56.25" customHeight="1" x14ac:dyDescent="0.35">
      <c r="A102" s="540">
        <v>99</v>
      </c>
      <c r="B102" s="541" t="s">
        <v>1078</v>
      </c>
      <c r="C102" s="542" t="s">
        <v>1080</v>
      </c>
      <c r="D102" s="543" t="s">
        <v>928</v>
      </c>
      <c r="E102" s="543">
        <v>1</v>
      </c>
      <c r="F102" s="544"/>
      <c r="G102" s="544"/>
      <c r="H102" s="544"/>
      <c r="I102" s="544"/>
      <c r="J102" s="544"/>
      <c r="K102" s="544"/>
      <c r="L102" s="544">
        <v>96704</v>
      </c>
      <c r="M102" s="544">
        <f t="shared" si="25"/>
        <v>18373.759999999998</v>
      </c>
      <c r="N102" s="544">
        <f t="shared" si="32"/>
        <v>115077.75999999999</v>
      </c>
      <c r="O102" s="550"/>
      <c r="P102" s="550"/>
      <c r="Q102" s="550"/>
      <c r="R102" s="550"/>
      <c r="S102" s="550"/>
      <c r="T102" s="550"/>
      <c r="U102" s="550"/>
      <c r="V102" s="550"/>
      <c r="W102" s="550"/>
      <c r="X102" s="550"/>
      <c r="Y102" s="550">
        <f>132000/1.19</f>
        <v>110924.36974789917</v>
      </c>
      <c r="Z102" s="550">
        <f>+Y102*0.19</f>
        <v>21075.630252100844</v>
      </c>
      <c r="AA102" s="550">
        <f t="shared" si="28"/>
        <v>132000</v>
      </c>
      <c r="AB102" s="550"/>
      <c r="AC102" s="550"/>
      <c r="AD102" s="550"/>
      <c r="AE102" s="550"/>
      <c r="AF102" s="550"/>
      <c r="AG102" s="550"/>
      <c r="AH102" s="550"/>
      <c r="AI102" s="550"/>
      <c r="AJ102" s="550"/>
      <c r="AK102" s="550"/>
      <c r="AL102" s="550"/>
      <c r="AM102" s="550"/>
      <c r="AN102" s="550"/>
      <c r="AO102" s="550"/>
      <c r="AP102" s="550"/>
      <c r="AQ102" s="550"/>
      <c r="AR102" s="550"/>
      <c r="AS102" s="550"/>
      <c r="AT102" s="550"/>
      <c r="AU102" s="550"/>
      <c r="AV102" s="550"/>
      <c r="AW102" s="550"/>
      <c r="AX102" s="550"/>
      <c r="AY102" s="550"/>
      <c r="AZ102" s="550"/>
      <c r="BA102" s="550"/>
      <c r="BB102" s="550"/>
      <c r="BC102" s="550"/>
      <c r="BD102" s="550"/>
      <c r="BE102" s="550"/>
      <c r="BF102" s="550"/>
      <c r="BG102" s="550"/>
      <c r="BH102" s="550"/>
      <c r="BI102" s="550"/>
      <c r="BJ102" s="550"/>
      <c r="BK102" s="550"/>
      <c r="BL102" s="550"/>
      <c r="BM102" s="550"/>
      <c r="BN102" s="550"/>
      <c r="BO102" s="550"/>
      <c r="BP102" s="550"/>
      <c r="BQ102" s="550"/>
      <c r="BR102" s="550"/>
      <c r="BS102" s="550"/>
      <c r="BT102" s="550"/>
      <c r="BU102" s="550"/>
      <c r="BV102" s="550"/>
      <c r="BW102" s="550"/>
      <c r="BX102" s="544"/>
      <c r="BY102" s="544"/>
      <c r="BZ102" s="544"/>
      <c r="CA102" s="544"/>
      <c r="CB102" s="544"/>
      <c r="CC102" s="544"/>
      <c r="CD102" s="544"/>
      <c r="CE102" s="544"/>
      <c r="CF102" s="544"/>
      <c r="CG102" s="544"/>
      <c r="CH102" s="544"/>
      <c r="CI102" s="544"/>
      <c r="CJ102" s="544"/>
      <c r="CK102" s="544"/>
      <c r="CL102" s="544"/>
      <c r="CM102" s="544"/>
      <c r="CN102" s="544"/>
      <c r="CO102" s="544"/>
      <c r="CP102" s="544"/>
      <c r="CQ102" s="544">
        <f>+MEDIAN(N102,AA102)</f>
        <v>123538.88</v>
      </c>
      <c r="CR102" s="544">
        <f>+AVERAGE(N102,AA102)</f>
        <v>123538.88</v>
      </c>
      <c r="CS102" s="544">
        <f>+STDEV(N102,AA102)</f>
        <v>11965.830656866246</v>
      </c>
      <c r="CT102" s="545">
        <f t="shared" si="29"/>
        <v>9.6858824176374647E-2</v>
      </c>
      <c r="CU102" s="544">
        <v>103814.28571428572</v>
      </c>
      <c r="CV102" s="544">
        <f t="shared" si="24"/>
        <v>19724.714285714286</v>
      </c>
      <c r="CW102" s="546">
        <f t="shared" si="30"/>
        <v>123539</v>
      </c>
      <c r="CX102" s="546">
        <f t="shared" si="31"/>
        <v>123539</v>
      </c>
      <c r="CY102" s="551" t="s">
        <v>932</v>
      </c>
    </row>
    <row r="103" spans="1:103" s="549" customFormat="1" ht="29" x14ac:dyDescent="0.35">
      <c r="A103" s="540">
        <v>100</v>
      </c>
      <c r="B103" s="541" t="s">
        <v>652</v>
      </c>
      <c r="C103" s="542" t="s">
        <v>1081</v>
      </c>
      <c r="D103" s="543" t="s">
        <v>928</v>
      </c>
      <c r="E103" s="543">
        <v>1</v>
      </c>
      <c r="F103" s="544"/>
      <c r="G103" s="544"/>
      <c r="H103" s="544"/>
      <c r="I103" s="544">
        <v>201.33333333333334</v>
      </c>
      <c r="J103" s="544">
        <f t="shared" si="26"/>
        <v>38.253333333333337</v>
      </c>
      <c r="K103" s="544">
        <f t="shared" ref="K103:K108" si="33">+I103+J103</f>
        <v>239.58666666666667</v>
      </c>
      <c r="L103" s="544">
        <v>270</v>
      </c>
      <c r="M103" s="544">
        <f t="shared" si="25"/>
        <v>51.3</v>
      </c>
      <c r="N103" s="544">
        <f t="shared" si="32"/>
        <v>321.3</v>
      </c>
      <c r="O103" s="550"/>
      <c r="P103" s="550"/>
      <c r="Q103" s="550"/>
      <c r="R103" s="544"/>
      <c r="S103" s="544"/>
      <c r="T103" s="544"/>
      <c r="U103" s="550"/>
      <c r="V103" s="550"/>
      <c r="W103" s="550"/>
      <c r="X103" s="550"/>
      <c r="Y103" s="550"/>
      <c r="Z103" s="550"/>
      <c r="AA103" s="550"/>
      <c r="AB103" s="550"/>
      <c r="AC103" s="550"/>
      <c r="AD103" s="550"/>
      <c r="AE103" s="550"/>
      <c r="AF103" s="550"/>
      <c r="AG103" s="550"/>
      <c r="AH103" s="550"/>
      <c r="AI103" s="550"/>
      <c r="AJ103" s="550"/>
      <c r="AK103" s="550"/>
      <c r="AL103" s="550"/>
      <c r="AM103" s="550"/>
      <c r="AN103" s="550"/>
      <c r="AO103" s="550"/>
      <c r="AP103" s="550"/>
      <c r="AQ103" s="550"/>
      <c r="AR103" s="550"/>
      <c r="AS103" s="550"/>
      <c r="AT103" s="550"/>
      <c r="AU103" s="550"/>
      <c r="AV103" s="550"/>
      <c r="AW103" s="550"/>
      <c r="AX103" s="550"/>
      <c r="AY103" s="550"/>
      <c r="AZ103" s="550"/>
      <c r="BA103" s="550"/>
      <c r="BB103" s="550"/>
      <c r="BC103" s="550"/>
      <c r="BD103" s="550"/>
      <c r="BE103" s="550"/>
      <c r="BF103" s="550"/>
      <c r="BG103" s="550"/>
      <c r="BH103" s="550"/>
      <c r="BI103" s="550"/>
      <c r="BJ103" s="550"/>
      <c r="BK103" s="550"/>
      <c r="BL103" s="550"/>
      <c r="BM103" s="550"/>
      <c r="BN103" s="550"/>
      <c r="BO103" s="550"/>
      <c r="BP103" s="550"/>
      <c r="BQ103" s="550"/>
      <c r="BR103" s="550"/>
      <c r="BS103" s="550"/>
      <c r="BT103" s="550"/>
      <c r="BU103" s="550"/>
      <c r="BV103" s="550"/>
      <c r="BW103" s="550"/>
      <c r="BX103" s="544"/>
      <c r="BY103" s="544"/>
      <c r="BZ103" s="544"/>
      <c r="CA103" s="544"/>
      <c r="CB103" s="544"/>
      <c r="CC103" s="544"/>
      <c r="CD103" s="544"/>
      <c r="CE103" s="544"/>
      <c r="CF103" s="544"/>
      <c r="CG103" s="544"/>
      <c r="CH103" s="544"/>
      <c r="CI103" s="544"/>
      <c r="CJ103" s="544"/>
      <c r="CK103" s="544"/>
      <c r="CL103" s="544"/>
      <c r="CM103" s="544"/>
      <c r="CN103" s="544"/>
      <c r="CO103" s="544"/>
      <c r="CP103" s="544"/>
      <c r="CQ103" s="544">
        <f>+MEDIAN(K103,N103)</f>
        <v>280.44333333333333</v>
      </c>
      <c r="CR103" s="544">
        <f>+AVERAGE(K103,N103)</f>
        <v>280.44333333333333</v>
      </c>
      <c r="CS103" s="544">
        <f>+STDEV(K103,N103)</f>
        <v>57.780052113356852</v>
      </c>
      <c r="CT103" s="545">
        <f t="shared" si="29"/>
        <v>0.20603111304728294</v>
      </c>
      <c r="CU103" s="544">
        <v>236.1344537815126</v>
      </c>
      <c r="CV103" s="544">
        <f>+CU103*0.19</f>
        <v>44.865546218487395</v>
      </c>
      <c r="CW103" s="546">
        <f t="shared" si="30"/>
        <v>281</v>
      </c>
      <c r="CX103" s="546">
        <f t="shared" si="31"/>
        <v>281</v>
      </c>
      <c r="CY103" s="547" t="s">
        <v>929</v>
      </c>
    </row>
    <row r="104" spans="1:103" s="549" customFormat="1" ht="43.5" customHeight="1" x14ac:dyDescent="0.35">
      <c r="A104" s="540">
        <v>101</v>
      </c>
      <c r="B104" s="541" t="s">
        <v>1082</v>
      </c>
      <c r="C104" s="542" t="s">
        <v>1083</v>
      </c>
      <c r="D104" s="543" t="s">
        <v>24</v>
      </c>
      <c r="E104" s="543">
        <v>1</v>
      </c>
      <c r="F104" s="544"/>
      <c r="G104" s="544"/>
      <c r="H104" s="544"/>
      <c r="I104" s="544"/>
      <c r="J104" s="544"/>
      <c r="K104" s="544"/>
      <c r="L104" s="544"/>
      <c r="M104" s="544"/>
      <c r="N104" s="544"/>
      <c r="O104" s="550"/>
      <c r="P104" s="550"/>
      <c r="Q104" s="550"/>
      <c r="R104" s="544"/>
      <c r="S104" s="544"/>
      <c r="T104" s="544"/>
      <c r="U104" s="550"/>
      <c r="V104" s="550"/>
      <c r="W104" s="550"/>
      <c r="X104" s="550"/>
      <c r="Y104" s="550"/>
      <c r="Z104" s="550"/>
      <c r="AA104" s="550"/>
      <c r="AB104" s="550"/>
      <c r="AC104" s="550"/>
      <c r="AD104" s="550"/>
      <c r="AE104" s="550"/>
      <c r="AF104" s="550"/>
      <c r="AG104" s="550"/>
      <c r="AH104" s="550"/>
      <c r="AI104" s="550"/>
      <c r="AJ104" s="550"/>
      <c r="AK104" s="550"/>
      <c r="AL104" s="550"/>
      <c r="AM104" s="550"/>
      <c r="AN104" s="550"/>
      <c r="AO104" s="550"/>
      <c r="AP104" s="550"/>
      <c r="AQ104" s="550"/>
      <c r="AR104" s="550"/>
      <c r="AS104" s="550"/>
      <c r="AT104" s="550">
        <v>27058.823529411766</v>
      </c>
      <c r="AU104" s="550">
        <f>+AT104*0.19</f>
        <v>5141.1764705882351</v>
      </c>
      <c r="AV104" s="550">
        <f>+AT104+AU104</f>
        <v>32200</v>
      </c>
      <c r="AW104" s="550">
        <f>+AV104*15%</f>
        <v>4830</v>
      </c>
      <c r="AX104" s="550">
        <f>+AV104+AW104</f>
        <v>37030</v>
      </c>
      <c r="AY104" s="550">
        <v>28487.394957983193</v>
      </c>
      <c r="AZ104" s="550">
        <f>+AY104*19%</f>
        <v>5412.6050420168067</v>
      </c>
      <c r="BA104" s="550">
        <f>+AY104+AZ104</f>
        <v>33900</v>
      </c>
      <c r="BB104" s="550">
        <f>+BA104*15%</f>
        <v>5085</v>
      </c>
      <c r="BC104" s="550">
        <f>+BA104+BB104</f>
        <v>38985</v>
      </c>
      <c r="BD104" s="550"/>
      <c r="BE104" s="550"/>
      <c r="BF104" s="550"/>
      <c r="BG104" s="550"/>
      <c r="BH104" s="550"/>
      <c r="BI104" s="550"/>
      <c r="BJ104" s="550"/>
      <c r="BK104" s="550"/>
      <c r="BL104" s="550"/>
      <c r="BM104" s="550"/>
      <c r="BN104" s="550"/>
      <c r="BO104" s="550"/>
      <c r="BP104" s="550"/>
      <c r="BQ104" s="550"/>
      <c r="BR104" s="550"/>
      <c r="BS104" s="550"/>
      <c r="BT104" s="550"/>
      <c r="BU104" s="550"/>
      <c r="BV104" s="550"/>
      <c r="BW104" s="550"/>
      <c r="BX104" s="544"/>
      <c r="BY104" s="544"/>
      <c r="BZ104" s="544"/>
      <c r="CA104" s="544"/>
      <c r="CB104" s="544"/>
      <c r="CC104" s="544"/>
      <c r="CD104" s="544"/>
      <c r="CE104" s="544"/>
      <c r="CF104" s="544"/>
      <c r="CG104" s="544"/>
      <c r="CH104" s="544"/>
      <c r="CI104" s="544"/>
      <c r="CJ104" s="544"/>
      <c r="CK104" s="544"/>
      <c r="CL104" s="544"/>
      <c r="CM104" s="544"/>
      <c r="CN104" s="544"/>
      <c r="CO104" s="544"/>
      <c r="CP104" s="544"/>
      <c r="CQ104" s="544">
        <f>+MEDIAN(AX104,BC104)</f>
        <v>38007.5</v>
      </c>
      <c r="CR104" s="544">
        <f>+AVERAGE(AX104,BC104)</f>
        <v>38007.5</v>
      </c>
      <c r="CS104" s="544">
        <f>+STDEV(AX104,BC104)</f>
        <v>1382.3937572197003</v>
      </c>
      <c r="CT104" s="545">
        <f>CS104/CR104</f>
        <v>3.637160447858187E-2</v>
      </c>
      <c r="CU104" s="544">
        <v>31939.495798319331</v>
      </c>
      <c r="CV104" s="544">
        <f>+CU104*19%</f>
        <v>6068.5042016806728</v>
      </c>
      <c r="CW104" s="546">
        <f t="shared" si="30"/>
        <v>38008</v>
      </c>
      <c r="CX104" s="546">
        <f t="shared" si="31"/>
        <v>38008</v>
      </c>
      <c r="CY104" s="547" t="s">
        <v>932</v>
      </c>
    </row>
    <row r="105" spans="1:103" s="549" customFormat="1" ht="29" x14ac:dyDescent="0.35">
      <c r="A105" s="540">
        <v>102</v>
      </c>
      <c r="B105" s="541" t="s">
        <v>839</v>
      </c>
      <c r="C105" s="542" t="s">
        <v>1084</v>
      </c>
      <c r="D105" s="543" t="s">
        <v>928</v>
      </c>
      <c r="E105" s="543">
        <v>1</v>
      </c>
      <c r="F105" s="544"/>
      <c r="G105" s="544"/>
      <c r="H105" s="544"/>
      <c r="I105" s="544">
        <v>4285.7142857142862</v>
      </c>
      <c r="J105" s="544">
        <f t="shared" si="26"/>
        <v>814.28571428571445</v>
      </c>
      <c r="K105" s="544">
        <f t="shared" si="33"/>
        <v>5100.0000000000009</v>
      </c>
      <c r="L105" s="544">
        <v>3041</v>
      </c>
      <c r="M105" s="544">
        <f t="shared" si="25"/>
        <v>577.79</v>
      </c>
      <c r="N105" s="544">
        <f t="shared" si="32"/>
        <v>3618.79</v>
      </c>
      <c r="O105" s="550"/>
      <c r="P105" s="550"/>
      <c r="Q105" s="550"/>
      <c r="R105" s="544"/>
      <c r="S105" s="544"/>
      <c r="T105" s="544"/>
      <c r="U105" s="550"/>
      <c r="V105" s="550"/>
      <c r="W105" s="550"/>
      <c r="X105" s="550"/>
      <c r="Y105" s="550"/>
      <c r="Z105" s="550"/>
      <c r="AA105" s="550"/>
      <c r="AB105" s="550"/>
      <c r="AC105" s="550"/>
      <c r="AD105" s="550"/>
      <c r="AE105" s="550"/>
      <c r="AF105" s="550"/>
      <c r="AG105" s="550"/>
      <c r="AH105" s="550"/>
      <c r="AI105" s="550"/>
      <c r="AJ105" s="550"/>
      <c r="AK105" s="550"/>
      <c r="AL105" s="550"/>
      <c r="AM105" s="550"/>
      <c r="AN105" s="550"/>
      <c r="AO105" s="550"/>
      <c r="AP105" s="550"/>
      <c r="AQ105" s="550"/>
      <c r="AR105" s="550"/>
      <c r="AS105" s="550"/>
      <c r="AT105" s="550"/>
      <c r="AU105" s="550"/>
      <c r="AV105" s="550"/>
      <c r="AW105" s="550"/>
      <c r="AX105" s="550"/>
      <c r="AY105" s="550"/>
      <c r="AZ105" s="550"/>
      <c r="BA105" s="550"/>
      <c r="BB105" s="550"/>
      <c r="BC105" s="550"/>
      <c r="BD105" s="550"/>
      <c r="BE105" s="550"/>
      <c r="BF105" s="550"/>
      <c r="BG105" s="550"/>
      <c r="BH105" s="550"/>
      <c r="BI105" s="550"/>
      <c r="BJ105" s="550"/>
      <c r="BK105" s="550"/>
      <c r="BL105" s="550"/>
      <c r="BM105" s="550"/>
      <c r="BN105" s="550"/>
      <c r="BO105" s="550"/>
      <c r="BP105" s="550"/>
      <c r="BQ105" s="550"/>
      <c r="BR105" s="550"/>
      <c r="BS105" s="550"/>
      <c r="BT105" s="550"/>
      <c r="BU105" s="550"/>
      <c r="BV105" s="550"/>
      <c r="BW105" s="550"/>
      <c r="BX105" s="544"/>
      <c r="BY105" s="544"/>
      <c r="BZ105" s="544"/>
      <c r="CA105" s="544"/>
      <c r="CB105" s="544"/>
      <c r="CC105" s="544"/>
      <c r="CD105" s="544"/>
      <c r="CE105" s="544"/>
      <c r="CF105" s="544"/>
      <c r="CG105" s="544"/>
      <c r="CH105" s="544"/>
      <c r="CI105" s="544"/>
      <c r="CJ105" s="544"/>
      <c r="CK105" s="544"/>
      <c r="CL105" s="544"/>
      <c r="CM105" s="544"/>
      <c r="CN105" s="544"/>
      <c r="CO105" s="544"/>
      <c r="CP105" s="544"/>
      <c r="CQ105" s="544">
        <f>+MEDIAN(K105,N105)</f>
        <v>4359.3950000000004</v>
      </c>
      <c r="CR105" s="544">
        <f>+AVERAGE(K105,N105)</f>
        <v>4359.3950000000004</v>
      </c>
      <c r="CS105" s="544">
        <f>+STDEV(K105,N105)</f>
        <v>1047.3736353613253</v>
      </c>
      <c r="CT105" s="545">
        <f t="shared" si="29"/>
        <v>0.24025664922800646</v>
      </c>
      <c r="CU105" s="544">
        <v>3663.8655462184875</v>
      </c>
      <c r="CV105" s="544">
        <f t="shared" si="24"/>
        <v>696.13445378151266</v>
      </c>
      <c r="CW105" s="546">
        <f t="shared" si="30"/>
        <v>4360</v>
      </c>
      <c r="CX105" s="546">
        <f t="shared" si="31"/>
        <v>4360</v>
      </c>
      <c r="CY105" s="551" t="s">
        <v>929</v>
      </c>
    </row>
    <row r="106" spans="1:103" s="549" customFormat="1" ht="81" customHeight="1" x14ac:dyDescent="0.35">
      <c r="A106" s="540">
        <v>103</v>
      </c>
      <c r="B106" s="541" t="s">
        <v>1085</v>
      </c>
      <c r="C106" s="542" t="s">
        <v>1086</v>
      </c>
      <c r="D106" s="543" t="s">
        <v>928</v>
      </c>
      <c r="E106" s="543">
        <v>1</v>
      </c>
      <c r="F106" s="544"/>
      <c r="G106" s="544"/>
      <c r="H106" s="544"/>
      <c r="I106" s="544"/>
      <c r="J106" s="544"/>
      <c r="K106" s="544"/>
      <c r="L106" s="544"/>
      <c r="M106" s="544"/>
      <c r="N106" s="544"/>
      <c r="O106" s="550"/>
      <c r="P106" s="550"/>
      <c r="Q106" s="550"/>
      <c r="R106" s="544"/>
      <c r="S106" s="544"/>
      <c r="T106" s="544"/>
      <c r="U106" s="550"/>
      <c r="V106" s="550"/>
      <c r="W106" s="550"/>
      <c r="X106" s="550"/>
      <c r="Y106" s="550">
        <v>1680.6722689075632</v>
      </c>
      <c r="Z106" s="550">
        <f>+Y106*0.19</f>
        <v>319.32773109243703</v>
      </c>
      <c r="AA106" s="550">
        <f t="shared" si="28"/>
        <v>2000.0000000000002</v>
      </c>
      <c r="AB106" s="550"/>
      <c r="AC106" s="550"/>
      <c r="AD106" s="550"/>
      <c r="AE106" s="550"/>
      <c r="AF106" s="550"/>
      <c r="AG106" s="550"/>
      <c r="AH106" s="550"/>
      <c r="AI106" s="550"/>
      <c r="AJ106" s="544"/>
      <c r="AK106" s="544"/>
      <c r="AL106" s="544"/>
      <c r="AM106" s="544"/>
      <c r="AN106" s="544"/>
      <c r="AO106" s="544"/>
      <c r="AP106" s="544"/>
      <c r="AQ106" s="544"/>
      <c r="AR106" s="544"/>
      <c r="AS106" s="544"/>
      <c r="AT106" s="544"/>
      <c r="AU106" s="544"/>
      <c r="AV106" s="544"/>
      <c r="AW106" s="544"/>
      <c r="AX106" s="544"/>
      <c r="AY106" s="544"/>
      <c r="AZ106" s="544"/>
      <c r="BA106" s="544"/>
      <c r="BB106" s="544"/>
      <c r="BC106" s="544"/>
      <c r="BD106" s="550"/>
      <c r="BE106" s="550"/>
      <c r="BF106" s="550"/>
      <c r="BG106" s="550"/>
      <c r="BH106" s="550"/>
      <c r="BI106" s="550"/>
      <c r="BJ106" s="550"/>
      <c r="BK106" s="550"/>
      <c r="BL106" s="550"/>
      <c r="BM106" s="550"/>
      <c r="BN106" s="550"/>
      <c r="BO106" s="550"/>
      <c r="BP106" s="544"/>
      <c r="BQ106" s="544"/>
      <c r="BR106" s="544"/>
      <c r="BS106" s="544">
        <v>1680.6722689075632</v>
      </c>
      <c r="BT106" s="544">
        <f>+BS106*0.19</f>
        <v>319.32773109243703</v>
      </c>
      <c r="BU106" s="544">
        <f>+BS106+BT106</f>
        <v>2000.0000000000002</v>
      </c>
      <c r="BV106" s="544">
        <f>+BU106*15%</f>
        <v>300</v>
      </c>
      <c r="BW106" s="544">
        <f>+BU106+BV106</f>
        <v>2300</v>
      </c>
      <c r="BX106" s="544"/>
      <c r="BY106" s="544"/>
      <c r="BZ106" s="544"/>
      <c r="CA106" s="544"/>
      <c r="CB106" s="544"/>
      <c r="CC106" s="544"/>
      <c r="CD106" s="544"/>
      <c r="CE106" s="544"/>
      <c r="CF106" s="544"/>
      <c r="CG106" s="544"/>
      <c r="CH106" s="544"/>
      <c r="CI106" s="544"/>
      <c r="CJ106" s="544"/>
      <c r="CK106" s="544"/>
      <c r="CL106" s="544"/>
      <c r="CM106" s="544"/>
      <c r="CN106" s="544"/>
      <c r="CO106" s="544"/>
      <c r="CP106" s="544"/>
      <c r="CQ106" s="544">
        <f>+MEDIAN(AA106,BW106)</f>
        <v>2150</v>
      </c>
      <c r="CR106" s="544">
        <f>+AVERAGE(AA106,BW106)</f>
        <v>2150</v>
      </c>
      <c r="CS106" s="544">
        <f>+STDEV(AA106,BW106)</f>
        <v>212.13203435596409</v>
      </c>
      <c r="CT106" s="545">
        <f t="shared" si="29"/>
        <v>9.8666062491146095E-2</v>
      </c>
      <c r="CU106" s="544">
        <v>1806.7226890756303</v>
      </c>
      <c r="CV106" s="544">
        <f>+CU106*19%</f>
        <v>343.27731092436977</v>
      </c>
      <c r="CW106" s="546">
        <f t="shared" si="30"/>
        <v>2150</v>
      </c>
      <c r="CX106" s="546">
        <f t="shared" si="31"/>
        <v>2150</v>
      </c>
      <c r="CY106" s="547" t="s">
        <v>932</v>
      </c>
    </row>
    <row r="107" spans="1:103" s="549" customFormat="1" ht="68.25" customHeight="1" x14ac:dyDescent="0.35">
      <c r="A107" s="540">
        <v>104</v>
      </c>
      <c r="B107" s="541" t="s">
        <v>1087</v>
      </c>
      <c r="C107" s="542" t="s">
        <v>1088</v>
      </c>
      <c r="D107" s="543" t="s">
        <v>928</v>
      </c>
      <c r="E107" s="543">
        <v>1</v>
      </c>
      <c r="F107" s="544">
        <v>4622</v>
      </c>
      <c r="G107" s="544">
        <f>+F107*19%</f>
        <v>878.18000000000006</v>
      </c>
      <c r="H107" s="544">
        <f>+F107+G107</f>
        <v>5500.18</v>
      </c>
      <c r="I107" s="544">
        <v>3193.2773109243699</v>
      </c>
      <c r="J107" s="544">
        <f t="shared" si="26"/>
        <v>606.72268907563034</v>
      </c>
      <c r="K107" s="544">
        <f t="shared" si="33"/>
        <v>3800</v>
      </c>
      <c r="L107" s="544">
        <v>2927</v>
      </c>
      <c r="M107" s="544">
        <f t="shared" si="25"/>
        <v>556.13</v>
      </c>
      <c r="N107" s="544">
        <f t="shared" si="32"/>
        <v>3483.13</v>
      </c>
      <c r="O107" s="550"/>
      <c r="P107" s="550"/>
      <c r="Q107" s="550"/>
      <c r="R107" s="544"/>
      <c r="S107" s="544"/>
      <c r="T107" s="544"/>
      <c r="U107" s="550"/>
      <c r="V107" s="550"/>
      <c r="W107" s="550"/>
      <c r="X107" s="550"/>
      <c r="Y107" s="550"/>
      <c r="Z107" s="550"/>
      <c r="AA107" s="550"/>
      <c r="AB107" s="550"/>
      <c r="AC107" s="550"/>
      <c r="AD107" s="550"/>
      <c r="AE107" s="550"/>
      <c r="AF107" s="550"/>
      <c r="AG107" s="550"/>
      <c r="AH107" s="550"/>
      <c r="AI107" s="550"/>
      <c r="AJ107" s="550"/>
      <c r="AK107" s="550"/>
      <c r="AL107" s="550"/>
      <c r="AM107" s="550"/>
      <c r="AN107" s="550"/>
      <c r="AO107" s="550"/>
      <c r="AP107" s="550"/>
      <c r="AQ107" s="550"/>
      <c r="AR107" s="550"/>
      <c r="AS107" s="550"/>
      <c r="AT107" s="550"/>
      <c r="AU107" s="550"/>
      <c r="AV107" s="550"/>
      <c r="AW107" s="550"/>
      <c r="AX107" s="550"/>
      <c r="AY107" s="550"/>
      <c r="AZ107" s="550"/>
      <c r="BA107" s="550"/>
      <c r="BB107" s="550"/>
      <c r="BC107" s="550"/>
      <c r="BD107" s="550"/>
      <c r="BE107" s="550"/>
      <c r="BF107" s="550"/>
      <c r="BG107" s="550"/>
      <c r="BH107" s="550"/>
      <c r="BI107" s="550"/>
      <c r="BJ107" s="550"/>
      <c r="BK107" s="550"/>
      <c r="BL107" s="550"/>
      <c r="BM107" s="550"/>
      <c r="BN107" s="550"/>
      <c r="BO107" s="550"/>
      <c r="BP107" s="550"/>
      <c r="BQ107" s="550"/>
      <c r="BR107" s="550"/>
      <c r="BS107" s="550"/>
      <c r="BT107" s="550"/>
      <c r="BU107" s="550"/>
      <c r="BV107" s="550"/>
      <c r="BW107" s="550"/>
      <c r="BX107" s="544"/>
      <c r="BY107" s="544"/>
      <c r="BZ107" s="544"/>
      <c r="CA107" s="544"/>
      <c r="CB107" s="544"/>
      <c r="CC107" s="544"/>
      <c r="CD107" s="544"/>
      <c r="CE107" s="544"/>
      <c r="CF107" s="544"/>
      <c r="CG107" s="544"/>
      <c r="CH107" s="544"/>
      <c r="CI107" s="544"/>
      <c r="CJ107" s="544"/>
      <c r="CK107" s="544"/>
      <c r="CL107" s="544"/>
      <c r="CM107" s="544"/>
      <c r="CN107" s="544"/>
      <c r="CO107" s="544"/>
      <c r="CP107" s="544"/>
      <c r="CQ107" s="544">
        <f>+MEDIAN(H107,K107,N107)</f>
        <v>3800</v>
      </c>
      <c r="CR107" s="544">
        <f>+AVERAGE(H107,K107,N107)</f>
        <v>4261.1033333333335</v>
      </c>
      <c r="CS107" s="544">
        <f>+STDEV(H107,K107,N107)</f>
        <v>1084.7049776936258</v>
      </c>
      <c r="CT107" s="545">
        <f t="shared" si="29"/>
        <v>0.2545596510669676</v>
      </c>
      <c r="CU107" s="544">
        <v>3193.2773109243699</v>
      </c>
      <c r="CV107" s="544">
        <f t="shared" si="24"/>
        <v>606.72268907563034</v>
      </c>
      <c r="CW107" s="546">
        <f t="shared" si="30"/>
        <v>3800</v>
      </c>
      <c r="CX107" s="546">
        <f t="shared" si="31"/>
        <v>3800</v>
      </c>
      <c r="CY107" s="547" t="s">
        <v>929</v>
      </c>
    </row>
    <row r="108" spans="1:103" s="549" customFormat="1" ht="84" customHeight="1" x14ac:dyDescent="0.35">
      <c r="A108" s="540">
        <v>105</v>
      </c>
      <c r="B108" s="541" t="s">
        <v>1089</v>
      </c>
      <c r="C108" s="542" t="s">
        <v>1090</v>
      </c>
      <c r="D108" s="543" t="s">
        <v>24</v>
      </c>
      <c r="E108" s="543">
        <v>1</v>
      </c>
      <c r="F108" s="544">
        <v>17647</v>
      </c>
      <c r="G108" s="544">
        <f>+F108*19%</f>
        <v>3352.93</v>
      </c>
      <c r="H108" s="544">
        <f>+F108+G108</f>
        <v>20999.93</v>
      </c>
      <c r="I108" s="544">
        <f>1261*10</f>
        <v>12610</v>
      </c>
      <c r="J108" s="544">
        <f t="shared" si="26"/>
        <v>2395.9</v>
      </c>
      <c r="K108" s="544">
        <f t="shared" si="33"/>
        <v>15005.9</v>
      </c>
      <c r="L108" s="544"/>
      <c r="M108" s="544"/>
      <c r="N108" s="544"/>
      <c r="O108" s="550"/>
      <c r="P108" s="550"/>
      <c r="Q108" s="550"/>
      <c r="R108" s="544"/>
      <c r="S108" s="544"/>
      <c r="T108" s="544"/>
      <c r="U108" s="550"/>
      <c r="V108" s="550"/>
      <c r="W108" s="550"/>
      <c r="X108" s="550"/>
      <c r="Y108" s="550"/>
      <c r="Z108" s="550"/>
      <c r="AA108" s="550"/>
      <c r="AB108" s="550"/>
      <c r="AC108" s="550"/>
      <c r="AD108" s="550"/>
      <c r="AE108" s="550"/>
      <c r="AF108" s="550"/>
      <c r="AG108" s="550"/>
      <c r="AH108" s="550"/>
      <c r="AI108" s="550"/>
      <c r="AJ108" s="550"/>
      <c r="AK108" s="550"/>
      <c r="AL108" s="550"/>
      <c r="AM108" s="550"/>
      <c r="AN108" s="550"/>
      <c r="AO108" s="550"/>
      <c r="AP108" s="550"/>
      <c r="AQ108" s="550"/>
      <c r="AR108" s="550"/>
      <c r="AS108" s="550"/>
      <c r="AT108" s="550"/>
      <c r="AU108" s="550"/>
      <c r="AV108" s="550"/>
      <c r="AW108" s="550"/>
      <c r="AX108" s="550"/>
      <c r="AY108" s="550"/>
      <c r="AZ108" s="550"/>
      <c r="BA108" s="550"/>
      <c r="BB108" s="550"/>
      <c r="BC108" s="550"/>
      <c r="BD108" s="550"/>
      <c r="BE108" s="550"/>
      <c r="BF108" s="550"/>
      <c r="BG108" s="550"/>
      <c r="BH108" s="550"/>
      <c r="BI108" s="550"/>
      <c r="BJ108" s="550"/>
      <c r="BK108" s="550"/>
      <c r="BL108" s="550"/>
      <c r="BM108" s="550"/>
      <c r="BN108" s="550"/>
      <c r="BO108" s="550"/>
      <c r="BP108" s="550"/>
      <c r="BQ108" s="550"/>
      <c r="BR108" s="550"/>
      <c r="BS108" s="550"/>
      <c r="BT108" s="550"/>
      <c r="BU108" s="550"/>
      <c r="BV108" s="550"/>
      <c r="BW108" s="550"/>
      <c r="BX108" s="544"/>
      <c r="BY108" s="544"/>
      <c r="BZ108" s="544"/>
      <c r="CA108" s="544"/>
      <c r="CB108" s="544"/>
      <c r="CC108" s="544"/>
      <c r="CD108" s="544"/>
      <c r="CE108" s="544"/>
      <c r="CF108" s="544"/>
      <c r="CG108" s="544"/>
      <c r="CH108" s="544"/>
      <c r="CI108" s="544"/>
      <c r="CJ108" s="544"/>
      <c r="CK108" s="544"/>
      <c r="CL108" s="544"/>
      <c r="CM108" s="544"/>
      <c r="CN108" s="544"/>
      <c r="CO108" s="544"/>
      <c r="CP108" s="544"/>
      <c r="CQ108" s="544">
        <f>+MEDIAN(H108,K108)</f>
        <v>18002.915000000001</v>
      </c>
      <c r="CR108" s="544">
        <f>+AVERAGE(H108,K108)</f>
        <v>18002.915000000001</v>
      </c>
      <c r="CS108" s="544">
        <f>+STDEV(H108,K108)</f>
        <v>4238.4192596355952</v>
      </c>
      <c r="CT108" s="545">
        <f t="shared" si="29"/>
        <v>0.23542961012900382</v>
      </c>
      <c r="CU108" s="544">
        <v>15128.571428571429</v>
      </c>
      <c r="CV108" s="544">
        <f t="shared" si="24"/>
        <v>2874.4285714285716</v>
      </c>
      <c r="CW108" s="546">
        <f t="shared" si="30"/>
        <v>18003</v>
      </c>
      <c r="CX108" s="546">
        <f t="shared" si="31"/>
        <v>18003</v>
      </c>
      <c r="CY108" s="551" t="s">
        <v>929</v>
      </c>
    </row>
    <row r="109" spans="1:103" s="549" customFormat="1" ht="90.75" customHeight="1" x14ac:dyDescent="0.35">
      <c r="A109" s="540">
        <v>106</v>
      </c>
      <c r="B109" s="541" t="s">
        <v>1091</v>
      </c>
      <c r="C109" s="542" t="s">
        <v>1092</v>
      </c>
      <c r="D109" s="543" t="s">
        <v>928</v>
      </c>
      <c r="E109" s="543">
        <v>1</v>
      </c>
      <c r="F109" s="544"/>
      <c r="G109" s="544"/>
      <c r="H109" s="544"/>
      <c r="I109" s="544"/>
      <c r="J109" s="544"/>
      <c r="K109" s="544"/>
      <c r="L109" s="544"/>
      <c r="M109" s="544"/>
      <c r="N109" s="544"/>
      <c r="O109" s="550"/>
      <c r="P109" s="550"/>
      <c r="Q109" s="550"/>
      <c r="R109" s="544"/>
      <c r="S109" s="544"/>
      <c r="T109" s="544"/>
      <c r="U109" s="550"/>
      <c r="V109" s="550"/>
      <c r="W109" s="550"/>
      <c r="X109" s="550"/>
      <c r="Y109" s="550"/>
      <c r="Z109" s="550"/>
      <c r="AA109" s="550"/>
      <c r="AB109" s="550"/>
      <c r="AC109" s="550"/>
      <c r="AD109" s="550"/>
      <c r="AE109" s="550"/>
      <c r="AF109" s="550"/>
      <c r="AG109" s="550"/>
      <c r="AH109" s="550"/>
      <c r="AI109" s="550"/>
      <c r="AJ109" s="550"/>
      <c r="AK109" s="550"/>
      <c r="AL109" s="550"/>
      <c r="AM109" s="550"/>
      <c r="AN109" s="550"/>
      <c r="AO109" s="550"/>
      <c r="AP109" s="550"/>
      <c r="AQ109" s="550"/>
      <c r="AR109" s="550"/>
      <c r="AS109" s="550"/>
      <c r="AT109" s="550"/>
      <c r="AU109" s="550"/>
      <c r="AV109" s="550"/>
      <c r="AW109" s="550"/>
      <c r="AX109" s="550"/>
      <c r="AY109" s="550"/>
      <c r="AZ109" s="550"/>
      <c r="BA109" s="550"/>
      <c r="BB109" s="550"/>
      <c r="BC109" s="550"/>
      <c r="BD109" s="550"/>
      <c r="BE109" s="550"/>
      <c r="BF109" s="550"/>
      <c r="BG109" s="550"/>
      <c r="BH109" s="550"/>
      <c r="BI109" s="550"/>
      <c r="BJ109" s="550"/>
      <c r="BK109" s="550"/>
      <c r="BL109" s="550"/>
      <c r="BM109" s="550"/>
      <c r="BN109" s="550"/>
      <c r="BO109" s="550"/>
      <c r="BP109" s="550"/>
      <c r="BQ109" s="550"/>
      <c r="BR109" s="550"/>
      <c r="BS109" s="550"/>
      <c r="BT109" s="550"/>
      <c r="BU109" s="550"/>
      <c r="BV109" s="550"/>
      <c r="BW109" s="550"/>
      <c r="BX109" s="544">
        <v>2600</v>
      </c>
      <c r="BY109" s="544">
        <f>+BX109*0.19</f>
        <v>494</v>
      </c>
      <c r="BZ109" s="544">
        <f>+BX109+BY109</f>
        <v>3094</v>
      </c>
      <c r="CA109" s="544">
        <v>3312</v>
      </c>
      <c r="CB109" s="544">
        <f>+CA109*0.19</f>
        <v>629.28</v>
      </c>
      <c r="CC109" s="544">
        <f>+CA109+CB109</f>
        <v>3941.2799999999997</v>
      </c>
      <c r="CD109" s="544">
        <v>2016.81</v>
      </c>
      <c r="CE109" s="544">
        <f>+CD109*0.19</f>
        <v>383.19389999999999</v>
      </c>
      <c r="CF109" s="544">
        <f>+CD109+CE109</f>
        <v>2400.0038999999997</v>
      </c>
      <c r="CG109" s="544"/>
      <c r="CH109" s="544"/>
      <c r="CI109" s="544"/>
      <c r="CJ109" s="544"/>
      <c r="CK109" s="544"/>
      <c r="CL109" s="544"/>
      <c r="CM109" s="544"/>
      <c r="CN109" s="544"/>
      <c r="CO109" s="544"/>
      <c r="CP109" s="544"/>
      <c r="CQ109" s="544">
        <f>+MEDIAN(BZ109,CC109,CF109)</f>
        <v>3094</v>
      </c>
      <c r="CR109" s="544">
        <f>+AVERAGE(BZ109,CC109,CF109)</f>
        <v>3145.0946333333327</v>
      </c>
      <c r="CS109" s="544">
        <f>+STDEV(BZ109,CC109,CF109)</f>
        <v>771.90737804117839</v>
      </c>
      <c r="CT109" s="545">
        <f>+CS109/CR109</f>
        <v>0.24543216279094004</v>
      </c>
      <c r="CU109" s="544">
        <v>2600</v>
      </c>
      <c r="CV109" s="544">
        <f t="shared" si="24"/>
        <v>494</v>
      </c>
      <c r="CW109" s="546">
        <f t="shared" si="30"/>
        <v>3094</v>
      </c>
      <c r="CX109" s="546">
        <f t="shared" si="31"/>
        <v>3094</v>
      </c>
      <c r="CY109" s="551" t="s">
        <v>929</v>
      </c>
    </row>
    <row r="110" spans="1:103" s="549" customFormat="1" ht="123" customHeight="1" x14ac:dyDescent="0.35">
      <c r="A110" s="540">
        <v>107</v>
      </c>
      <c r="B110" s="541" t="s">
        <v>24</v>
      </c>
      <c r="C110" s="542" t="s">
        <v>1093</v>
      </c>
      <c r="D110" s="543" t="s">
        <v>928</v>
      </c>
      <c r="E110" s="543">
        <v>1</v>
      </c>
      <c r="F110" s="544"/>
      <c r="G110" s="544"/>
      <c r="H110" s="544"/>
      <c r="I110" s="544"/>
      <c r="J110" s="544"/>
      <c r="K110" s="544"/>
      <c r="L110" s="544"/>
      <c r="M110" s="544"/>
      <c r="N110" s="544"/>
      <c r="O110" s="550"/>
      <c r="P110" s="550"/>
      <c r="Q110" s="550"/>
      <c r="R110" s="544"/>
      <c r="S110" s="544"/>
      <c r="T110" s="544"/>
      <c r="U110" s="550"/>
      <c r="V110" s="550"/>
      <c r="W110" s="550"/>
      <c r="X110" s="550"/>
      <c r="Y110" s="550"/>
      <c r="Z110" s="550"/>
      <c r="AA110" s="550"/>
      <c r="AB110" s="550"/>
      <c r="AC110" s="550"/>
      <c r="AD110" s="550"/>
      <c r="AE110" s="550"/>
      <c r="AF110" s="550"/>
      <c r="AG110" s="550"/>
      <c r="AH110" s="550"/>
      <c r="AI110" s="550"/>
      <c r="AJ110" s="550"/>
      <c r="AK110" s="550"/>
      <c r="AL110" s="550"/>
      <c r="AM110" s="550"/>
      <c r="AN110" s="550"/>
      <c r="AO110" s="550"/>
      <c r="AP110" s="550"/>
      <c r="AQ110" s="550"/>
      <c r="AR110" s="550"/>
      <c r="AS110" s="550"/>
      <c r="AT110" s="550"/>
      <c r="AU110" s="550"/>
      <c r="AV110" s="550"/>
      <c r="AW110" s="550"/>
      <c r="AX110" s="550"/>
      <c r="AY110" s="550"/>
      <c r="AZ110" s="550"/>
      <c r="BA110" s="550"/>
      <c r="BB110" s="550"/>
      <c r="BC110" s="550"/>
      <c r="BD110" s="550"/>
      <c r="BE110" s="550"/>
      <c r="BF110" s="550"/>
      <c r="BG110" s="550"/>
      <c r="BH110" s="550"/>
      <c r="BI110" s="550"/>
      <c r="BJ110" s="550"/>
      <c r="BK110" s="550"/>
      <c r="BL110" s="550"/>
      <c r="BM110" s="550"/>
      <c r="BN110" s="550"/>
      <c r="BO110" s="550"/>
      <c r="BP110" s="550"/>
      <c r="BQ110" s="550"/>
      <c r="BR110" s="550"/>
      <c r="BS110" s="550"/>
      <c r="BT110" s="550"/>
      <c r="BU110" s="550"/>
      <c r="BV110" s="550"/>
      <c r="BW110" s="550"/>
      <c r="BX110" s="544">
        <v>4800</v>
      </c>
      <c r="BY110" s="544">
        <f>+BX110*0.19</f>
        <v>912</v>
      </c>
      <c r="BZ110" s="544">
        <f>+BX110+BY110</f>
        <v>5712</v>
      </c>
      <c r="CA110" s="544">
        <v>3320</v>
      </c>
      <c r="CB110" s="544">
        <f>+CA110*0.19</f>
        <v>630.79999999999995</v>
      </c>
      <c r="CC110" s="544">
        <f>+CA110+CB110</f>
        <v>3950.8</v>
      </c>
      <c r="CD110" s="544">
        <v>3445.38</v>
      </c>
      <c r="CE110" s="544">
        <f>+CD110*0.19</f>
        <v>654.62220000000002</v>
      </c>
      <c r="CF110" s="544">
        <f>+CD110+CE110</f>
        <v>4100.0021999999999</v>
      </c>
      <c r="CG110" s="544"/>
      <c r="CH110" s="544"/>
      <c r="CI110" s="544"/>
      <c r="CJ110" s="544"/>
      <c r="CK110" s="544"/>
      <c r="CL110" s="544"/>
      <c r="CM110" s="544"/>
      <c r="CN110" s="544"/>
      <c r="CO110" s="544"/>
      <c r="CP110" s="544"/>
      <c r="CQ110" s="544">
        <f>+MEDIAN(BZ110,CC110,CF110)</f>
        <v>4100.0021999999999</v>
      </c>
      <c r="CR110" s="544">
        <f>+AVERAGE(BZ110,CC110,CF110)</f>
        <v>4587.6007333333328</v>
      </c>
      <c r="CS110" s="544">
        <f>+STDEV(BZ110,CC110,CF110)</f>
        <v>976.61179968379531</v>
      </c>
      <c r="CT110" s="545">
        <f>+CS110/CR110</f>
        <v>0.21288073144373071</v>
      </c>
      <c r="CU110" s="544">
        <v>3446.2184873949582</v>
      </c>
      <c r="CV110" s="544">
        <f t="shared" si="24"/>
        <v>654.78151260504205</v>
      </c>
      <c r="CW110" s="546">
        <f t="shared" si="30"/>
        <v>4101</v>
      </c>
      <c r="CX110" s="546">
        <f t="shared" si="31"/>
        <v>4101</v>
      </c>
      <c r="CY110" s="551" t="s">
        <v>929</v>
      </c>
    </row>
    <row r="111" spans="1:103" s="559" customFormat="1" x14ac:dyDescent="0.35">
      <c r="A111" s="814"/>
      <c r="B111" s="815"/>
      <c r="C111" s="815"/>
      <c r="D111" s="815"/>
      <c r="E111" s="816"/>
      <c r="F111" s="555">
        <f t="shared" ref="F111:H111" si="34">SUM(F4:F110)</f>
        <v>940545.5</v>
      </c>
      <c r="G111" s="555">
        <f t="shared" si="34"/>
        <v>171540.64499999996</v>
      </c>
      <c r="H111" s="555">
        <f t="shared" si="34"/>
        <v>1112086.1449999998</v>
      </c>
      <c r="I111" s="555">
        <f>SUM(I4:I110)</f>
        <v>365857.53568627447</v>
      </c>
      <c r="J111" s="555">
        <f t="shared" ref="J111:K111" si="35">SUM(J4:J110)</f>
        <v>65056.671780392164</v>
      </c>
      <c r="K111" s="555">
        <f t="shared" si="35"/>
        <v>430914.20746666664</v>
      </c>
      <c r="L111" s="555">
        <f>SUM(L4:L110)</f>
        <v>977148.51899159665</v>
      </c>
      <c r="M111" s="555">
        <f t="shared" ref="M111:N111" si="36">SUM(M4:M110)</f>
        <v>183460.48860840339</v>
      </c>
      <c r="N111" s="555">
        <f t="shared" si="36"/>
        <v>1160609.0076000001</v>
      </c>
      <c r="O111" s="555">
        <f>SUM(O4:O110)</f>
        <v>1541.1764705882354</v>
      </c>
      <c r="P111" s="555">
        <f t="shared" ref="P111:Q111" si="37">SUM(P4:P110)</f>
        <v>292.82352941176475</v>
      </c>
      <c r="Q111" s="555">
        <f t="shared" si="37"/>
        <v>1834</v>
      </c>
      <c r="R111" s="555">
        <f>SUM(R4:R110)</f>
        <v>386914.89915966388</v>
      </c>
      <c r="S111" s="555">
        <f t="shared" ref="S111:T111" si="38">SUM(S4:S110)</f>
        <v>70347.100840336148</v>
      </c>
      <c r="T111" s="555">
        <f t="shared" si="38"/>
        <v>457262.00000000006</v>
      </c>
      <c r="U111" s="555">
        <f>SUM(U4:U110)</f>
        <v>500114.28571428568</v>
      </c>
      <c r="V111" s="555">
        <f t="shared" ref="V111:X111" si="39">SUM(V4:V110)</f>
        <v>92323.71428571429</v>
      </c>
      <c r="W111" s="555">
        <f t="shared" si="39"/>
        <v>592438</v>
      </c>
      <c r="X111" s="555">
        <f t="shared" si="39"/>
        <v>1680</v>
      </c>
      <c r="Y111" s="555">
        <f>SUM(Y4:Y110)</f>
        <v>598767.2268907564</v>
      </c>
      <c r="Z111" s="555">
        <f t="shared" ref="Z111:AA111" si="40">SUM(Z4:Z110)</f>
        <v>110972.7731092437</v>
      </c>
      <c r="AA111" s="555">
        <f t="shared" si="40"/>
        <v>709740</v>
      </c>
      <c r="AB111" s="555">
        <f>SUM(AB4:AB110)</f>
        <v>1276</v>
      </c>
      <c r="AC111" s="555">
        <f t="shared" ref="AC111:AD111" si="41">SUM(AC4:AC110)</f>
        <v>242.44</v>
      </c>
      <c r="AD111" s="555">
        <f t="shared" si="41"/>
        <v>1518.4400000000003</v>
      </c>
      <c r="AE111" s="555">
        <f>SUM(AE4:AE110)</f>
        <v>221932.72268907563</v>
      </c>
      <c r="AF111" s="555">
        <f t="shared" ref="AF111:AI111" si="42">SUM(AF4:AF110)</f>
        <v>42167.217310924367</v>
      </c>
      <c r="AG111" s="555">
        <f t="shared" si="42"/>
        <v>264099.94</v>
      </c>
      <c r="AH111" s="555">
        <f t="shared" si="42"/>
        <v>39614.990999999995</v>
      </c>
      <c r="AI111" s="555">
        <f t="shared" si="42"/>
        <v>303714.93099999998</v>
      </c>
      <c r="AJ111" s="555">
        <f>SUM(AJ4:AJ110)</f>
        <v>18974.789915966387</v>
      </c>
      <c r="AK111" s="555">
        <f t="shared" ref="AK111:AL111" si="43">SUM(AK4:AK110)</f>
        <v>3605.2100840336134</v>
      </c>
      <c r="AL111" s="555">
        <f t="shared" si="43"/>
        <v>22580</v>
      </c>
      <c r="AM111" s="555"/>
      <c r="AN111" s="555"/>
      <c r="AO111" s="555">
        <f>SUM(AO4:AO110)</f>
        <v>265546.21848739497</v>
      </c>
      <c r="AP111" s="555">
        <f t="shared" ref="AP111:AS111" si="44">SUM(AP4:AP110)</f>
        <v>50453.781512605048</v>
      </c>
      <c r="AQ111" s="555">
        <f t="shared" si="44"/>
        <v>316000</v>
      </c>
      <c r="AR111" s="555">
        <f t="shared" si="44"/>
        <v>47400</v>
      </c>
      <c r="AS111" s="555">
        <f t="shared" si="44"/>
        <v>363400</v>
      </c>
      <c r="AT111" s="555">
        <f>SUM(AT4:AT110)</f>
        <v>27058.823529411766</v>
      </c>
      <c r="AU111" s="555">
        <f t="shared" ref="AU111:AV111" si="45">SUM(AU4:AU110)</f>
        <v>5141.1764705882351</v>
      </c>
      <c r="AV111" s="555">
        <f t="shared" si="45"/>
        <v>32200</v>
      </c>
      <c r="AW111" s="555"/>
      <c r="AX111" s="555"/>
      <c r="AY111" s="555">
        <f>SUM(AY4:AY110)</f>
        <v>48319.327731092439</v>
      </c>
      <c r="AZ111" s="555">
        <f t="shared" ref="AZ111:BC111" si="46">SUM(AZ4:AZ110)</f>
        <v>9180.6722689075632</v>
      </c>
      <c r="BA111" s="555">
        <f t="shared" si="46"/>
        <v>57500</v>
      </c>
      <c r="BB111" s="555">
        <f t="shared" si="46"/>
        <v>8625</v>
      </c>
      <c r="BC111" s="555">
        <f t="shared" si="46"/>
        <v>66125</v>
      </c>
      <c r="BD111" s="555">
        <f>SUM(BD4:BD110)</f>
        <v>21428.571428571431</v>
      </c>
      <c r="BE111" s="555">
        <f t="shared" ref="BE111:BF111" si="47">SUM(BE4:BE110)</f>
        <v>4071.428571428572</v>
      </c>
      <c r="BF111" s="555">
        <f t="shared" si="47"/>
        <v>25500.000000000004</v>
      </c>
      <c r="BG111" s="555"/>
      <c r="BH111" s="555"/>
      <c r="BI111" s="555">
        <f>SUM(BI4:BI110)</f>
        <v>100840.33613445378</v>
      </c>
      <c r="BJ111" s="555">
        <f t="shared" ref="BJ111:BM111" si="48">SUM(BJ4:BJ110)</f>
        <v>19159.663865546219</v>
      </c>
      <c r="BK111" s="555">
        <f t="shared" si="48"/>
        <v>120000</v>
      </c>
      <c r="BL111" s="555">
        <f t="shared" si="48"/>
        <v>18000</v>
      </c>
      <c r="BM111" s="555">
        <f t="shared" si="48"/>
        <v>138000</v>
      </c>
      <c r="BN111" s="555">
        <f>SUM(BN4:BN110)</f>
        <v>8742.8571428571431</v>
      </c>
      <c r="BO111" s="555">
        <f t="shared" ref="BO111:BR111" si="49">SUM(BO4:BO110)</f>
        <v>1661.1428571428571</v>
      </c>
      <c r="BP111" s="555">
        <f t="shared" si="49"/>
        <v>10404</v>
      </c>
      <c r="BQ111" s="555">
        <f t="shared" si="49"/>
        <v>1560.6</v>
      </c>
      <c r="BR111" s="555">
        <f t="shared" si="49"/>
        <v>11964.6</v>
      </c>
      <c r="BS111" s="555">
        <f>SUM(BS4:BS110)</f>
        <v>1680.6722689075632</v>
      </c>
      <c r="BT111" s="555">
        <f t="shared" ref="BT111:BW111" si="50">SUM(BT4:BT110)</f>
        <v>319.32773109243703</v>
      </c>
      <c r="BU111" s="555">
        <f t="shared" si="50"/>
        <v>2000.0000000000002</v>
      </c>
      <c r="BV111" s="555">
        <f t="shared" si="50"/>
        <v>300</v>
      </c>
      <c r="BW111" s="555">
        <f t="shared" si="50"/>
        <v>2300</v>
      </c>
      <c r="BX111" s="555">
        <f>SUM(BX4:BX110)</f>
        <v>7400</v>
      </c>
      <c r="BY111" s="555">
        <f t="shared" ref="BY111:CC111" si="51">SUM(BY4:BY110)</f>
        <v>1406</v>
      </c>
      <c r="BZ111" s="555">
        <f t="shared" si="51"/>
        <v>8806</v>
      </c>
      <c r="CA111" s="555">
        <f t="shared" si="51"/>
        <v>6632</v>
      </c>
      <c r="CB111" s="555">
        <f t="shared" si="51"/>
        <v>1260.08</v>
      </c>
      <c r="CC111" s="555">
        <f t="shared" si="51"/>
        <v>7892.08</v>
      </c>
      <c r="CD111" s="555">
        <f>SUM(CD4:CD110)</f>
        <v>45722.694201680664</v>
      </c>
      <c r="CE111" s="555">
        <f t="shared" ref="CE111:CH111" si="52">SUM(CE4:CE110)</f>
        <v>8687.311898319329</v>
      </c>
      <c r="CF111" s="555">
        <f t="shared" si="52"/>
        <v>54410.006099999999</v>
      </c>
      <c r="CG111" s="555">
        <f t="shared" si="52"/>
        <v>7186.5</v>
      </c>
      <c r="CH111" s="555">
        <f t="shared" si="52"/>
        <v>55096.5</v>
      </c>
      <c r="CI111" s="555">
        <f>SUM(CI4:CI110)</f>
        <v>96302.521008403361</v>
      </c>
      <c r="CJ111" s="555">
        <f t="shared" ref="CJ111:CM111" si="53">SUM(CJ4:CJ110)</f>
        <v>18297.478991596643</v>
      </c>
      <c r="CK111" s="555">
        <f t="shared" si="53"/>
        <v>114600</v>
      </c>
      <c r="CL111" s="555">
        <f t="shared" si="53"/>
        <v>17190</v>
      </c>
      <c r="CM111" s="555">
        <f t="shared" si="53"/>
        <v>131790</v>
      </c>
      <c r="CN111" s="555">
        <f>SUM(CN4:CN110)</f>
        <v>25462.184873949584</v>
      </c>
      <c r="CO111" s="555">
        <f t="shared" ref="CO111:CP111" si="54">SUM(CO4:CO110)</f>
        <v>4837.8151260504201</v>
      </c>
      <c r="CP111" s="555">
        <f t="shared" si="54"/>
        <v>30300</v>
      </c>
      <c r="CQ111" s="556"/>
      <c r="CR111" s="556"/>
      <c r="CS111" s="556"/>
      <c r="CT111" s="556"/>
      <c r="CU111" s="557">
        <f>SUM(CU4:CU110)</f>
        <v>1977599.1596638656</v>
      </c>
      <c r="CV111" s="557">
        <f t="shared" ref="CV111:CX111" si="55">SUM(CV4:CV110)</f>
        <v>367735.73949579819</v>
      </c>
      <c r="CW111" s="557">
        <f t="shared" si="55"/>
        <v>2353343</v>
      </c>
      <c r="CX111" s="557">
        <f t="shared" si="55"/>
        <v>2353343</v>
      </c>
      <c r="CY111" s="558"/>
    </row>
    <row r="112" spans="1:103" x14ac:dyDescent="0.35">
      <c r="K112" s="560"/>
      <c r="L112" s="560"/>
      <c r="M112" s="560"/>
      <c r="N112" s="560"/>
      <c r="O112" s="560"/>
      <c r="P112" s="560"/>
      <c r="Q112" s="560"/>
      <c r="R112" s="560"/>
      <c r="S112" s="560"/>
      <c r="T112" s="561"/>
      <c r="CY112" s="559"/>
    </row>
    <row r="113" spans="2:103" x14ac:dyDescent="0.35">
      <c r="T113" s="565"/>
      <c r="CC113" s="565"/>
      <c r="CF113" s="562"/>
      <c r="CG113" s="562"/>
      <c r="CH113" s="562"/>
      <c r="CI113" s="562"/>
      <c r="CJ113" s="562"/>
      <c r="CK113" s="562"/>
      <c r="CL113" s="562"/>
      <c r="CM113" s="562"/>
      <c r="CN113" s="562"/>
      <c r="CO113" s="562"/>
      <c r="CP113" s="562"/>
      <c r="CY113" s="565"/>
    </row>
    <row r="114" spans="2:103" ht="30" customHeight="1" x14ac:dyDescent="0.35">
      <c r="B114" s="848" t="s">
        <v>890</v>
      </c>
      <c r="C114" s="848"/>
      <c r="D114" s="848"/>
      <c r="E114" s="848"/>
      <c r="F114" s="848"/>
      <c r="G114" s="848"/>
      <c r="H114" s="848"/>
      <c r="I114" s="848"/>
      <c r="J114" s="848"/>
      <c r="K114" s="848"/>
      <c r="L114" s="848"/>
      <c r="M114" s="848"/>
      <c r="N114" s="848"/>
      <c r="O114" s="848"/>
      <c r="P114" s="848"/>
      <c r="Q114" s="848"/>
      <c r="R114" s="848"/>
      <c r="S114" s="848"/>
      <c r="T114" s="848"/>
      <c r="U114" s="848"/>
      <c r="V114" s="848"/>
      <c r="W114" s="848"/>
      <c r="X114" s="848"/>
      <c r="Y114" s="848"/>
      <c r="Z114" s="848"/>
      <c r="AA114" s="848"/>
      <c r="AB114" s="848"/>
      <c r="AC114" s="848"/>
      <c r="AD114" s="848"/>
      <c r="AE114" s="848"/>
      <c r="AF114" s="848"/>
      <c r="AG114" s="848"/>
      <c r="AH114" s="848"/>
      <c r="AI114" s="848"/>
      <c r="AJ114" s="848"/>
      <c r="AK114" s="848"/>
      <c r="AL114" s="848"/>
      <c r="AM114" s="848"/>
      <c r="AN114" s="848"/>
      <c r="AO114" s="848"/>
      <c r="AP114" s="848"/>
      <c r="AQ114" s="848"/>
      <c r="AR114" s="848"/>
      <c r="AS114" s="848"/>
      <c r="AT114" s="848"/>
      <c r="AU114" s="848"/>
      <c r="AV114" s="848"/>
      <c r="AW114" s="848"/>
      <c r="AX114" s="848"/>
      <c r="AY114" s="848"/>
      <c r="CF114" s="562"/>
      <c r="CG114" s="562"/>
      <c r="CH114" s="562"/>
      <c r="CI114" s="562"/>
      <c r="CJ114" s="562"/>
      <c r="CK114" s="562"/>
      <c r="CL114" s="562"/>
      <c r="CM114" s="562"/>
      <c r="CN114" s="562"/>
      <c r="CO114" s="562"/>
      <c r="CP114" s="562"/>
      <c r="CY114" s="565"/>
    </row>
    <row r="115" spans="2:103" ht="40" customHeight="1" x14ac:dyDescent="0.35">
      <c r="B115" s="848"/>
      <c r="C115" s="848"/>
      <c r="D115" s="848"/>
      <c r="E115" s="848"/>
      <c r="F115" s="848"/>
      <c r="G115" s="848"/>
      <c r="H115" s="848"/>
      <c r="I115" s="848"/>
      <c r="J115" s="848"/>
      <c r="K115" s="848"/>
      <c r="L115" s="848"/>
      <c r="M115" s="848"/>
      <c r="N115" s="848"/>
      <c r="O115" s="848"/>
      <c r="P115" s="848"/>
      <c r="Q115" s="848"/>
      <c r="R115" s="848"/>
      <c r="S115" s="848"/>
      <c r="T115" s="848"/>
      <c r="U115" s="848"/>
      <c r="V115" s="848"/>
      <c r="W115" s="848"/>
      <c r="X115" s="848"/>
      <c r="Y115" s="848"/>
      <c r="Z115" s="848"/>
      <c r="AA115" s="848"/>
      <c r="AB115" s="848"/>
      <c r="AC115" s="848"/>
      <c r="AD115" s="848"/>
      <c r="AE115" s="848"/>
      <c r="AF115" s="848"/>
      <c r="AG115" s="848"/>
      <c r="AH115" s="848"/>
      <c r="AI115" s="848"/>
      <c r="AJ115" s="848"/>
      <c r="AK115" s="848"/>
      <c r="AL115" s="848"/>
      <c r="AM115" s="848"/>
      <c r="AN115" s="848"/>
      <c r="AO115" s="848"/>
      <c r="AP115" s="848"/>
      <c r="AQ115" s="848"/>
      <c r="AR115" s="848"/>
      <c r="AS115" s="848"/>
      <c r="AT115" s="848"/>
      <c r="AU115" s="848"/>
      <c r="AV115" s="848"/>
      <c r="AW115" s="848"/>
      <c r="AX115" s="848"/>
      <c r="AY115" s="848"/>
      <c r="CC115" s="562"/>
      <c r="CF115" s="562"/>
      <c r="CG115" s="562"/>
      <c r="CH115" s="562"/>
      <c r="CI115" s="562"/>
      <c r="CJ115" s="562"/>
      <c r="CK115" s="562"/>
      <c r="CL115" s="562"/>
      <c r="CM115" s="562"/>
      <c r="CN115" s="562"/>
      <c r="CO115" s="562"/>
      <c r="CP115" s="562"/>
      <c r="CY115" s="565"/>
    </row>
    <row r="116" spans="2:103" ht="40" customHeight="1" x14ac:dyDescent="0.35">
      <c r="B116" s="848"/>
      <c r="C116" s="848"/>
      <c r="D116" s="848"/>
      <c r="E116" s="848"/>
      <c r="F116" s="848"/>
      <c r="G116" s="848"/>
      <c r="H116" s="848"/>
      <c r="I116" s="848"/>
      <c r="J116" s="848"/>
      <c r="K116" s="848"/>
      <c r="L116" s="848"/>
      <c r="M116" s="848"/>
      <c r="N116" s="848"/>
      <c r="O116" s="848"/>
      <c r="P116" s="848"/>
      <c r="Q116" s="848"/>
      <c r="R116" s="848"/>
      <c r="S116" s="848"/>
      <c r="T116" s="848"/>
      <c r="U116" s="848"/>
      <c r="V116" s="848"/>
      <c r="W116" s="848"/>
      <c r="X116" s="848"/>
      <c r="Y116" s="848"/>
      <c r="Z116" s="848"/>
      <c r="AA116" s="848"/>
      <c r="AB116" s="848"/>
      <c r="AC116" s="848"/>
      <c r="AD116" s="848"/>
      <c r="AE116" s="848"/>
      <c r="AF116" s="848"/>
      <c r="AG116" s="848"/>
      <c r="AH116" s="848"/>
      <c r="AI116" s="848"/>
      <c r="AJ116" s="848"/>
      <c r="AK116" s="848"/>
      <c r="AL116" s="848"/>
      <c r="AM116" s="848"/>
      <c r="AN116" s="848"/>
      <c r="AO116" s="848"/>
      <c r="AP116" s="848"/>
      <c r="AQ116" s="848"/>
      <c r="AR116" s="848"/>
      <c r="AS116" s="848"/>
      <c r="AT116" s="848"/>
      <c r="AU116" s="848"/>
      <c r="AV116" s="848"/>
      <c r="AW116" s="848"/>
      <c r="AX116" s="848"/>
      <c r="AY116" s="848"/>
    </row>
    <row r="117" spans="2:103" ht="40" customHeight="1" x14ac:dyDescent="0.35">
      <c r="B117" s="848"/>
      <c r="C117" s="848"/>
      <c r="D117" s="848"/>
      <c r="E117" s="848"/>
      <c r="F117" s="848"/>
      <c r="G117" s="848"/>
      <c r="H117" s="848"/>
      <c r="I117" s="848"/>
      <c r="J117" s="848"/>
      <c r="K117" s="848"/>
      <c r="L117" s="848"/>
      <c r="M117" s="848"/>
      <c r="N117" s="848"/>
      <c r="O117" s="848"/>
      <c r="P117" s="848"/>
      <c r="Q117" s="848"/>
      <c r="R117" s="848"/>
      <c r="S117" s="848"/>
      <c r="T117" s="848"/>
      <c r="U117" s="848"/>
      <c r="V117" s="848"/>
      <c r="W117" s="848"/>
      <c r="X117" s="848"/>
      <c r="Y117" s="848"/>
      <c r="Z117" s="848"/>
      <c r="AA117" s="848"/>
      <c r="AB117" s="848"/>
      <c r="AC117" s="848"/>
      <c r="AD117" s="848"/>
      <c r="AE117" s="848"/>
      <c r="AF117" s="848"/>
      <c r="AG117" s="848"/>
      <c r="AH117" s="848"/>
      <c r="AI117" s="848"/>
      <c r="AJ117" s="848"/>
      <c r="AK117" s="848"/>
      <c r="AL117" s="848"/>
      <c r="AM117" s="848"/>
      <c r="AN117" s="848"/>
      <c r="AO117" s="848"/>
      <c r="AP117" s="848"/>
      <c r="AQ117" s="848"/>
      <c r="AR117" s="848"/>
      <c r="AS117" s="848"/>
      <c r="AT117" s="848"/>
      <c r="AU117" s="848"/>
      <c r="AV117" s="848"/>
      <c r="AW117" s="848"/>
      <c r="AX117" s="848"/>
      <c r="AY117" s="848"/>
    </row>
    <row r="118" spans="2:103" ht="40" customHeight="1" x14ac:dyDescent="0.35">
      <c r="B118" s="848"/>
      <c r="C118" s="848"/>
      <c r="D118" s="848"/>
      <c r="E118" s="848"/>
      <c r="F118" s="848"/>
      <c r="G118" s="848"/>
      <c r="H118" s="848"/>
      <c r="I118" s="848"/>
      <c r="J118" s="848"/>
      <c r="K118" s="848"/>
      <c r="L118" s="848"/>
      <c r="M118" s="848"/>
      <c r="N118" s="848"/>
      <c r="O118" s="848"/>
      <c r="P118" s="848"/>
      <c r="Q118" s="848"/>
      <c r="R118" s="848"/>
      <c r="S118" s="848"/>
      <c r="T118" s="848"/>
      <c r="U118" s="848"/>
      <c r="V118" s="848"/>
      <c r="W118" s="848"/>
      <c r="X118" s="848"/>
      <c r="Y118" s="848"/>
      <c r="Z118" s="848"/>
      <c r="AA118" s="848"/>
      <c r="AB118" s="848"/>
      <c r="AC118" s="848"/>
      <c r="AD118" s="848"/>
      <c r="AE118" s="848"/>
      <c r="AF118" s="848"/>
      <c r="AG118" s="848"/>
      <c r="AH118" s="848"/>
      <c r="AI118" s="848"/>
      <c r="AJ118" s="848"/>
      <c r="AK118" s="848"/>
      <c r="AL118" s="848"/>
      <c r="AM118" s="848"/>
      <c r="AN118" s="848"/>
      <c r="AO118" s="848"/>
      <c r="AP118" s="848"/>
      <c r="AQ118" s="848"/>
      <c r="AR118" s="848"/>
      <c r="AS118" s="848"/>
      <c r="AT118" s="848"/>
      <c r="AU118" s="848"/>
      <c r="AV118" s="848"/>
      <c r="AW118" s="848"/>
      <c r="AX118" s="848"/>
      <c r="AY118" s="848"/>
    </row>
    <row r="119" spans="2:103" x14ac:dyDescent="0.35">
      <c r="B119" s="848"/>
      <c r="C119" s="848"/>
      <c r="D119" s="848"/>
      <c r="E119" s="848"/>
      <c r="F119" s="848"/>
      <c r="G119" s="848"/>
      <c r="H119" s="848"/>
      <c r="I119" s="848"/>
      <c r="J119" s="848"/>
      <c r="K119" s="848"/>
      <c r="L119" s="848"/>
      <c r="M119" s="848"/>
      <c r="N119" s="848"/>
      <c r="O119" s="848"/>
      <c r="P119" s="848"/>
      <c r="Q119" s="848"/>
      <c r="R119" s="848"/>
      <c r="S119" s="848"/>
      <c r="T119" s="848"/>
      <c r="U119" s="848"/>
      <c r="V119" s="848"/>
      <c r="W119" s="848"/>
      <c r="X119" s="848"/>
      <c r="Y119" s="848"/>
      <c r="Z119" s="848"/>
      <c r="AA119" s="848"/>
      <c r="AB119" s="848"/>
      <c r="AC119" s="848"/>
      <c r="AD119" s="848"/>
      <c r="AE119" s="848"/>
      <c r="AF119" s="848"/>
      <c r="AG119" s="848"/>
      <c r="AH119" s="848"/>
      <c r="AI119" s="848"/>
      <c r="AJ119" s="848"/>
      <c r="AK119" s="848"/>
      <c r="AL119" s="848"/>
      <c r="AM119" s="848"/>
      <c r="AN119" s="848"/>
      <c r="AO119" s="848"/>
      <c r="AP119" s="848"/>
      <c r="AQ119" s="848"/>
      <c r="AR119" s="848"/>
      <c r="AS119" s="848"/>
      <c r="AT119" s="848"/>
      <c r="AU119" s="848"/>
      <c r="AV119" s="848"/>
      <c r="AW119" s="848"/>
      <c r="AX119" s="848"/>
      <c r="AY119" s="848"/>
      <c r="CX119" s="566"/>
      <c r="CY119" s="560" t="s">
        <v>1094</v>
      </c>
    </row>
    <row r="120" spans="2:103" x14ac:dyDescent="0.35">
      <c r="B120" s="848"/>
      <c r="C120" s="848"/>
      <c r="D120" s="848"/>
      <c r="E120" s="848"/>
      <c r="F120" s="848"/>
      <c r="G120" s="848"/>
      <c r="H120" s="848"/>
      <c r="I120" s="848"/>
      <c r="J120" s="848"/>
      <c r="K120" s="848"/>
      <c r="L120" s="848"/>
      <c r="M120" s="848"/>
      <c r="N120" s="848"/>
      <c r="O120" s="848"/>
      <c r="P120" s="848"/>
      <c r="Q120" s="848"/>
      <c r="R120" s="848"/>
      <c r="S120" s="848"/>
      <c r="T120" s="848"/>
      <c r="U120" s="848"/>
      <c r="V120" s="848"/>
      <c r="W120" s="848"/>
      <c r="X120" s="848"/>
      <c r="Y120" s="848"/>
      <c r="Z120" s="848"/>
      <c r="AA120" s="848"/>
      <c r="AB120" s="848"/>
      <c r="AC120" s="848"/>
      <c r="AD120" s="848"/>
      <c r="AE120" s="848"/>
      <c r="AF120" s="848"/>
      <c r="AG120" s="848"/>
      <c r="AH120" s="848"/>
      <c r="AI120" s="848"/>
      <c r="AJ120" s="848"/>
      <c r="AK120" s="848"/>
      <c r="AL120" s="848"/>
      <c r="AM120" s="848"/>
      <c r="AN120" s="848"/>
      <c r="AO120" s="848"/>
      <c r="AP120" s="848"/>
      <c r="AQ120" s="848"/>
      <c r="AR120" s="848"/>
      <c r="AS120" s="848"/>
      <c r="AT120" s="848"/>
      <c r="AU120" s="848"/>
      <c r="AV120" s="848"/>
      <c r="AW120" s="848"/>
      <c r="AX120" s="848"/>
      <c r="AY120" s="848"/>
    </row>
    <row r="121" spans="2:103" x14ac:dyDescent="0.35">
      <c r="B121" s="848"/>
      <c r="C121" s="848"/>
      <c r="D121" s="848"/>
      <c r="E121" s="848"/>
      <c r="F121" s="848"/>
      <c r="G121" s="848"/>
      <c r="H121" s="848"/>
      <c r="I121" s="848"/>
      <c r="J121" s="848"/>
      <c r="K121" s="848"/>
      <c r="L121" s="848"/>
      <c r="M121" s="848"/>
      <c r="N121" s="848"/>
      <c r="O121" s="848"/>
      <c r="P121" s="848"/>
      <c r="Q121" s="848"/>
      <c r="R121" s="848"/>
      <c r="S121" s="848"/>
      <c r="T121" s="848"/>
      <c r="U121" s="848"/>
      <c r="V121" s="848"/>
      <c r="W121" s="848"/>
      <c r="X121" s="848"/>
      <c r="Y121" s="848"/>
      <c r="Z121" s="848"/>
      <c r="AA121" s="848"/>
      <c r="AB121" s="848"/>
      <c r="AC121" s="848"/>
      <c r="AD121" s="848"/>
      <c r="AE121" s="848"/>
      <c r="AF121" s="848"/>
      <c r="AG121" s="848"/>
      <c r="AH121" s="848"/>
      <c r="AI121" s="848"/>
      <c r="AJ121" s="848"/>
      <c r="AK121" s="848"/>
      <c r="AL121" s="848"/>
      <c r="AM121" s="848"/>
      <c r="AN121" s="848"/>
      <c r="AO121" s="848"/>
      <c r="AP121" s="848"/>
      <c r="AQ121" s="848"/>
      <c r="AR121" s="848"/>
      <c r="AS121" s="848"/>
      <c r="AT121" s="848"/>
      <c r="AU121" s="848"/>
      <c r="AV121" s="848"/>
      <c r="AW121" s="848"/>
      <c r="AX121" s="848"/>
      <c r="AY121" s="848"/>
    </row>
    <row r="122" spans="2:103" x14ac:dyDescent="0.35">
      <c r="B122" s="848"/>
      <c r="C122" s="848"/>
      <c r="D122" s="848"/>
      <c r="E122" s="848"/>
      <c r="F122" s="848"/>
      <c r="G122" s="848"/>
      <c r="H122" s="848"/>
      <c r="I122" s="848"/>
      <c r="J122" s="848"/>
      <c r="K122" s="848"/>
      <c r="L122" s="848"/>
      <c r="M122" s="848"/>
      <c r="N122" s="848"/>
      <c r="O122" s="848"/>
      <c r="P122" s="848"/>
      <c r="Q122" s="848"/>
      <c r="R122" s="848"/>
      <c r="S122" s="848"/>
      <c r="T122" s="848"/>
      <c r="U122" s="848"/>
      <c r="V122" s="848"/>
      <c r="W122" s="848"/>
      <c r="X122" s="848"/>
      <c r="Y122" s="848"/>
      <c r="Z122" s="848"/>
      <c r="AA122" s="848"/>
      <c r="AB122" s="848"/>
      <c r="AC122" s="848"/>
      <c r="AD122" s="848"/>
      <c r="AE122" s="848"/>
      <c r="AF122" s="848"/>
      <c r="AG122" s="848"/>
      <c r="AH122" s="848"/>
      <c r="AI122" s="848"/>
      <c r="AJ122" s="848"/>
      <c r="AK122" s="848"/>
      <c r="AL122" s="848"/>
      <c r="AM122" s="848"/>
      <c r="AN122" s="848"/>
      <c r="AO122" s="848"/>
      <c r="AP122" s="848"/>
      <c r="AQ122" s="848"/>
      <c r="AR122" s="848"/>
      <c r="AS122" s="848"/>
      <c r="AT122" s="848"/>
      <c r="AU122" s="848"/>
      <c r="AV122" s="848"/>
      <c r="AW122" s="848"/>
      <c r="AX122" s="848"/>
      <c r="AY122" s="848"/>
    </row>
    <row r="123" spans="2:103" x14ac:dyDescent="0.35">
      <c r="B123" s="848"/>
      <c r="C123" s="848"/>
      <c r="D123" s="848"/>
      <c r="E123" s="848"/>
      <c r="F123" s="848"/>
      <c r="G123" s="848"/>
      <c r="H123" s="848"/>
      <c r="I123" s="848"/>
      <c r="J123" s="848"/>
      <c r="K123" s="848"/>
      <c r="L123" s="848"/>
      <c r="M123" s="848"/>
      <c r="N123" s="848"/>
      <c r="O123" s="848"/>
      <c r="P123" s="848"/>
      <c r="Q123" s="848"/>
      <c r="R123" s="848"/>
      <c r="S123" s="848"/>
      <c r="T123" s="848"/>
      <c r="U123" s="848"/>
      <c r="V123" s="848"/>
      <c r="W123" s="848"/>
      <c r="X123" s="848"/>
      <c r="Y123" s="848"/>
      <c r="Z123" s="848"/>
      <c r="AA123" s="848"/>
      <c r="AB123" s="848"/>
      <c r="AC123" s="848"/>
      <c r="AD123" s="848"/>
      <c r="AE123" s="848"/>
      <c r="AF123" s="848"/>
      <c r="AG123" s="848"/>
      <c r="AH123" s="848"/>
      <c r="AI123" s="848"/>
      <c r="AJ123" s="848"/>
      <c r="AK123" s="848"/>
      <c r="AL123" s="848"/>
      <c r="AM123" s="848"/>
      <c r="AN123" s="848"/>
      <c r="AO123" s="848"/>
      <c r="AP123" s="848"/>
      <c r="AQ123" s="848"/>
      <c r="AR123" s="848"/>
      <c r="AS123" s="848"/>
      <c r="AT123" s="848"/>
      <c r="AU123" s="848"/>
      <c r="AV123" s="848"/>
      <c r="AW123" s="848"/>
      <c r="AX123" s="848"/>
      <c r="AY123" s="848"/>
    </row>
    <row r="124" spans="2:103" x14ac:dyDescent="0.35">
      <c r="B124" s="848"/>
      <c r="C124" s="848"/>
      <c r="D124" s="848"/>
      <c r="E124" s="848"/>
      <c r="F124" s="848"/>
      <c r="G124" s="848"/>
      <c r="H124" s="848"/>
      <c r="I124" s="848"/>
      <c r="J124" s="848"/>
      <c r="K124" s="848"/>
      <c r="L124" s="848"/>
      <c r="M124" s="848"/>
      <c r="N124" s="848"/>
      <c r="O124" s="848"/>
      <c r="P124" s="848"/>
      <c r="Q124" s="848"/>
      <c r="R124" s="848"/>
      <c r="S124" s="848"/>
      <c r="T124" s="848"/>
      <c r="U124" s="848"/>
      <c r="V124" s="848"/>
      <c r="W124" s="848"/>
      <c r="X124" s="848"/>
      <c r="Y124" s="848"/>
      <c r="Z124" s="848"/>
      <c r="AA124" s="848"/>
      <c r="AB124" s="848"/>
      <c r="AC124" s="848"/>
      <c r="AD124" s="848"/>
      <c r="AE124" s="848"/>
      <c r="AF124" s="848"/>
      <c r="AG124" s="848"/>
      <c r="AH124" s="848"/>
      <c r="AI124" s="848"/>
      <c r="AJ124" s="848"/>
      <c r="AK124" s="848"/>
      <c r="AL124" s="848"/>
      <c r="AM124" s="848"/>
      <c r="AN124" s="848"/>
      <c r="AO124" s="848"/>
      <c r="AP124" s="848"/>
      <c r="AQ124" s="848"/>
      <c r="AR124" s="848"/>
      <c r="AS124" s="848"/>
      <c r="AT124" s="848"/>
      <c r="AU124" s="848"/>
      <c r="AV124" s="848"/>
      <c r="AW124" s="848"/>
      <c r="AX124" s="848"/>
      <c r="AY124" s="848"/>
    </row>
  </sheetData>
  <mergeCells count="29">
    <mergeCell ref="B114:AY124"/>
    <mergeCell ref="CA1:CC2"/>
    <mergeCell ref="CD1:CH2"/>
    <mergeCell ref="CI1:CM2"/>
    <mergeCell ref="CN1:CP2"/>
    <mergeCell ref="AY1:BC2"/>
    <mergeCell ref="BD1:BH2"/>
    <mergeCell ref="BI1:BM2"/>
    <mergeCell ref="BN1:BR2"/>
    <mergeCell ref="BS1:BW2"/>
    <mergeCell ref="BX1:BZ2"/>
    <mergeCell ref="Y1:AA2"/>
    <mergeCell ref="AJ1:AN2"/>
    <mergeCell ref="AO1:AS2"/>
    <mergeCell ref="AT1:AX2"/>
    <mergeCell ref="CY1:CY3"/>
    <mergeCell ref="A111:E111"/>
    <mergeCell ref="CQ1:CT2"/>
    <mergeCell ref="CU1:CX2"/>
    <mergeCell ref="R1:T2"/>
    <mergeCell ref="U1:W2"/>
    <mergeCell ref="X1:X2"/>
    <mergeCell ref="AB1:AD2"/>
    <mergeCell ref="AE1:AI2"/>
    <mergeCell ref="A1:E2"/>
    <mergeCell ref="F1:H2"/>
    <mergeCell ref="I1:K2"/>
    <mergeCell ref="L1:N2"/>
    <mergeCell ref="O1:Q2"/>
  </mergeCells>
  <dataValidations count="1">
    <dataValidation type="list" allowBlank="1" showInputMessage="1" showErrorMessage="1" sqref="D60:D110" xr:uid="{8206568A-399A-4434-B405-F43EA46BD514}">
      <formula1>#REF!</formula1>
    </dataValidation>
  </dataValidation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77DB21-17EE-4CD2-8595-86ABCA7F8B3E}">
  <dimension ref="A1:EV10"/>
  <sheetViews>
    <sheetView workbookViewId="0">
      <selection activeCell="AC10" sqref="AC10"/>
    </sheetView>
  </sheetViews>
  <sheetFormatPr baseColWidth="10" defaultRowHeight="14.5" x14ac:dyDescent="0.35"/>
  <cols>
    <col min="1" max="45" width="19.36328125" customWidth="1"/>
    <col min="46" max="46" width="57.6328125" customWidth="1"/>
  </cols>
  <sheetData>
    <row r="1" spans="1:152" ht="90" customHeight="1" x14ac:dyDescent="0.35">
      <c r="A1" s="859" t="s">
        <v>1333</v>
      </c>
      <c r="B1" s="859"/>
      <c r="C1" s="859"/>
      <c r="D1" s="859"/>
      <c r="E1" s="859"/>
      <c r="F1" s="859"/>
      <c r="G1" s="861" t="s">
        <v>1123</v>
      </c>
      <c r="H1" s="861"/>
      <c r="I1" s="861"/>
      <c r="J1" s="862" t="s">
        <v>1124</v>
      </c>
      <c r="K1" s="862"/>
      <c r="L1" s="863" t="s">
        <v>1125</v>
      </c>
      <c r="M1" s="863"/>
      <c r="N1" s="864" t="s">
        <v>1126</v>
      </c>
      <c r="O1" s="864"/>
      <c r="P1" s="865" t="s">
        <v>1127</v>
      </c>
      <c r="Q1" s="865"/>
      <c r="R1" s="865"/>
      <c r="S1" s="860" t="s">
        <v>1128</v>
      </c>
      <c r="T1" s="860"/>
      <c r="U1" s="860"/>
      <c r="V1" s="849" t="s">
        <v>1129</v>
      </c>
      <c r="W1" s="849"/>
      <c r="X1" s="849"/>
      <c r="Y1" s="850" t="s">
        <v>1130</v>
      </c>
      <c r="Z1" s="851"/>
      <c r="AA1" s="852"/>
      <c r="AB1" s="853" t="s">
        <v>1131</v>
      </c>
      <c r="AC1" s="854"/>
      <c r="AD1" s="855"/>
      <c r="AE1" s="856" t="s">
        <v>478</v>
      </c>
      <c r="AF1" s="857"/>
      <c r="AG1" s="858"/>
      <c r="AH1" s="856" t="s">
        <v>479</v>
      </c>
      <c r="AI1" s="858"/>
      <c r="AJ1" s="869" t="s">
        <v>1132</v>
      </c>
      <c r="AK1" s="870"/>
      <c r="AL1" s="856" t="s">
        <v>1133</v>
      </c>
      <c r="AM1" s="858"/>
      <c r="AN1" s="866" t="s">
        <v>247</v>
      </c>
      <c r="AO1" s="866"/>
      <c r="AP1" s="866"/>
      <c r="AQ1" s="867"/>
      <c r="AR1" s="866"/>
      <c r="AS1" s="866"/>
      <c r="AT1" s="868" t="s">
        <v>1134</v>
      </c>
    </row>
    <row r="2" spans="1:152" ht="99.5" customHeight="1" x14ac:dyDescent="0.35">
      <c r="A2" s="594" t="s">
        <v>1</v>
      </c>
      <c r="B2" s="595" t="s">
        <v>4</v>
      </c>
      <c r="C2" s="595" t="s">
        <v>5</v>
      </c>
      <c r="D2" s="595" t="s">
        <v>6</v>
      </c>
      <c r="E2" s="595" t="s">
        <v>325</v>
      </c>
      <c r="F2" s="595" t="s">
        <v>7</v>
      </c>
      <c r="G2" s="595" t="s">
        <v>8</v>
      </c>
      <c r="H2" s="596" t="s">
        <v>237</v>
      </c>
      <c r="I2" s="595" t="s">
        <v>9</v>
      </c>
      <c r="J2" s="595" t="s">
        <v>8</v>
      </c>
      <c r="K2" s="595" t="s">
        <v>9</v>
      </c>
      <c r="L2" s="595" t="s">
        <v>8</v>
      </c>
      <c r="M2" s="595" t="s">
        <v>9</v>
      </c>
      <c r="N2" s="595" t="s">
        <v>8</v>
      </c>
      <c r="O2" s="595" t="s">
        <v>9</v>
      </c>
      <c r="P2" s="595" t="s">
        <v>8</v>
      </c>
      <c r="Q2" s="596" t="s">
        <v>237</v>
      </c>
      <c r="R2" s="595" t="s">
        <v>9</v>
      </c>
      <c r="S2" s="595" t="s">
        <v>8</v>
      </c>
      <c r="T2" s="596" t="s">
        <v>237</v>
      </c>
      <c r="U2" s="595" t="s">
        <v>9</v>
      </c>
      <c r="V2" s="595" t="s">
        <v>8</v>
      </c>
      <c r="W2" s="596" t="s">
        <v>237</v>
      </c>
      <c r="X2" s="595" t="s">
        <v>9</v>
      </c>
      <c r="Y2" s="595" t="s">
        <v>8</v>
      </c>
      <c r="Z2" s="595" t="s">
        <v>1135</v>
      </c>
      <c r="AA2" s="595" t="s">
        <v>9</v>
      </c>
      <c r="AB2" s="595" t="s">
        <v>8</v>
      </c>
      <c r="AC2" s="595" t="s">
        <v>1135</v>
      </c>
      <c r="AD2" s="595" t="s">
        <v>9</v>
      </c>
      <c r="AE2" s="595" t="s">
        <v>8</v>
      </c>
      <c r="AF2" s="595" t="s">
        <v>1135</v>
      </c>
      <c r="AG2" s="595" t="s">
        <v>9</v>
      </c>
      <c r="AH2" s="595" t="s">
        <v>8</v>
      </c>
      <c r="AI2" s="595" t="s">
        <v>9</v>
      </c>
      <c r="AJ2" s="595" t="s">
        <v>8</v>
      </c>
      <c r="AK2" s="595" t="s">
        <v>9</v>
      </c>
      <c r="AL2" s="595" t="s">
        <v>8</v>
      </c>
      <c r="AM2" s="595" t="s">
        <v>9</v>
      </c>
      <c r="AN2" s="597" t="s">
        <v>248</v>
      </c>
      <c r="AO2" s="597" t="s">
        <v>249</v>
      </c>
      <c r="AP2" s="597" t="s">
        <v>250</v>
      </c>
      <c r="AQ2" s="598" t="s">
        <v>251</v>
      </c>
      <c r="AR2" s="599" t="s">
        <v>1136</v>
      </c>
      <c r="AS2" s="599" t="s">
        <v>306</v>
      </c>
      <c r="AT2" s="868"/>
    </row>
    <row r="3" spans="1:152" s="587" customFormat="1" ht="54.65" customHeight="1" x14ac:dyDescent="0.35">
      <c r="A3" s="573">
        <v>1</v>
      </c>
      <c r="B3" s="574" t="s">
        <v>1104</v>
      </c>
      <c r="C3" s="574" t="s">
        <v>1105</v>
      </c>
      <c r="D3" s="575" t="s">
        <v>1106</v>
      </c>
      <c r="E3" s="576">
        <v>1</v>
      </c>
      <c r="F3" s="577">
        <v>1</v>
      </c>
      <c r="G3" s="580">
        <v>610000</v>
      </c>
      <c r="H3" s="580"/>
      <c r="I3" s="579">
        <f>+G3*E3*F3</f>
        <v>610000</v>
      </c>
      <c r="J3" s="580">
        <v>600000</v>
      </c>
      <c r="K3" s="579">
        <f>+J3*E3*F3</f>
        <v>600000</v>
      </c>
      <c r="L3" s="580">
        <v>600000</v>
      </c>
      <c r="M3" s="579">
        <f>+L3*E3*F3</f>
        <v>600000</v>
      </c>
      <c r="N3" s="580">
        <v>580000</v>
      </c>
      <c r="O3" s="579">
        <f>+N3*E3*F3</f>
        <v>580000</v>
      </c>
      <c r="P3" s="579"/>
      <c r="Q3" s="579"/>
      <c r="R3" s="579"/>
      <c r="S3" s="579"/>
      <c r="T3" s="579"/>
      <c r="U3" s="579"/>
      <c r="V3" s="579"/>
      <c r="W3" s="579"/>
      <c r="X3" s="579"/>
      <c r="Y3" s="579"/>
      <c r="Z3" s="579"/>
      <c r="AA3" s="579"/>
      <c r="AB3" s="579"/>
      <c r="AC3" s="579"/>
      <c r="AD3" s="579"/>
      <c r="AE3" s="579"/>
      <c r="AF3" s="579"/>
      <c r="AG3" s="579"/>
      <c r="AH3" s="579"/>
      <c r="AI3" s="579"/>
      <c r="AJ3" s="579"/>
      <c r="AK3" s="579"/>
      <c r="AL3" s="579"/>
      <c r="AM3" s="579"/>
      <c r="AN3" s="578">
        <f>MEDIAN(G3,J3,L3,N3)</f>
        <v>600000</v>
      </c>
      <c r="AO3" s="578">
        <f>AVERAGE(G3,J3,L3,N3)</f>
        <v>597500</v>
      </c>
      <c r="AP3" s="578">
        <f>+STDEV(G3,J3,L3,N3)</f>
        <v>12583.057392117917</v>
      </c>
      <c r="AQ3" s="581">
        <f t="shared" ref="AQ3:AQ9" si="0">AP3/AO3</f>
        <v>2.1059510279695257E-2</v>
      </c>
      <c r="AR3" s="582">
        <f t="shared" ref="AR3:AR9" si="1">ROUNDUP(IF(AQ3&lt;15%,AO3,AN3),0)</f>
        <v>597500</v>
      </c>
      <c r="AS3" s="583">
        <f t="shared" ref="AS3:AS9" si="2">+AR3*E3*F3</f>
        <v>597500</v>
      </c>
      <c r="AT3" s="584" t="s">
        <v>1107</v>
      </c>
      <c r="AU3" s="585"/>
      <c r="AV3" s="585"/>
      <c r="AW3" s="586"/>
      <c r="AX3" s="586"/>
      <c r="AY3" s="586"/>
      <c r="AZ3" s="586"/>
      <c r="BA3" s="586"/>
      <c r="BB3" s="586"/>
      <c r="BC3" s="586"/>
      <c r="BD3" s="586"/>
      <c r="BE3" s="586"/>
      <c r="BF3" s="586"/>
      <c r="BG3" s="586"/>
      <c r="BH3" s="586"/>
      <c r="BI3" s="586"/>
      <c r="BJ3" s="586"/>
      <c r="BK3" s="586"/>
      <c r="BL3" s="586"/>
      <c r="BM3" s="586"/>
      <c r="BN3" s="586"/>
      <c r="BO3" s="586"/>
      <c r="BP3" s="586"/>
      <c r="BQ3" s="586"/>
      <c r="BR3" s="586"/>
      <c r="BS3" s="586"/>
      <c r="BT3" s="586"/>
      <c r="BU3" s="586"/>
      <c r="BV3" s="586"/>
      <c r="BW3" s="586"/>
      <c r="BX3" s="586"/>
      <c r="BY3" s="586"/>
      <c r="BZ3" s="586"/>
      <c r="CA3" s="586"/>
      <c r="CB3" s="586"/>
      <c r="CC3" s="586"/>
      <c r="CD3" s="586"/>
      <c r="CE3" s="586"/>
      <c r="CF3" s="586"/>
      <c r="CG3" s="586"/>
      <c r="CH3" s="586"/>
      <c r="CI3" s="586"/>
      <c r="CJ3" s="586"/>
      <c r="CK3" s="586"/>
      <c r="CL3" s="586"/>
      <c r="CM3" s="586"/>
      <c r="CN3" s="586"/>
      <c r="CO3" s="586"/>
      <c r="CP3" s="586"/>
      <c r="CQ3" s="586"/>
      <c r="CR3" s="586"/>
      <c r="CS3" s="586"/>
      <c r="CT3" s="586"/>
      <c r="CU3" s="586"/>
      <c r="CV3" s="586"/>
      <c r="CW3" s="586"/>
      <c r="CX3" s="586"/>
      <c r="CY3" s="586"/>
      <c r="CZ3" s="586"/>
      <c r="DA3" s="586"/>
      <c r="DB3" s="586"/>
      <c r="DC3" s="586"/>
      <c r="DD3" s="586"/>
      <c r="DE3" s="586"/>
      <c r="DF3" s="586"/>
      <c r="DG3" s="586"/>
      <c r="DH3" s="586"/>
      <c r="DI3" s="586"/>
      <c r="DJ3" s="586"/>
      <c r="DK3" s="586"/>
      <c r="DL3" s="586"/>
      <c r="DM3" s="586"/>
      <c r="DN3" s="586"/>
      <c r="DO3" s="586"/>
      <c r="DP3" s="586"/>
      <c r="DQ3" s="586"/>
      <c r="DR3" s="586"/>
      <c r="DS3" s="586"/>
      <c r="DT3" s="586"/>
      <c r="DU3" s="586"/>
      <c r="DV3" s="586"/>
      <c r="DW3" s="586"/>
      <c r="DX3" s="586"/>
      <c r="DY3" s="586"/>
      <c r="DZ3" s="586"/>
      <c r="EA3" s="586"/>
      <c r="EB3" s="586"/>
      <c r="EC3" s="586"/>
      <c r="ED3" s="586"/>
      <c r="EE3" s="586"/>
      <c r="EF3" s="586"/>
      <c r="EG3" s="586"/>
      <c r="EH3" s="586"/>
      <c r="EI3" s="586"/>
      <c r="EJ3" s="586"/>
      <c r="EK3" s="586"/>
      <c r="EL3" s="586"/>
      <c r="EM3" s="586"/>
      <c r="EN3" s="586"/>
      <c r="EO3" s="586"/>
      <c r="EP3" s="586"/>
      <c r="EQ3" s="586"/>
      <c r="ER3" s="586"/>
      <c r="ES3" s="586"/>
      <c r="ET3" s="586"/>
      <c r="EU3" s="586"/>
      <c r="EV3" s="586"/>
    </row>
    <row r="4" spans="1:152" s="587" customFormat="1" ht="56.25" customHeight="1" x14ac:dyDescent="0.35">
      <c r="A4" s="573">
        <v>2</v>
      </c>
      <c r="B4" s="574" t="s">
        <v>1108</v>
      </c>
      <c r="C4" s="574" t="s">
        <v>1109</v>
      </c>
      <c r="D4" s="575" t="s">
        <v>17</v>
      </c>
      <c r="E4" s="576">
        <v>1</v>
      </c>
      <c r="F4" s="577">
        <v>1</v>
      </c>
      <c r="G4" s="579"/>
      <c r="H4" s="579"/>
      <c r="I4" s="579">
        <f t="shared" ref="I4:I9" si="3">+H4*E4*F4</f>
        <v>0</v>
      </c>
      <c r="J4" s="579"/>
      <c r="K4" s="579"/>
      <c r="L4" s="579"/>
      <c r="M4" s="579"/>
      <c r="N4" s="579"/>
      <c r="O4" s="579"/>
      <c r="P4" s="579"/>
      <c r="Q4" s="579"/>
      <c r="R4" s="579"/>
      <c r="S4" s="579"/>
      <c r="T4" s="579"/>
      <c r="U4" s="579"/>
      <c r="V4" s="579"/>
      <c r="W4" s="579"/>
      <c r="X4" s="579"/>
      <c r="Y4" s="579">
        <v>280000</v>
      </c>
      <c r="Z4" s="579">
        <f>+(Y4*15%)+Y4</f>
        <v>322000</v>
      </c>
      <c r="AA4" s="579">
        <f>+Z4*E4*F4</f>
        <v>322000</v>
      </c>
      <c r="AB4" s="579">
        <v>350000</v>
      </c>
      <c r="AC4" s="579">
        <f>+(AB4*15%)+AB4</f>
        <v>402500</v>
      </c>
      <c r="AD4" s="579">
        <f>+AC4*E4*F4</f>
        <v>402500</v>
      </c>
      <c r="AE4" s="579">
        <v>415000</v>
      </c>
      <c r="AF4" s="579">
        <f>+(AE4*15%)+AE4</f>
        <v>477250</v>
      </c>
      <c r="AG4" s="579">
        <f>+AF4*E4*F4</f>
        <v>477250</v>
      </c>
      <c r="AH4" s="579"/>
      <c r="AI4" s="579"/>
      <c r="AJ4" s="579"/>
      <c r="AK4" s="579"/>
      <c r="AL4" s="579"/>
      <c r="AM4" s="579"/>
      <c r="AN4" s="578">
        <f>+MEDIAN(Z4,AC4,AF4)</f>
        <v>402500</v>
      </c>
      <c r="AO4" s="578">
        <f>+AVERAGE(Z4,AC4,AF4)</f>
        <v>400583.33333333331</v>
      </c>
      <c r="AP4" s="578">
        <f>+STDEV(AF4,AC4,Z4)</f>
        <v>77642.744885361593</v>
      </c>
      <c r="AQ4" s="581">
        <f>+AP4/AO4</f>
        <v>0.19382420191893887</v>
      </c>
      <c r="AR4" s="582">
        <f t="shared" si="1"/>
        <v>402500</v>
      </c>
      <c r="AS4" s="583">
        <f t="shared" si="2"/>
        <v>402500</v>
      </c>
      <c r="AT4" s="584" t="s">
        <v>1110</v>
      </c>
      <c r="AU4" s="585"/>
      <c r="AV4" s="585"/>
      <c r="AW4" s="586"/>
      <c r="AX4" s="586"/>
      <c r="AY4" s="586"/>
      <c r="AZ4" s="586"/>
      <c r="BA4" s="586"/>
      <c r="BB4" s="586"/>
      <c r="BC4" s="586"/>
      <c r="BD4" s="586"/>
      <c r="BE4" s="586"/>
      <c r="BF4" s="586"/>
      <c r="BG4" s="586"/>
      <c r="BH4" s="586"/>
      <c r="BI4" s="586"/>
      <c r="BJ4" s="586"/>
      <c r="BK4" s="586"/>
      <c r="BL4" s="586"/>
      <c r="BM4" s="586"/>
      <c r="BN4" s="586"/>
      <c r="BO4" s="586"/>
      <c r="BP4" s="586"/>
      <c r="BQ4" s="586"/>
      <c r="BR4" s="586"/>
      <c r="BS4" s="586"/>
      <c r="BT4" s="586"/>
      <c r="BU4" s="586"/>
      <c r="BV4" s="586"/>
      <c r="BW4" s="586"/>
      <c r="BX4" s="586"/>
      <c r="BY4" s="586"/>
      <c r="BZ4" s="586"/>
      <c r="CA4" s="586"/>
      <c r="CB4" s="586"/>
      <c r="CC4" s="586"/>
      <c r="CD4" s="586"/>
      <c r="CE4" s="586"/>
      <c r="CF4" s="586"/>
      <c r="CG4" s="586"/>
      <c r="CH4" s="586"/>
      <c r="CI4" s="586"/>
      <c r="CJ4" s="586"/>
      <c r="CK4" s="586"/>
      <c r="CL4" s="586"/>
      <c r="CM4" s="586"/>
      <c r="CN4" s="586"/>
      <c r="CO4" s="586"/>
      <c r="CP4" s="586"/>
      <c r="CQ4" s="586"/>
      <c r="CR4" s="586"/>
      <c r="CS4" s="586"/>
      <c r="CT4" s="586"/>
      <c r="CU4" s="586"/>
      <c r="CV4" s="586"/>
      <c r="CW4" s="586"/>
      <c r="CX4" s="586"/>
      <c r="CY4" s="586"/>
      <c r="CZ4" s="586"/>
      <c r="DA4" s="586"/>
      <c r="DB4" s="586"/>
      <c r="DC4" s="586"/>
      <c r="DD4" s="586"/>
      <c r="DE4" s="586"/>
      <c r="DF4" s="586"/>
      <c r="DG4" s="586"/>
      <c r="DH4" s="586"/>
      <c r="DI4" s="586"/>
      <c r="DJ4" s="586"/>
      <c r="DK4" s="586"/>
      <c r="DL4" s="586"/>
      <c r="DM4" s="586"/>
      <c r="DN4" s="586"/>
      <c r="DO4" s="586"/>
      <c r="DP4" s="586"/>
      <c r="DQ4" s="586"/>
      <c r="DR4" s="586"/>
      <c r="DS4" s="586"/>
      <c r="DT4" s="586"/>
      <c r="DU4" s="586"/>
      <c r="DV4" s="586"/>
      <c r="DW4" s="586"/>
      <c r="DX4" s="586"/>
      <c r="DY4" s="586"/>
      <c r="DZ4" s="586"/>
      <c r="EA4" s="586"/>
      <c r="EB4" s="586"/>
      <c r="EC4" s="586"/>
      <c r="ED4" s="586"/>
      <c r="EE4" s="586"/>
      <c r="EF4" s="586"/>
      <c r="EG4" s="586"/>
      <c r="EH4" s="586"/>
      <c r="EI4" s="586"/>
      <c r="EJ4" s="586"/>
      <c r="EK4" s="586"/>
      <c r="EL4" s="586"/>
      <c r="EM4" s="586"/>
      <c r="EN4" s="586"/>
      <c r="EO4" s="586"/>
      <c r="EP4" s="586"/>
      <c r="EQ4" s="586"/>
      <c r="ER4" s="586"/>
      <c r="ES4" s="586"/>
      <c r="ET4" s="586"/>
      <c r="EU4" s="586"/>
      <c r="EV4" s="586"/>
    </row>
    <row r="5" spans="1:152" s="587" customFormat="1" ht="56.25" customHeight="1" x14ac:dyDescent="0.35">
      <c r="A5" s="573">
        <f t="shared" ref="A5:A9" si="4">+A4+1</f>
        <v>3</v>
      </c>
      <c r="B5" s="574" t="s">
        <v>1111</v>
      </c>
      <c r="C5" s="588" t="s">
        <v>1112</v>
      </c>
      <c r="D5" s="575" t="s">
        <v>17</v>
      </c>
      <c r="E5" s="576">
        <v>1</v>
      </c>
      <c r="F5" s="577">
        <v>1</v>
      </c>
      <c r="G5" s="579"/>
      <c r="H5" s="579"/>
      <c r="I5" s="579">
        <f t="shared" si="3"/>
        <v>0</v>
      </c>
      <c r="J5" s="579"/>
      <c r="K5" s="579"/>
      <c r="L5" s="579"/>
      <c r="M5" s="579"/>
      <c r="N5" s="580">
        <v>90000</v>
      </c>
      <c r="O5" s="579">
        <f>+N5*E5*F5</f>
        <v>90000</v>
      </c>
      <c r="P5" s="580">
        <v>85000</v>
      </c>
      <c r="Q5" s="580"/>
      <c r="R5" s="579"/>
      <c r="S5" s="579"/>
      <c r="T5" s="579"/>
      <c r="U5" s="579"/>
      <c r="V5" s="579"/>
      <c r="W5" s="579"/>
      <c r="X5" s="579"/>
      <c r="Y5" s="579"/>
      <c r="Z5" s="579"/>
      <c r="AA5" s="579"/>
      <c r="AB5" s="579"/>
      <c r="AC5" s="579"/>
      <c r="AD5" s="579"/>
      <c r="AE5" s="579"/>
      <c r="AF5" s="579"/>
      <c r="AG5" s="579"/>
      <c r="AH5" s="579"/>
      <c r="AI5" s="579"/>
      <c r="AJ5" s="579"/>
      <c r="AK5" s="579"/>
      <c r="AL5" s="579"/>
      <c r="AM5" s="579"/>
      <c r="AN5" s="578">
        <f>MEDIAN(N5,P5)</f>
        <v>87500</v>
      </c>
      <c r="AO5" s="578">
        <f>AVERAGE(N5,P5)</f>
        <v>87500</v>
      </c>
      <c r="AP5" s="578">
        <f>+STDEV(N5,P5)</f>
        <v>3535.5339059327375</v>
      </c>
      <c r="AQ5" s="581">
        <f t="shared" si="0"/>
        <v>4.0406101782088429E-2</v>
      </c>
      <c r="AR5" s="582">
        <f t="shared" si="1"/>
        <v>87500</v>
      </c>
      <c r="AS5" s="583">
        <f t="shared" si="2"/>
        <v>87500</v>
      </c>
      <c r="AT5" s="584" t="s">
        <v>1107</v>
      </c>
      <c r="AU5" s="585"/>
      <c r="AV5" s="585"/>
      <c r="AW5" s="586"/>
      <c r="AX5" s="586"/>
      <c r="AY5" s="586"/>
      <c r="AZ5" s="586"/>
      <c r="BA5" s="586"/>
      <c r="BB5" s="586"/>
      <c r="BC5" s="586"/>
      <c r="BD5" s="586"/>
      <c r="BE5" s="586"/>
      <c r="BF5" s="586"/>
      <c r="BG5" s="586"/>
      <c r="BH5" s="586"/>
      <c r="BI5" s="586"/>
      <c r="BJ5" s="586"/>
      <c r="BK5" s="586"/>
      <c r="BL5" s="586"/>
      <c r="BM5" s="586"/>
      <c r="BN5" s="586"/>
      <c r="BO5" s="586"/>
      <c r="BP5" s="586"/>
      <c r="BQ5" s="586"/>
      <c r="BR5" s="586"/>
      <c r="BS5" s="586"/>
      <c r="BT5" s="586"/>
      <c r="BU5" s="586"/>
      <c r="BV5" s="586"/>
      <c r="BW5" s="586"/>
      <c r="BX5" s="586"/>
      <c r="BY5" s="586"/>
      <c r="BZ5" s="586"/>
      <c r="CA5" s="586"/>
      <c r="CB5" s="586"/>
      <c r="CC5" s="586"/>
      <c r="CD5" s="586"/>
      <c r="CE5" s="586"/>
      <c r="CF5" s="586"/>
      <c r="CG5" s="586"/>
      <c r="CH5" s="586"/>
      <c r="CI5" s="586"/>
      <c r="CJ5" s="586"/>
      <c r="CK5" s="586"/>
      <c r="CL5" s="586"/>
      <c r="CM5" s="586"/>
      <c r="CN5" s="586"/>
      <c r="CO5" s="586"/>
      <c r="CP5" s="586"/>
      <c r="CQ5" s="586"/>
      <c r="CR5" s="586"/>
      <c r="CS5" s="586"/>
      <c r="CT5" s="586"/>
      <c r="CU5" s="586"/>
      <c r="CV5" s="586"/>
      <c r="CW5" s="586"/>
      <c r="CX5" s="586"/>
      <c r="CY5" s="586"/>
      <c r="CZ5" s="586"/>
      <c r="DA5" s="586"/>
      <c r="DB5" s="586"/>
      <c r="DC5" s="586"/>
      <c r="DD5" s="586"/>
      <c r="DE5" s="586"/>
      <c r="DF5" s="586"/>
      <c r="DG5" s="586"/>
      <c r="DH5" s="586"/>
      <c r="DI5" s="586"/>
      <c r="DJ5" s="586"/>
      <c r="DK5" s="586"/>
      <c r="DL5" s="586"/>
      <c r="DM5" s="586"/>
      <c r="DN5" s="586"/>
      <c r="DO5" s="586"/>
      <c r="DP5" s="586"/>
      <c r="DQ5" s="586"/>
      <c r="DR5" s="586"/>
      <c r="DS5" s="586"/>
      <c r="DT5" s="586"/>
      <c r="DU5" s="586"/>
      <c r="DV5" s="586"/>
      <c r="DW5" s="586"/>
      <c r="DX5" s="586"/>
      <c r="DY5" s="586"/>
      <c r="DZ5" s="586"/>
      <c r="EA5" s="586"/>
      <c r="EB5" s="586"/>
      <c r="EC5" s="586"/>
      <c r="ED5" s="586"/>
      <c r="EE5" s="586"/>
      <c r="EF5" s="586"/>
      <c r="EG5" s="586"/>
      <c r="EH5" s="586"/>
      <c r="EI5" s="586"/>
      <c r="EJ5" s="586"/>
      <c r="EK5" s="586"/>
      <c r="EL5" s="586"/>
      <c r="EM5" s="586"/>
      <c r="EN5" s="586"/>
      <c r="EO5" s="586"/>
      <c r="EP5" s="586"/>
      <c r="EQ5" s="586"/>
      <c r="ER5" s="586"/>
      <c r="ES5" s="586"/>
      <c r="ET5" s="586"/>
      <c r="EU5" s="586"/>
      <c r="EV5" s="586"/>
    </row>
    <row r="6" spans="1:152" s="587" customFormat="1" ht="56.25" customHeight="1" x14ac:dyDescent="0.35">
      <c r="A6" s="573">
        <f t="shared" si="4"/>
        <v>4</v>
      </c>
      <c r="B6" s="574" t="s">
        <v>1113</v>
      </c>
      <c r="C6" s="588" t="s">
        <v>1114</v>
      </c>
      <c r="D6" s="575" t="s">
        <v>17</v>
      </c>
      <c r="E6" s="576">
        <v>1</v>
      </c>
      <c r="F6" s="577">
        <v>1</v>
      </c>
      <c r="G6" s="579"/>
      <c r="H6" s="579"/>
      <c r="I6" s="579">
        <f t="shared" si="3"/>
        <v>0</v>
      </c>
      <c r="J6" s="579"/>
      <c r="K6" s="579"/>
      <c r="L6" s="579"/>
      <c r="M6" s="579"/>
      <c r="N6" s="579"/>
      <c r="O6" s="579"/>
      <c r="P6" s="579"/>
      <c r="Q6" s="579"/>
      <c r="R6" s="579"/>
      <c r="S6" s="579"/>
      <c r="T6" s="579"/>
      <c r="U6" s="579"/>
      <c r="V6" s="579"/>
      <c r="W6" s="579"/>
      <c r="X6" s="579"/>
      <c r="Y6" s="579"/>
      <c r="Z6" s="579"/>
      <c r="AA6" s="579"/>
      <c r="AB6" s="579"/>
      <c r="AC6" s="579"/>
      <c r="AD6" s="579"/>
      <c r="AE6" s="579"/>
      <c r="AF6" s="579"/>
      <c r="AG6" s="579"/>
      <c r="AH6" s="579"/>
      <c r="AI6" s="579"/>
      <c r="AJ6" s="578">
        <v>75000</v>
      </c>
      <c r="AK6" s="579">
        <f>+AJ6*E6*F6</f>
        <v>75000</v>
      </c>
      <c r="AL6" s="578">
        <v>80000</v>
      </c>
      <c r="AM6" s="579">
        <f>+AL6*E6*F6</f>
        <v>80000</v>
      </c>
      <c r="AN6" s="578">
        <f>+MEDIAN(AJ6,AL6)</f>
        <v>77500</v>
      </c>
      <c r="AO6" s="578">
        <f>+AVERAGE(AJ6,AL6)</f>
        <v>77500</v>
      </c>
      <c r="AP6" s="578">
        <f>+STDEV(AJ6,AL6)</f>
        <v>3535.5339059327375</v>
      </c>
      <c r="AQ6" s="581">
        <f>+AP6/AO6</f>
        <v>4.5619792334615966E-2</v>
      </c>
      <c r="AR6" s="582">
        <f t="shared" si="1"/>
        <v>77500</v>
      </c>
      <c r="AS6" s="583">
        <f t="shared" si="2"/>
        <v>77500</v>
      </c>
      <c r="AT6" s="584" t="s">
        <v>1107</v>
      </c>
      <c r="AU6" s="585"/>
      <c r="AV6" s="585"/>
      <c r="AW6" s="586"/>
      <c r="AX6" s="586"/>
      <c r="AY6" s="586"/>
      <c r="AZ6" s="586"/>
      <c r="BA6" s="586"/>
      <c r="BB6" s="586"/>
      <c r="BC6" s="586"/>
      <c r="BD6" s="586"/>
      <c r="BE6" s="586"/>
      <c r="BF6" s="586"/>
      <c r="BG6" s="586"/>
      <c r="BH6" s="586"/>
      <c r="BI6" s="586"/>
      <c r="BJ6" s="586"/>
      <c r="BK6" s="586"/>
      <c r="BL6" s="586"/>
      <c r="BM6" s="586"/>
      <c r="BN6" s="586"/>
      <c r="BO6" s="586"/>
      <c r="BP6" s="586"/>
      <c r="BQ6" s="586"/>
      <c r="BR6" s="586"/>
      <c r="BS6" s="586"/>
      <c r="BT6" s="586"/>
      <c r="BU6" s="586"/>
      <c r="BV6" s="586"/>
      <c r="BW6" s="586"/>
      <c r="BX6" s="586"/>
      <c r="BY6" s="586"/>
      <c r="BZ6" s="586"/>
      <c r="CA6" s="586"/>
      <c r="CB6" s="586"/>
      <c r="CC6" s="586"/>
      <c r="CD6" s="586"/>
      <c r="CE6" s="586"/>
      <c r="CF6" s="586"/>
      <c r="CG6" s="586"/>
      <c r="CH6" s="586"/>
      <c r="CI6" s="586"/>
      <c r="CJ6" s="586"/>
      <c r="CK6" s="586"/>
      <c r="CL6" s="586"/>
      <c r="CM6" s="586"/>
      <c r="CN6" s="586"/>
      <c r="CO6" s="586"/>
      <c r="CP6" s="586"/>
      <c r="CQ6" s="586"/>
      <c r="CR6" s="586"/>
      <c r="CS6" s="586"/>
      <c r="CT6" s="586"/>
      <c r="CU6" s="586"/>
      <c r="CV6" s="586"/>
      <c r="CW6" s="586"/>
      <c r="CX6" s="586"/>
      <c r="CY6" s="586"/>
      <c r="CZ6" s="586"/>
      <c r="DA6" s="586"/>
      <c r="DB6" s="586"/>
      <c r="DC6" s="586"/>
      <c r="DD6" s="586"/>
      <c r="DE6" s="586"/>
      <c r="DF6" s="586"/>
      <c r="DG6" s="586"/>
      <c r="DH6" s="586"/>
      <c r="DI6" s="586"/>
      <c r="DJ6" s="586"/>
      <c r="DK6" s="586"/>
      <c r="DL6" s="586"/>
      <c r="DM6" s="586"/>
      <c r="DN6" s="586"/>
      <c r="DO6" s="586"/>
      <c r="DP6" s="586"/>
      <c r="DQ6" s="586"/>
      <c r="DR6" s="586"/>
      <c r="DS6" s="586"/>
      <c r="DT6" s="586"/>
      <c r="DU6" s="586"/>
      <c r="DV6" s="586"/>
      <c r="DW6" s="586"/>
      <c r="DX6" s="586"/>
      <c r="DY6" s="586"/>
      <c r="DZ6" s="586"/>
      <c r="EA6" s="586"/>
      <c r="EB6" s="586"/>
      <c r="EC6" s="586"/>
      <c r="ED6" s="586"/>
      <c r="EE6" s="586"/>
      <c r="EF6" s="586"/>
      <c r="EG6" s="586"/>
      <c r="EH6" s="586"/>
      <c r="EI6" s="586"/>
      <c r="EJ6" s="586"/>
      <c r="EK6" s="586"/>
      <c r="EL6" s="586"/>
      <c r="EM6" s="586"/>
      <c r="EN6" s="586"/>
      <c r="EO6" s="586"/>
      <c r="EP6" s="586"/>
      <c r="EQ6" s="586"/>
      <c r="ER6" s="586"/>
      <c r="ES6" s="586"/>
      <c r="ET6" s="586"/>
      <c r="EU6" s="586"/>
      <c r="EV6" s="586"/>
    </row>
    <row r="7" spans="1:152" s="587" customFormat="1" ht="56.25" customHeight="1" x14ac:dyDescent="0.35">
      <c r="A7" s="573">
        <f t="shared" si="4"/>
        <v>5</v>
      </c>
      <c r="B7" s="574" t="s">
        <v>1115</v>
      </c>
      <c r="C7" s="589" t="s">
        <v>1116</v>
      </c>
      <c r="D7" s="575" t="s">
        <v>1117</v>
      </c>
      <c r="E7" s="576">
        <v>1</v>
      </c>
      <c r="F7" s="577">
        <v>1</v>
      </c>
      <c r="G7" s="579"/>
      <c r="H7" s="579"/>
      <c r="I7" s="579">
        <f t="shared" si="3"/>
        <v>0</v>
      </c>
      <c r="J7" s="579"/>
      <c r="K7" s="579"/>
      <c r="L7" s="579"/>
      <c r="M7" s="579"/>
      <c r="N7" s="579"/>
      <c r="O7" s="579"/>
      <c r="P7" s="579"/>
      <c r="Q7" s="579"/>
      <c r="R7" s="579"/>
      <c r="S7" s="579"/>
      <c r="T7" s="579"/>
      <c r="U7" s="579"/>
      <c r="V7" s="579"/>
      <c r="W7" s="579"/>
      <c r="X7" s="579"/>
      <c r="Y7" s="579"/>
      <c r="Z7" s="579"/>
      <c r="AA7" s="579"/>
      <c r="AB7" s="579"/>
      <c r="AC7" s="579"/>
      <c r="AD7" s="579"/>
      <c r="AE7" s="579"/>
      <c r="AF7" s="579"/>
      <c r="AG7" s="579"/>
      <c r="AH7" s="579"/>
      <c r="AI7" s="579"/>
      <c r="AJ7" s="579">
        <v>650000</v>
      </c>
      <c r="AK7" s="579">
        <f>+AJ7*E7*F7</f>
        <v>650000</v>
      </c>
      <c r="AL7" s="579">
        <v>670000</v>
      </c>
      <c r="AM7" s="579">
        <f>+AL7*E7*F7</f>
        <v>670000</v>
      </c>
      <c r="AN7" s="578">
        <f>+MEDIAN(AJ7,AL7)</f>
        <v>660000</v>
      </c>
      <c r="AO7" s="578">
        <f>+AVERAGE(AJ7,AL7)</f>
        <v>660000</v>
      </c>
      <c r="AP7" s="578">
        <f>+STDEV(AJ7,AL7)</f>
        <v>14142.13562373095</v>
      </c>
      <c r="AQ7" s="581">
        <f>+AP7/AO7</f>
        <v>2.1427478217774167E-2</v>
      </c>
      <c r="AR7" s="582">
        <f t="shared" si="1"/>
        <v>660000</v>
      </c>
      <c r="AS7" s="583">
        <f t="shared" si="2"/>
        <v>660000</v>
      </c>
      <c r="AT7" s="584" t="s">
        <v>1107</v>
      </c>
      <c r="AU7" s="585"/>
      <c r="AV7" s="585"/>
      <c r="AW7" s="586"/>
      <c r="AX7" s="586"/>
      <c r="AY7" s="586"/>
      <c r="AZ7" s="586"/>
      <c r="BA7" s="586"/>
      <c r="BB7" s="586"/>
      <c r="BC7" s="586"/>
      <c r="BD7" s="586"/>
      <c r="BE7" s="586"/>
      <c r="BF7" s="586"/>
      <c r="BG7" s="586"/>
      <c r="BH7" s="586"/>
      <c r="BI7" s="586"/>
      <c r="BJ7" s="586"/>
      <c r="BK7" s="586"/>
      <c r="BL7" s="586"/>
      <c r="BM7" s="586"/>
      <c r="BN7" s="586"/>
      <c r="BO7" s="586"/>
      <c r="BP7" s="586"/>
      <c r="BQ7" s="586"/>
      <c r="BR7" s="586"/>
      <c r="BS7" s="586"/>
      <c r="BT7" s="586"/>
      <c r="BU7" s="586"/>
      <c r="BV7" s="586"/>
      <c r="BW7" s="586"/>
      <c r="BX7" s="586"/>
      <c r="BY7" s="586"/>
      <c r="BZ7" s="586"/>
      <c r="CA7" s="586"/>
      <c r="CB7" s="586"/>
      <c r="CC7" s="586"/>
      <c r="CD7" s="586"/>
      <c r="CE7" s="586"/>
      <c r="CF7" s="586"/>
      <c r="CG7" s="586"/>
      <c r="CH7" s="586"/>
      <c r="CI7" s="586"/>
      <c r="CJ7" s="586"/>
      <c r="CK7" s="586"/>
      <c r="CL7" s="586"/>
      <c r="CM7" s="586"/>
      <c r="CN7" s="586"/>
      <c r="CO7" s="586"/>
      <c r="CP7" s="586"/>
      <c r="CQ7" s="586"/>
      <c r="CR7" s="586"/>
      <c r="CS7" s="586"/>
      <c r="CT7" s="586"/>
      <c r="CU7" s="586"/>
      <c r="CV7" s="586"/>
      <c r="CW7" s="586"/>
      <c r="CX7" s="586"/>
      <c r="CY7" s="586"/>
      <c r="CZ7" s="586"/>
      <c r="DA7" s="586"/>
      <c r="DB7" s="586"/>
      <c r="DC7" s="586"/>
      <c r="DD7" s="586"/>
      <c r="DE7" s="586"/>
      <c r="DF7" s="586"/>
      <c r="DG7" s="586"/>
      <c r="DH7" s="586"/>
      <c r="DI7" s="586"/>
      <c r="DJ7" s="586"/>
      <c r="DK7" s="586"/>
      <c r="DL7" s="586"/>
      <c r="DM7" s="586"/>
      <c r="DN7" s="586"/>
      <c r="DO7" s="586"/>
      <c r="DP7" s="586"/>
      <c r="DQ7" s="586"/>
      <c r="DR7" s="586"/>
      <c r="DS7" s="586"/>
      <c r="DT7" s="586"/>
      <c r="DU7" s="586"/>
      <c r="DV7" s="586"/>
      <c r="DW7" s="586"/>
      <c r="DX7" s="586"/>
      <c r="DY7" s="586"/>
      <c r="DZ7" s="586"/>
      <c r="EA7" s="586"/>
      <c r="EB7" s="586"/>
      <c r="EC7" s="586"/>
      <c r="ED7" s="586"/>
      <c r="EE7" s="586"/>
      <c r="EF7" s="586"/>
      <c r="EG7" s="586"/>
      <c r="EH7" s="586"/>
      <c r="EI7" s="586"/>
      <c r="EJ7" s="586"/>
      <c r="EK7" s="586"/>
      <c r="EL7" s="586"/>
      <c r="EM7" s="586"/>
      <c r="EN7" s="586"/>
      <c r="EO7" s="586"/>
      <c r="EP7" s="586"/>
      <c r="EQ7" s="586"/>
      <c r="ER7" s="586"/>
      <c r="ES7" s="586"/>
      <c r="ET7" s="586"/>
      <c r="EU7" s="586"/>
      <c r="EV7" s="586"/>
    </row>
    <row r="8" spans="1:152" s="587" customFormat="1" ht="56.25" customHeight="1" x14ac:dyDescent="0.35">
      <c r="A8" s="573">
        <f t="shared" si="4"/>
        <v>6</v>
      </c>
      <c r="B8" s="588" t="s">
        <v>1118</v>
      </c>
      <c r="C8" s="588" t="s">
        <v>1119</v>
      </c>
      <c r="D8" s="575" t="s">
        <v>17</v>
      </c>
      <c r="E8" s="576">
        <v>1</v>
      </c>
      <c r="F8" s="577">
        <v>1</v>
      </c>
      <c r="G8" s="579"/>
      <c r="H8" s="579"/>
      <c r="I8" s="579">
        <f t="shared" si="3"/>
        <v>0</v>
      </c>
      <c r="J8" s="579"/>
      <c r="K8" s="579"/>
      <c r="L8" s="580"/>
      <c r="M8" s="579"/>
      <c r="N8" s="579"/>
      <c r="O8" s="579"/>
      <c r="P8" s="579"/>
      <c r="Q8" s="579"/>
      <c r="R8" s="579"/>
      <c r="S8" s="590">
        <v>82450</v>
      </c>
      <c r="T8" s="590">
        <v>86737</v>
      </c>
      <c r="U8" s="579">
        <f>+T8*E8*F8</f>
        <v>86737</v>
      </c>
      <c r="V8" s="590">
        <v>55000</v>
      </c>
      <c r="W8" s="590">
        <v>57860</v>
      </c>
      <c r="X8" s="579">
        <f>+W8*E8*F8</f>
        <v>57860</v>
      </c>
      <c r="Y8" s="579"/>
      <c r="Z8" s="579"/>
      <c r="AA8" s="579"/>
      <c r="AB8" s="579"/>
      <c r="AC8" s="579"/>
      <c r="AD8" s="579"/>
      <c r="AE8" s="579"/>
      <c r="AF8" s="579"/>
      <c r="AG8" s="579"/>
      <c r="AH8" s="579"/>
      <c r="AI8" s="579"/>
      <c r="AJ8" s="579"/>
      <c r="AK8" s="579">
        <f>+AJ8*E8*F8</f>
        <v>0</v>
      </c>
      <c r="AL8" s="579"/>
      <c r="AM8" s="579">
        <f>+AL8*E8*F8</f>
        <v>0</v>
      </c>
      <c r="AN8" s="578">
        <f>+MEDIAN(T8,W8)</f>
        <v>72298.5</v>
      </c>
      <c r="AO8" s="578">
        <f>+AVERAGE(T8,W8)</f>
        <v>72298.5</v>
      </c>
      <c r="AP8" s="578">
        <f>+STDEV(T8,W8)</f>
        <v>20419.122520323934</v>
      </c>
      <c r="AQ8" s="581">
        <f>+AP8/AO8</f>
        <v>0.28242802437566389</v>
      </c>
      <c r="AR8" s="582">
        <f t="shared" si="1"/>
        <v>72299</v>
      </c>
      <c r="AS8" s="583">
        <f t="shared" si="2"/>
        <v>72299</v>
      </c>
      <c r="AT8" s="591" t="s">
        <v>1120</v>
      </c>
      <c r="AU8" s="585"/>
      <c r="AV8" s="585"/>
      <c r="AW8" s="586"/>
      <c r="AX8" s="586"/>
      <c r="AY8" s="586"/>
      <c r="AZ8" s="586"/>
      <c r="BA8" s="586"/>
      <c r="BB8" s="586"/>
      <c r="BC8" s="586"/>
      <c r="BD8" s="586"/>
      <c r="BE8" s="586"/>
      <c r="BF8" s="586"/>
      <c r="BG8" s="586"/>
      <c r="BH8" s="586"/>
      <c r="BI8" s="586"/>
      <c r="BJ8" s="586"/>
      <c r="BK8" s="586"/>
      <c r="BL8" s="586"/>
      <c r="BM8" s="586"/>
      <c r="BN8" s="586"/>
      <c r="BO8" s="586"/>
      <c r="BP8" s="586"/>
      <c r="BQ8" s="586"/>
      <c r="BR8" s="586"/>
      <c r="BS8" s="586"/>
      <c r="BT8" s="586"/>
      <c r="BU8" s="586"/>
      <c r="BV8" s="586"/>
      <c r="BW8" s="586"/>
      <c r="BX8" s="586"/>
      <c r="BY8" s="586"/>
      <c r="BZ8" s="586"/>
      <c r="CA8" s="586"/>
      <c r="CB8" s="586"/>
      <c r="CC8" s="586"/>
      <c r="CD8" s="586"/>
      <c r="CE8" s="586"/>
      <c r="CF8" s="586"/>
      <c r="CG8" s="586"/>
      <c r="CH8" s="586"/>
      <c r="CI8" s="586"/>
      <c r="CJ8" s="586"/>
      <c r="CK8" s="586"/>
      <c r="CL8" s="586"/>
      <c r="CM8" s="586"/>
      <c r="CN8" s="586"/>
      <c r="CO8" s="586"/>
      <c r="CP8" s="586"/>
      <c r="CQ8" s="586"/>
      <c r="CR8" s="586"/>
      <c r="CS8" s="586"/>
      <c r="CT8" s="586"/>
      <c r="CU8" s="586"/>
      <c r="CV8" s="586"/>
      <c r="CW8" s="586"/>
      <c r="CX8" s="586"/>
      <c r="CY8" s="586"/>
      <c r="CZ8" s="586"/>
      <c r="DA8" s="586"/>
      <c r="DB8" s="586"/>
      <c r="DC8" s="586"/>
      <c r="DD8" s="586"/>
      <c r="DE8" s="586"/>
      <c r="DF8" s="586"/>
      <c r="DG8" s="586"/>
      <c r="DH8" s="586"/>
      <c r="DI8" s="586"/>
      <c r="DJ8" s="586"/>
      <c r="DK8" s="586"/>
      <c r="DL8" s="586"/>
      <c r="DM8" s="586"/>
      <c r="DN8" s="586"/>
      <c r="DO8" s="586"/>
      <c r="DP8" s="586"/>
      <c r="DQ8" s="586"/>
      <c r="DR8" s="586"/>
      <c r="DS8" s="586"/>
      <c r="DT8" s="586"/>
      <c r="DU8" s="586"/>
      <c r="DV8" s="586"/>
      <c r="DW8" s="586"/>
      <c r="DX8" s="586"/>
      <c r="DY8" s="586"/>
      <c r="DZ8" s="586"/>
      <c r="EA8" s="586"/>
      <c r="EB8" s="586"/>
      <c r="EC8" s="586"/>
      <c r="ED8" s="586"/>
      <c r="EE8" s="586"/>
      <c r="EF8" s="586"/>
      <c r="EG8" s="586"/>
      <c r="EH8" s="586"/>
      <c r="EI8" s="586"/>
      <c r="EJ8" s="586"/>
      <c r="EK8" s="586"/>
      <c r="EL8" s="586"/>
      <c r="EM8" s="586"/>
      <c r="EN8" s="586"/>
      <c r="EO8" s="586"/>
      <c r="EP8" s="586"/>
      <c r="EQ8" s="586"/>
      <c r="ER8" s="586"/>
      <c r="ES8" s="586"/>
      <c r="ET8" s="586"/>
      <c r="EU8" s="586"/>
      <c r="EV8" s="586"/>
    </row>
    <row r="9" spans="1:152" s="587" customFormat="1" ht="56.25" customHeight="1" x14ac:dyDescent="0.35">
      <c r="A9" s="573">
        <f t="shared" si="4"/>
        <v>7</v>
      </c>
      <c r="B9" s="592" t="s">
        <v>1121</v>
      </c>
      <c r="C9" s="574" t="s">
        <v>1122</v>
      </c>
      <c r="D9" s="575" t="s">
        <v>17</v>
      </c>
      <c r="E9" s="576">
        <v>1</v>
      </c>
      <c r="F9" s="577">
        <v>1</v>
      </c>
      <c r="G9" s="579"/>
      <c r="H9" s="579"/>
      <c r="I9" s="579">
        <f t="shared" si="3"/>
        <v>0</v>
      </c>
      <c r="J9" s="580">
        <v>50000</v>
      </c>
      <c r="K9" s="579">
        <f>+J9*E9*F9</f>
        <v>50000</v>
      </c>
      <c r="L9" s="580">
        <v>40000</v>
      </c>
      <c r="M9" s="579">
        <f>+L9*E9*F9</f>
        <v>40000</v>
      </c>
      <c r="N9" s="580">
        <v>68000</v>
      </c>
      <c r="O9" s="579">
        <f>+N9*E9*F9</f>
        <v>68000</v>
      </c>
      <c r="P9" s="579"/>
      <c r="Q9" s="579"/>
      <c r="R9" s="579"/>
      <c r="S9" s="579"/>
      <c r="T9" s="579"/>
      <c r="U9" s="579"/>
      <c r="V9" s="579"/>
      <c r="W9" s="579"/>
      <c r="X9" s="579"/>
      <c r="Y9" s="579"/>
      <c r="Z9" s="579"/>
      <c r="AA9" s="579"/>
      <c r="AB9" s="579"/>
      <c r="AC9" s="579"/>
      <c r="AD9" s="579"/>
      <c r="AE9" s="579"/>
      <c r="AF9" s="579"/>
      <c r="AG9" s="579"/>
      <c r="AH9" s="579"/>
      <c r="AI9" s="579"/>
      <c r="AJ9" s="579"/>
      <c r="AK9" s="579">
        <f>+AJ9*E9*F9</f>
        <v>0</v>
      </c>
      <c r="AL9" s="579"/>
      <c r="AM9" s="579">
        <f>+AL9*E9*F9</f>
        <v>0</v>
      </c>
      <c r="AN9" s="578">
        <f>MEDIAN(J9,L9,N9)</f>
        <v>50000</v>
      </c>
      <c r="AO9" s="578">
        <f>AVERAGE(J9,L9,N9)</f>
        <v>52666.666666666664</v>
      </c>
      <c r="AP9" s="578">
        <f>+STDEV(J9,L9,N9)</f>
        <v>14189.197769195182</v>
      </c>
      <c r="AQ9" s="581">
        <f t="shared" si="0"/>
        <v>0.2694151475163642</v>
      </c>
      <c r="AR9" s="582">
        <f t="shared" si="1"/>
        <v>50000</v>
      </c>
      <c r="AS9" s="583">
        <f t="shared" si="2"/>
        <v>50000</v>
      </c>
      <c r="AT9" s="584" t="s">
        <v>1120</v>
      </c>
      <c r="AU9" s="585"/>
      <c r="AV9" s="585"/>
      <c r="AW9" s="586"/>
      <c r="AX9" s="586"/>
      <c r="AY9" s="586"/>
      <c r="AZ9" s="586"/>
      <c r="BA9" s="586"/>
      <c r="BB9" s="586"/>
      <c r="BC9" s="586"/>
      <c r="BD9" s="586"/>
      <c r="BE9" s="586"/>
      <c r="BF9" s="586"/>
      <c r="BG9" s="586"/>
      <c r="BH9" s="586"/>
      <c r="BI9" s="586"/>
      <c r="BJ9" s="586"/>
      <c r="BK9" s="586"/>
      <c r="BL9" s="586"/>
      <c r="BM9" s="586"/>
      <c r="BN9" s="586"/>
      <c r="BO9" s="586"/>
      <c r="BP9" s="586"/>
      <c r="BQ9" s="586"/>
      <c r="BR9" s="586"/>
      <c r="BS9" s="586"/>
      <c r="BT9" s="586"/>
      <c r="BU9" s="586"/>
      <c r="BV9" s="586"/>
      <c r="BW9" s="586"/>
      <c r="BX9" s="586"/>
      <c r="BY9" s="586"/>
      <c r="BZ9" s="586"/>
      <c r="CA9" s="586"/>
      <c r="CB9" s="586"/>
      <c r="CC9" s="586"/>
      <c r="CD9" s="586"/>
      <c r="CE9" s="586"/>
      <c r="CF9" s="586"/>
      <c r="CG9" s="586"/>
      <c r="CH9" s="586"/>
      <c r="CI9" s="586"/>
      <c r="CJ9" s="586"/>
      <c r="CK9" s="586"/>
      <c r="CL9" s="586"/>
      <c r="CM9" s="586"/>
      <c r="CN9" s="586"/>
      <c r="CO9" s="586"/>
      <c r="CP9" s="586"/>
      <c r="CQ9" s="586"/>
      <c r="CR9" s="586"/>
      <c r="CS9" s="586"/>
      <c r="CT9" s="586"/>
      <c r="CU9" s="586"/>
      <c r="CV9" s="586"/>
      <c r="CW9" s="586"/>
      <c r="CX9" s="586"/>
      <c r="CY9" s="586"/>
      <c r="CZ9" s="586"/>
      <c r="DA9" s="586"/>
      <c r="DB9" s="586"/>
      <c r="DC9" s="586"/>
      <c r="DD9" s="586"/>
      <c r="DE9" s="586"/>
      <c r="DF9" s="586"/>
      <c r="DG9" s="586"/>
      <c r="DH9" s="586"/>
      <c r="DI9" s="586"/>
      <c r="DJ9" s="586"/>
      <c r="DK9" s="586"/>
      <c r="DL9" s="586"/>
      <c r="DM9" s="586"/>
      <c r="DN9" s="586"/>
      <c r="DO9" s="586"/>
      <c r="DP9" s="586"/>
      <c r="DQ9" s="586"/>
      <c r="DR9" s="586"/>
      <c r="DS9" s="586"/>
      <c r="DT9" s="586"/>
      <c r="DU9" s="586"/>
      <c r="DV9" s="586"/>
      <c r="DW9" s="586"/>
      <c r="DX9" s="586"/>
      <c r="DY9" s="586"/>
      <c r="DZ9" s="586"/>
      <c r="EA9" s="586"/>
      <c r="EB9" s="586"/>
      <c r="EC9" s="586"/>
      <c r="ED9" s="586"/>
      <c r="EE9" s="586"/>
      <c r="EF9" s="586"/>
      <c r="EG9" s="586"/>
      <c r="EH9" s="586"/>
      <c r="EI9" s="586"/>
      <c r="EJ9" s="586"/>
      <c r="EK9" s="586"/>
      <c r="EL9" s="586"/>
      <c r="EM9" s="586"/>
      <c r="EN9" s="586"/>
      <c r="EO9" s="586"/>
      <c r="EP9" s="586"/>
      <c r="EQ9" s="586"/>
      <c r="ER9" s="586"/>
      <c r="ES9" s="586"/>
      <c r="ET9" s="586"/>
      <c r="EU9" s="586"/>
      <c r="EV9" s="586"/>
    </row>
    <row r="10" spans="1:152" ht="15.5" x14ac:dyDescent="0.35">
      <c r="E10" s="600"/>
    </row>
  </sheetData>
  <autoFilter ref="A2:EV2" xr:uid="{6177DB21-17EE-4CD2-8595-86ABCA7F8B3E}"/>
  <mergeCells count="16">
    <mergeCell ref="AN1:AS1"/>
    <mergeCell ref="AT1:AT2"/>
    <mergeCell ref="AJ1:AK1"/>
    <mergeCell ref="AL1:AM1"/>
    <mergeCell ref="AH1:AI1"/>
    <mergeCell ref="V1:X1"/>
    <mergeCell ref="Y1:AA1"/>
    <mergeCell ref="AB1:AD1"/>
    <mergeCell ref="AE1:AG1"/>
    <mergeCell ref="A1:F1"/>
    <mergeCell ref="S1:U1"/>
    <mergeCell ref="G1:I1"/>
    <mergeCell ref="J1:K1"/>
    <mergeCell ref="L1:M1"/>
    <mergeCell ref="N1:O1"/>
    <mergeCell ref="P1:R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ESTUDIO DE MERCADO</vt:lpstr>
      <vt:lpstr>BOLSA CULTURA</vt:lpstr>
      <vt:lpstr>BOLSA FERRETERIA</vt:lpstr>
      <vt:lpstr>BOLSA PAPELERIA </vt:lpstr>
      <vt:lpstr>BOLSA JUEGOS TRADICIONALES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Paola Cepeda Galindo</dc:creator>
  <cp:lastModifiedBy>Melissa Cardenas</cp:lastModifiedBy>
  <dcterms:created xsi:type="dcterms:W3CDTF">2022-02-23T18:47:10Z</dcterms:created>
  <dcterms:modified xsi:type="dcterms:W3CDTF">2025-10-29T23:22:15Z</dcterms:modified>
</cp:coreProperties>
</file>