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2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3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4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5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6.xml" ContentType="application/vnd.openxmlformats-officedocument.drawing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drawings/drawing7.xml" ContentType="application/vnd.openxmlformats-officedocument.drawing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G:\2020\20001193 H3-2020 SASI - Rutas Funcionarios\Definitivo\"/>
    </mc:Choice>
  </mc:AlternateContent>
  <xr:revisionPtr revIDLastSave="0" documentId="8_{28F5A4D2-73AD-438B-818F-1A86F74900E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ITEM 1" sheetId="2" r:id="rId1"/>
    <sheet name="ITEM 2" sheetId="9" r:id="rId2"/>
    <sheet name="ITEM 3" sheetId="7" r:id="rId3"/>
    <sheet name="ITEM 4" sheetId="8" r:id="rId4"/>
    <sheet name="ITEM 5" sheetId="6" r:id="rId5"/>
    <sheet name="ITEM 6" sheetId="4" r:id="rId6"/>
    <sheet name="ITEM 7" sheetId="5" r:id="rId7"/>
  </sheets>
  <definedNames>
    <definedName name="_xlnm._FilterDatabase" localSheetId="0" hidden="1">'ITEM 1'!$A$19:$J$45</definedName>
    <definedName name="_xlnm._FilterDatabase" localSheetId="1" hidden="1">'ITEM 2'!$A$19:$J$45</definedName>
    <definedName name="_xlnm._FilterDatabase" localSheetId="2" hidden="1">'ITEM 3'!$A$19:$J$45</definedName>
    <definedName name="_xlnm._FilterDatabase" localSheetId="3" hidden="1">'ITEM 4'!$A$19:$J$45</definedName>
    <definedName name="_xlnm._FilterDatabase" localSheetId="4" hidden="1">'ITEM 5'!$A$19:$J$45</definedName>
    <definedName name="_xlnm._FilterDatabase" localSheetId="5" hidden="1">'ITEM 6'!$A$19:$J$45</definedName>
    <definedName name="_xlnm._FilterDatabase" localSheetId="6" hidden="1">'ITEM 7'!$A$19:$J$45</definedName>
    <definedName name="_xlnm.Print_Titles" localSheetId="0">'ITEM 1'!$19:$19</definedName>
    <definedName name="_xlnm.Print_Titles" localSheetId="1">'ITEM 2'!$19:$19</definedName>
    <definedName name="_xlnm.Print_Titles" localSheetId="2">'ITEM 3'!$19:$19</definedName>
    <definedName name="_xlnm.Print_Titles" localSheetId="3">'ITEM 4'!$19:$19</definedName>
    <definedName name="_xlnm.Print_Titles" localSheetId="4">'ITEM 5'!$19:$19</definedName>
    <definedName name="_xlnm.Print_Titles" localSheetId="5">'ITEM 6'!$19:$19</definedName>
    <definedName name="_xlnm.Print_Titles" localSheetId="6">'ITEM 7'!$19:$19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1" i="5" l="1"/>
  <c r="F11" i="5"/>
  <c r="H11" i="4"/>
  <c r="F11" i="4"/>
  <c r="H11" i="8"/>
  <c r="F11" i="8"/>
  <c r="H11" i="7"/>
  <c r="F11" i="7"/>
  <c r="H11" i="9"/>
  <c r="F11" i="9"/>
  <c r="C171" i="9" l="1"/>
  <c r="C170" i="9"/>
  <c r="C169" i="9"/>
  <c r="C168" i="9"/>
  <c r="C167" i="9"/>
  <c r="C166" i="9"/>
  <c r="C165" i="9"/>
  <c r="C172" i="9" s="1"/>
  <c r="C153" i="9"/>
  <c r="C152" i="9"/>
  <c r="C151" i="9"/>
  <c r="C150" i="9"/>
  <c r="C149" i="9"/>
  <c r="C148" i="9"/>
  <c r="C147" i="9"/>
  <c r="C154" i="9" s="1"/>
  <c r="C135" i="9"/>
  <c r="C134" i="9"/>
  <c r="C133" i="9"/>
  <c r="C132" i="9"/>
  <c r="C131" i="9"/>
  <c r="C130" i="9"/>
  <c r="C129" i="9"/>
  <c r="C115" i="9"/>
  <c r="C114" i="9"/>
  <c r="C113" i="9"/>
  <c r="C112" i="9"/>
  <c r="C111" i="9"/>
  <c r="C99" i="9"/>
  <c r="C98" i="9"/>
  <c r="C97" i="9"/>
  <c r="C96" i="9"/>
  <c r="C95" i="9"/>
  <c r="C94" i="9"/>
  <c r="C93" i="9"/>
  <c r="C77" i="9"/>
  <c r="C76" i="9"/>
  <c r="C75" i="9"/>
  <c r="C64" i="9"/>
  <c r="C63" i="9"/>
  <c r="C62" i="9"/>
  <c r="C61" i="9"/>
  <c r="C60" i="9"/>
  <c r="C59" i="9"/>
  <c r="C58" i="9"/>
  <c r="C57" i="9"/>
  <c r="J51" i="9"/>
  <c r="I51" i="9"/>
  <c r="H51" i="9"/>
  <c r="G51" i="9"/>
  <c r="F51" i="9"/>
  <c r="E51" i="9"/>
  <c r="D51" i="9"/>
  <c r="J50" i="9"/>
  <c r="I50" i="9"/>
  <c r="H50" i="9"/>
  <c r="G50" i="9"/>
  <c r="F50" i="9"/>
  <c r="E50" i="9"/>
  <c r="D50" i="9"/>
  <c r="J49" i="9"/>
  <c r="I49" i="9"/>
  <c r="H49" i="9"/>
  <c r="G49" i="9"/>
  <c r="F49" i="9"/>
  <c r="E49" i="9"/>
  <c r="D49" i="9"/>
  <c r="J48" i="9"/>
  <c r="I48" i="9"/>
  <c r="H48" i="9"/>
  <c r="G48" i="9"/>
  <c r="F48" i="9"/>
  <c r="E48" i="9"/>
  <c r="D48" i="9"/>
  <c r="B46" i="9"/>
  <c r="C171" i="8"/>
  <c r="C170" i="8"/>
  <c r="C169" i="8"/>
  <c r="C168" i="8"/>
  <c r="C167" i="8"/>
  <c r="C166" i="8"/>
  <c r="C165" i="8"/>
  <c r="C172" i="8" s="1"/>
  <c r="C153" i="8"/>
  <c r="C152" i="8"/>
  <c r="C151" i="8"/>
  <c r="C150" i="8"/>
  <c r="C149" i="8"/>
  <c r="C148" i="8"/>
  <c r="C147" i="8"/>
  <c r="C154" i="8" s="1"/>
  <c r="C135" i="8"/>
  <c r="C134" i="8"/>
  <c r="C133" i="8"/>
  <c r="C132" i="8"/>
  <c r="C131" i="8"/>
  <c r="C130" i="8"/>
  <c r="C129" i="8"/>
  <c r="C115" i="8"/>
  <c r="C114" i="8"/>
  <c r="C113" i="8"/>
  <c r="C112" i="8"/>
  <c r="C111" i="8"/>
  <c r="C99" i="8"/>
  <c r="C98" i="8"/>
  <c r="C97" i="8"/>
  <c r="C96" i="8"/>
  <c r="C95" i="8"/>
  <c r="C94" i="8"/>
  <c r="C93" i="8"/>
  <c r="C77" i="8"/>
  <c r="C76" i="8"/>
  <c r="C75" i="8"/>
  <c r="C78" i="8" s="1"/>
  <c r="C64" i="8"/>
  <c r="C63" i="8"/>
  <c r="C62" i="8"/>
  <c r="C61" i="8"/>
  <c r="C60" i="8"/>
  <c r="C59" i="8"/>
  <c r="C58" i="8"/>
  <c r="C57" i="8"/>
  <c r="D57" i="8" s="1"/>
  <c r="J51" i="8"/>
  <c r="I51" i="8"/>
  <c r="H51" i="8"/>
  <c r="G51" i="8"/>
  <c r="F51" i="8"/>
  <c r="E51" i="8"/>
  <c r="D51" i="8"/>
  <c r="J50" i="8"/>
  <c r="I50" i="8"/>
  <c r="H50" i="8"/>
  <c r="G50" i="8"/>
  <c r="F50" i="8"/>
  <c r="E50" i="8"/>
  <c r="D50" i="8"/>
  <c r="J49" i="8"/>
  <c r="I49" i="8"/>
  <c r="H49" i="8"/>
  <c r="G49" i="8"/>
  <c r="F49" i="8"/>
  <c r="E49" i="8"/>
  <c r="D49" i="8"/>
  <c r="J48" i="8"/>
  <c r="I48" i="8"/>
  <c r="H48" i="8"/>
  <c r="G48" i="8"/>
  <c r="F48" i="8"/>
  <c r="E48" i="8"/>
  <c r="D48" i="8"/>
  <c r="B46" i="8"/>
  <c r="C171" i="7"/>
  <c r="C170" i="7"/>
  <c r="C169" i="7"/>
  <c r="C168" i="7"/>
  <c r="C167" i="7"/>
  <c r="C166" i="7"/>
  <c r="C165" i="7"/>
  <c r="C172" i="7" s="1"/>
  <c r="C153" i="7"/>
  <c r="C152" i="7"/>
  <c r="C151" i="7"/>
  <c r="C150" i="7"/>
  <c r="C149" i="7"/>
  <c r="C148" i="7"/>
  <c r="C147" i="7"/>
  <c r="C154" i="7" s="1"/>
  <c r="C135" i="7"/>
  <c r="C134" i="7"/>
  <c r="C133" i="7"/>
  <c r="C132" i="7"/>
  <c r="C131" i="7"/>
  <c r="C130" i="7"/>
  <c r="C129" i="7"/>
  <c r="C115" i="7"/>
  <c r="C114" i="7"/>
  <c r="C113" i="7"/>
  <c r="C112" i="7"/>
  <c r="C111" i="7"/>
  <c r="C99" i="7"/>
  <c r="C98" i="7"/>
  <c r="C97" i="7"/>
  <c r="C96" i="7"/>
  <c r="C95" i="7"/>
  <c r="C94" i="7"/>
  <c r="C93" i="7"/>
  <c r="C77" i="7"/>
  <c r="C76" i="7"/>
  <c r="C75" i="7"/>
  <c r="C64" i="7"/>
  <c r="C63" i="7"/>
  <c r="C62" i="7"/>
  <c r="C61" i="7"/>
  <c r="C60" i="7"/>
  <c r="C59" i="7"/>
  <c r="C58" i="7"/>
  <c r="C57" i="7"/>
  <c r="J51" i="7"/>
  <c r="I51" i="7"/>
  <c r="H51" i="7"/>
  <c r="G51" i="7"/>
  <c r="F51" i="7"/>
  <c r="E51" i="7"/>
  <c r="D51" i="7"/>
  <c r="J50" i="7"/>
  <c r="I50" i="7"/>
  <c r="H50" i="7"/>
  <c r="G50" i="7"/>
  <c r="F50" i="7"/>
  <c r="E50" i="7"/>
  <c r="D50" i="7"/>
  <c r="J49" i="7"/>
  <c r="I49" i="7"/>
  <c r="H49" i="7"/>
  <c r="G49" i="7"/>
  <c r="F49" i="7"/>
  <c r="E49" i="7"/>
  <c r="D49" i="7"/>
  <c r="J48" i="7"/>
  <c r="I48" i="7"/>
  <c r="H48" i="7"/>
  <c r="G48" i="7"/>
  <c r="F48" i="7"/>
  <c r="E48" i="7"/>
  <c r="D48" i="7"/>
  <c r="B46" i="7"/>
  <c r="C171" i="6"/>
  <c r="C170" i="6"/>
  <c r="C169" i="6"/>
  <c r="C168" i="6"/>
  <c r="C167" i="6"/>
  <c r="C166" i="6"/>
  <c r="C165" i="6"/>
  <c r="C153" i="6"/>
  <c r="C152" i="6"/>
  <c r="C151" i="6"/>
  <c r="C150" i="6"/>
  <c r="C149" i="6"/>
  <c r="C148" i="6"/>
  <c r="C147" i="6"/>
  <c r="C154" i="6" s="1"/>
  <c r="C135" i="6"/>
  <c r="C134" i="6"/>
  <c r="C133" i="6"/>
  <c r="C132" i="6"/>
  <c r="C131" i="6"/>
  <c r="C130" i="6"/>
  <c r="C129" i="6"/>
  <c r="C115" i="6"/>
  <c r="C114" i="6"/>
  <c r="C113" i="6"/>
  <c r="C112" i="6"/>
  <c r="C111" i="6"/>
  <c r="C99" i="6"/>
  <c r="C98" i="6"/>
  <c r="C97" i="6"/>
  <c r="C96" i="6"/>
  <c r="C95" i="6"/>
  <c r="C94" i="6"/>
  <c r="C93" i="6"/>
  <c r="C77" i="6"/>
  <c r="C76" i="6"/>
  <c r="C75" i="6"/>
  <c r="C64" i="6"/>
  <c r="C63" i="6"/>
  <c r="C62" i="6"/>
  <c r="C61" i="6"/>
  <c r="C60" i="6"/>
  <c r="C59" i="6"/>
  <c r="C58" i="6"/>
  <c r="C57" i="6"/>
  <c r="C65" i="6" s="1"/>
  <c r="J51" i="6"/>
  <c r="I51" i="6"/>
  <c r="H51" i="6"/>
  <c r="G51" i="6"/>
  <c r="F51" i="6"/>
  <c r="E51" i="6"/>
  <c r="D51" i="6"/>
  <c r="J50" i="6"/>
  <c r="I50" i="6"/>
  <c r="H50" i="6"/>
  <c r="G50" i="6"/>
  <c r="F50" i="6"/>
  <c r="E50" i="6"/>
  <c r="D50" i="6"/>
  <c r="J49" i="6"/>
  <c r="I49" i="6"/>
  <c r="H49" i="6"/>
  <c r="G49" i="6"/>
  <c r="F49" i="6"/>
  <c r="E49" i="6"/>
  <c r="D49" i="6"/>
  <c r="J48" i="6"/>
  <c r="I48" i="6"/>
  <c r="H48" i="6"/>
  <c r="G48" i="6"/>
  <c r="F48" i="6"/>
  <c r="E48" i="6"/>
  <c r="D48" i="6"/>
  <c r="B46" i="6"/>
  <c r="H11" i="6"/>
  <c r="F11" i="6"/>
  <c r="C171" i="5"/>
  <c r="C170" i="5"/>
  <c r="C169" i="5"/>
  <c r="C168" i="5"/>
  <c r="C167" i="5"/>
  <c r="C166" i="5"/>
  <c r="C165" i="5"/>
  <c r="C153" i="5"/>
  <c r="C152" i="5"/>
  <c r="C151" i="5"/>
  <c r="C150" i="5"/>
  <c r="C149" i="5"/>
  <c r="C148" i="5"/>
  <c r="C147" i="5"/>
  <c r="C135" i="5"/>
  <c r="C134" i="5"/>
  <c r="C133" i="5"/>
  <c r="C132" i="5"/>
  <c r="C131" i="5"/>
  <c r="C130" i="5"/>
  <c r="C129" i="5"/>
  <c r="C115" i="5"/>
  <c r="C114" i="5"/>
  <c r="C113" i="5"/>
  <c r="C112" i="5"/>
  <c r="C111" i="5"/>
  <c r="C99" i="5"/>
  <c r="C98" i="5"/>
  <c r="C97" i="5"/>
  <c r="C96" i="5"/>
  <c r="C95" i="5"/>
  <c r="C94" i="5"/>
  <c r="C93" i="5"/>
  <c r="C100" i="5" s="1"/>
  <c r="C77" i="5"/>
  <c r="C76" i="5"/>
  <c r="C75" i="5"/>
  <c r="C64" i="5"/>
  <c r="C63" i="5"/>
  <c r="C62" i="5"/>
  <c r="C61" i="5"/>
  <c r="C60" i="5"/>
  <c r="C59" i="5"/>
  <c r="C58" i="5"/>
  <c r="C57" i="5"/>
  <c r="J51" i="5"/>
  <c r="I51" i="5"/>
  <c r="H51" i="5"/>
  <c r="G51" i="5"/>
  <c r="F51" i="5"/>
  <c r="E51" i="5"/>
  <c r="D51" i="5"/>
  <c r="J50" i="5"/>
  <c r="I50" i="5"/>
  <c r="H50" i="5"/>
  <c r="G50" i="5"/>
  <c r="F50" i="5"/>
  <c r="E50" i="5"/>
  <c r="D50" i="5"/>
  <c r="J49" i="5"/>
  <c r="I49" i="5"/>
  <c r="H49" i="5"/>
  <c r="G49" i="5"/>
  <c r="F49" i="5"/>
  <c r="E49" i="5"/>
  <c r="D49" i="5"/>
  <c r="J48" i="5"/>
  <c r="I48" i="5"/>
  <c r="H48" i="5"/>
  <c r="G48" i="5"/>
  <c r="F48" i="5"/>
  <c r="E48" i="5"/>
  <c r="D48" i="5"/>
  <c r="B46" i="5"/>
  <c r="C171" i="4"/>
  <c r="C170" i="4"/>
  <c r="C169" i="4"/>
  <c r="C168" i="4"/>
  <c r="C167" i="4"/>
  <c r="C166" i="4"/>
  <c r="C165" i="4"/>
  <c r="C153" i="4"/>
  <c r="C152" i="4"/>
  <c r="C151" i="4"/>
  <c r="C150" i="4"/>
  <c r="C149" i="4"/>
  <c r="C148" i="4"/>
  <c r="C147" i="4"/>
  <c r="C135" i="4"/>
  <c r="C134" i="4"/>
  <c r="C133" i="4"/>
  <c r="C132" i="4"/>
  <c r="C131" i="4"/>
  <c r="C130" i="4"/>
  <c r="C129" i="4"/>
  <c r="C115" i="4"/>
  <c r="C114" i="4"/>
  <c r="C113" i="4"/>
  <c r="C112" i="4"/>
  <c r="C111" i="4"/>
  <c r="C99" i="4"/>
  <c r="C98" i="4"/>
  <c r="C97" i="4"/>
  <c r="C96" i="4"/>
  <c r="C95" i="4"/>
  <c r="C94" i="4"/>
  <c r="C93" i="4"/>
  <c r="C77" i="4"/>
  <c r="C76" i="4"/>
  <c r="C75" i="4"/>
  <c r="C78" i="4" s="1"/>
  <c r="C64" i="4"/>
  <c r="C63" i="4"/>
  <c r="C62" i="4"/>
  <c r="C61" i="4"/>
  <c r="D61" i="4" s="1"/>
  <c r="C60" i="4"/>
  <c r="C59" i="4"/>
  <c r="C58" i="4"/>
  <c r="C57" i="4"/>
  <c r="C65" i="4" s="1"/>
  <c r="J51" i="4"/>
  <c r="I51" i="4"/>
  <c r="H51" i="4"/>
  <c r="G51" i="4"/>
  <c r="F51" i="4"/>
  <c r="E51" i="4"/>
  <c r="D51" i="4"/>
  <c r="J50" i="4"/>
  <c r="I50" i="4"/>
  <c r="H50" i="4"/>
  <c r="G50" i="4"/>
  <c r="F50" i="4"/>
  <c r="E50" i="4"/>
  <c r="D50" i="4"/>
  <c r="J49" i="4"/>
  <c r="I49" i="4"/>
  <c r="H49" i="4"/>
  <c r="G49" i="4"/>
  <c r="F49" i="4"/>
  <c r="E49" i="4"/>
  <c r="D49" i="4"/>
  <c r="J48" i="4"/>
  <c r="I48" i="4"/>
  <c r="H48" i="4"/>
  <c r="G48" i="4"/>
  <c r="F48" i="4"/>
  <c r="E48" i="4"/>
  <c r="D48" i="4"/>
  <c r="B46" i="4"/>
  <c r="J186" i="4" l="1"/>
  <c r="G186" i="4"/>
  <c r="E186" i="4"/>
  <c r="D60" i="4"/>
  <c r="D64" i="4"/>
  <c r="C100" i="4"/>
  <c r="D97" i="4"/>
  <c r="D112" i="4"/>
  <c r="C136" i="4"/>
  <c r="D133" i="4"/>
  <c r="D148" i="4"/>
  <c r="D152" i="4"/>
  <c r="D167" i="4"/>
  <c r="D171" i="4"/>
  <c r="D59" i="5"/>
  <c r="D63" i="5"/>
  <c r="D77" i="5"/>
  <c r="D96" i="5"/>
  <c r="D111" i="5"/>
  <c r="D115" i="5"/>
  <c r="D132" i="5"/>
  <c r="C154" i="5"/>
  <c r="D151" i="5"/>
  <c r="D166" i="5"/>
  <c r="D170" i="5"/>
  <c r="J186" i="6"/>
  <c r="G186" i="6"/>
  <c r="E186" i="6"/>
  <c r="D60" i="6"/>
  <c r="D64" i="6"/>
  <c r="C100" i="6"/>
  <c r="D97" i="6"/>
  <c r="D112" i="6"/>
  <c r="D129" i="6"/>
  <c r="D133" i="6"/>
  <c r="D148" i="6"/>
  <c r="D152" i="6"/>
  <c r="D167" i="6"/>
  <c r="D171" i="6"/>
  <c r="D59" i="7"/>
  <c r="D63" i="7"/>
  <c r="D77" i="7"/>
  <c r="D96" i="7"/>
  <c r="D111" i="7"/>
  <c r="D115" i="7"/>
  <c r="D132" i="7"/>
  <c r="D151" i="7"/>
  <c r="D166" i="7"/>
  <c r="D170" i="7"/>
  <c r="D58" i="8"/>
  <c r="D62" i="8"/>
  <c r="D76" i="8"/>
  <c r="D95" i="8"/>
  <c r="D99" i="8"/>
  <c r="D114" i="8"/>
  <c r="D131" i="8"/>
  <c r="D135" i="8"/>
  <c r="D150" i="8"/>
  <c r="D169" i="8"/>
  <c r="D57" i="9"/>
  <c r="D61" i="9"/>
  <c r="C78" i="9"/>
  <c r="D94" i="9"/>
  <c r="D98" i="9"/>
  <c r="D113" i="9"/>
  <c r="D130" i="9"/>
  <c r="D134" i="9"/>
  <c r="D149" i="9"/>
  <c r="D153" i="9"/>
  <c r="D168" i="9"/>
  <c r="D94" i="4"/>
  <c r="D98" i="4"/>
  <c r="D113" i="4"/>
  <c r="D130" i="4"/>
  <c r="D134" i="4"/>
  <c r="D149" i="4"/>
  <c r="D153" i="4"/>
  <c r="D168" i="4"/>
  <c r="J186" i="5"/>
  <c r="G186" i="5"/>
  <c r="E186" i="5"/>
  <c r="D60" i="5"/>
  <c r="D64" i="5"/>
  <c r="D97" i="5"/>
  <c r="D112" i="5"/>
  <c r="D129" i="5"/>
  <c r="D133" i="5"/>
  <c r="D148" i="5"/>
  <c r="D152" i="5"/>
  <c r="D167" i="5"/>
  <c r="D171" i="5"/>
  <c r="D61" i="6"/>
  <c r="D75" i="6"/>
  <c r="D94" i="6"/>
  <c r="D98" i="6"/>
  <c r="D113" i="6"/>
  <c r="D130" i="6"/>
  <c r="D134" i="6"/>
  <c r="D149" i="6"/>
  <c r="D153" i="6"/>
  <c r="D168" i="6"/>
  <c r="J186" i="7"/>
  <c r="G186" i="7"/>
  <c r="E186" i="7"/>
  <c r="D60" i="7"/>
  <c r="D64" i="7"/>
  <c r="C100" i="7"/>
  <c r="D97" i="7"/>
  <c r="D112" i="7"/>
  <c r="D129" i="7"/>
  <c r="D133" i="7"/>
  <c r="D148" i="7"/>
  <c r="D152" i="7"/>
  <c r="D167" i="7"/>
  <c r="D171" i="7"/>
  <c r="D59" i="8"/>
  <c r="D63" i="8"/>
  <c r="D77" i="8"/>
  <c r="D96" i="8"/>
  <c r="C116" i="8"/>
  <c r="D115" i="8"/>
  <c r="D132" i="8"/>
  <c r="D151" i="8"/>
  <c r="D166" i="8"/>
  <c r="D170" i="8"/>
  <c r="D58" i="9"/>
  <c r="D62" i="9"/>
  <c r="D76" i="9"/>
  <c r="D95" i="9"/>
  <c r="D99" i="9"/>
  <c r="D114" i="9"/>
  <c r="D131" i="9"/>
  <c r="D135" i="9"/>
  <c r="D150" i="9"/>
  <c r="D169" i="9"/>
  <c r="D58" i="4"/>
  <c r="D62" i="4"/>
  <c r="D76" i="4"/>
  <c r="D95" i="4"/>
  <c r="D99" i="4"/>
  <c r="D114" i="4"/>
  <c r="D131" i="4"/>
  <c r="D135" i="4"/>
  <c r="D150" i="4"/>
  <c r="C172" i="4"/>
  <c r="D169" i="4"/>
  <c r="C65" i="5"/>
  <c r="D61" i="5"/>
  <c r="D75" i="5"/>
  <c r="D94" i="5"/>
  <c r="D98" i="5"/>
  <c r="D113" i="5"/>
  <c r="D130" i="5"/>
  <c r="D134" i="5"/>
  <c r="D149" i="5"/>
  <c r="D153" i="5"/>
  <c r="D168" i="5"/>
  <c r="D58" i="6"/>
  <c r="D62" i="6"/>
  <c r="D76" i="6"/>
  <c r="D95" i="6"/>
  <c r="D99" i="6"/>
  <c r="D114" i="6"/>
  <c r="D131" i="6"/>
  <c r="D135" i="6"/>
  <c r="D150" i="6"/>
  <c r="C172" i="6"/>
  <c r="D169" i="6"/>
  <c r="C65" i="7"/>
  <c r="D61" i="7"/>
  <c r="D75" i="7"/>
  <c r="D94" i="7"/>
  <c r="D98" i="7"/>
  <c r="D113" i="7"/>
  <c r="D130" i="7"/>
  <c r="D134" i="7"/>
  <c r="D149" i="7"/>
  <c r="D153" i="7"/>
  <c r="D168" i="7"/>
  <c r="J186" i="8"/>
  <c r="G186" i="8"/>
  <c r="E186" i="8"/>
  <c r="D60" i="8"/>
  <c r="D64" i="8"/>
  <c r="C100" i="8"/>
  <c r="D97" i="8"/>
  <c r="D112" i="8"/>
  <c r="D129" i="8"/>
  <c r="D133" i="8"/>
  <c r="D148" i="8"/>
  <c r="D152" i="8"/>
  <c r="D167" i="8"/>
  <c r="D171" i="8"/>
  <c r="D59" i="9"/>
  <c r="D63" i="9"/>
  <c r="D77" i="9"/>
  <c r="D96" i="9"/>
  <c r="D111" i="9"/>
  <c r="D115" i="9"/>
  <c r="D132" i="9"/>
  <c r="D151" i="9"/>
  <c r="D166" i="9"/>
  <c r="D170" i="9"/>
  <c r="D59" i="4"/>
  <c r="D63" i="4"/>
  <c r="D77" i="4"/>
  <c r="D96" i="4"/>
  <c r="C116" i="4"/>
  <c r="D115" i="4"/>
  <c r="D132" i="4"/>
  <c r="C154" i="4"/>
  <c r="D151" i="4"/>
  <c r="D166" i="4"/>
  <c r="D170" i="4"/>
  <c r="D58" i="5"/>
  <c r="D62" i="5"/>
  <c r="D76" i="5"/>
  <c r="D95" i="5"/>
  <c r="D99" i="5"/>
  <c r="D114" i="5"/>
  <c r="D131" i="5"/>
  <c r="D135" i="5"/>
  <c r="D150" i="5"/>
  <c r="C172" i="5"/>
  <c r="D169" i="5"/>
  <c r="D59" i="6"/>
  <c r="D63" i="6"/>
  <c r="D77" i="6"/>
  <c r="D96" i="6"/>
  <c r="D111" i="6"/>
  <c r="D115" i="6"/>
  <c r="D132" i="6"/>
  <c r="D151" i="6"/>
  <c r="D166" i="6"/>
  <c r="D170" i="6"/>
  <c r="D58" i="7"/>
  <c r="D62" i="7"/>
  <c r="D76" i="7"/>
  <c r="D95" i="7"/>
  <c r="D99" i="7"/>
  <c r="D114" i="7"/>
  <c r="D131" i="7"/>
  <c r="D135" i="7"/>
  <c r="D150" i="7"/>
  <c r="D169" i="7"/>
  <c r="D61" i="8"/>
  <c r="D94" i="8"/>
  <c r="D98" i="8"/>
  <c r="D113" i="8"/>
  <c r="D130" i="8"/>
  <c r="D134" i="8"/>
  <c r="D149" i="8"/>
  <c r="D153" i="8"/>
  <c r="D168" i="8"/>
  <c r="J186" i="9"/>
  <c r="G186" i="9"/>
  <c r="E186" i="9"/>
  <c r="D60" i="9"/>
  <c r="D64" i="9"/>
  <c r="C100" i="9"/>
  <c r="D97" i="9"/>
  <c r="D112" i="9"/>
  <c r="D129" i="9"/>
  <c r="D136" i="9" s="1"/>
  <c r="D133" i="9"/>
  <c r="D148" i="9"/>
  <c r="D152" i="9"/>
  <c r="D167" i="9"/>
  <c r="D171" i="9"/>
  <c r="C65" i="9"/>
  <c r="C116" i="9"/>
  <c r="C136" i="9"/>
  <c r="D75" i="9"/>
  <c r="D78" i="9" s="1"/>
  <c r="D93" i="9"/>
  <c r="D147" i="9"/>
  <c r="D154" i="9" s="1"/>
  <c r="D165" i="9"/>
  <c r="I186" i="9"/>
  <c r="D186" i="9"/>
  <c r="F186" i="9"/>
  <c r="H186" i="9"/>
  <c r="D65" i="8"/>
  <c r="D136" i="8"/>
  <c r="C65" i="8"/>
  <c r="C136" i="8"/>
  <c r="D75" i="8"/>
  <c r="D78" i="8" s="1"/>
  <c r="D93" i="8"/>
  <c r="D100" i="8" s="1"/>
  <c r="D111" i="8"/>
  <c r="D116" i="8" s="1"/>
  <c r="D147" i="8"/>
  <c r="D154" i="8" s="1"/>
  <c r="D165" i="8"/>
  <c r="D172" i="8" s="1"/>
  <c r="I186" i="8"/>
  <c r="D186" i="8"/>
  <c r="F186" i="8"/>
  <c r="H186" i="8"/>
  <c r="D136" i="7"/>
  <c r="C78" i="7"/>
  <c r="C116" i="7"/>
  <c r="C136" i="7"/>
  <c r="D57" i="7"/>
  <c r="D65" i="7" s="1"/>
  <c r="D93" i="7"/>
  <c r="D100" i="7" s="1"/>
  <c r="D147" i="7"/>
  <c r="D154" i="7" s="1"/>
  <c r="D165" i="7"/>
  <c r="D172" i="7" s="1"/>
  <c r="I186" i="7"/>
  <c r="D186" i="7"/>
  <c r="F186" i="7"/>
  <c r="H186" i="7"/>
  <c r="D78" i="6"/>
  <c r="D116" i="6"/>
  <c r="C78" i="6"/>
  <c r="C116" i="6"/>
  <c r="C136" i="6"/>
  <c r="D57" i="6"/>
  <c r="D65" i="6" s="1"/>
  <c r="D93" i="6"/>
  <c r="D100" i="6" s="1"/>
  <c r="D147" i="6"/>
  <c r="D154" i="6" s="1"/>
  <c r="D165" i="6"/>
  <c r="D172" i="6" s="1"/>
  <c r="I186" i="6"/>
  <c r="D186" i="6"/>
  <c r="F186" i="6"/>
  <c r="H186" i="6"/>
  <c r="D78" i="5"/>
  <c r="D116" i="5"/>
  <c r="C78" i="5"/>
  <c r="C116" i="5"/>
  <c r="C136" i="5"/>
  <c r="D57" i="5"/>
  <c r="D65" i="5" s="1"/>
  <c r="D93" i="5"/>
  <c r="D100" i="5" s="1"/>
  <c r="D147" i="5"/>
  <c r="D154" i="5" s="1"/>
  <c r="D165" i="5"/>
  <c r="D172" i="5" s="1"/>
  <c r="I186" i="5"/>
  <c r="D186" i="5"/>
  <c r="F186" i="5"/>
  <c r="H186" i="5"/>
  <c r="D57" i="4"/>
  <c r="D65" i="4" s="1"/>
  <c r="D75" i="4"/>
  <c r="D78" i="4" s="1"/>
  <c r="D93" i="4"/>
  <c r="D100" i="4" s="1"/>
  <c r="D111" i="4"/>
  <c r="D116" i="4" s="1"/>
  <c r="D129" i="4"/>
  <c r="D136" i="4" s="1"/>
  <c r="D147" i="4"/>
  <c r="D154" i="4" s="1"/>
  <c r="D165" i="4"/>
  <c r="D172" i="4" s="1"/>
  <c r="I186" i="4"/>
  <c r="D186" i="4"/>
  <c r="F186" i="4"/>
  <c r="H186" i="4"/>
  <c r="D172" i="9" l="1"/>
  <c r="D65" i="9"/>
  <c r="D116" i="7"/>
  <c r="D78" i="7"/>
  <c r="D100" i="9"/>
  <c r="D116" i="9"/>
  <c r="D136" i="5"/>
  <c r="D136" i="6"/>
  <c r="H11" i="2"/>
  <c r="F11" i="2"/>
  <c r="J51" i="2" l="1"/>
  <c r="I51" i="2"/>
  <c r="H51" i="2"/>
  <c r="G51" i="2"/>
  <c r="F51" i="2"/>
  <c r="E51" i="2"/>
  <c r="J50" i="2"/>
  <c r="I50" i="2"/>
  <c r="H50" i="2"/>
  <c r="G50" i="2"/>
  <c r="F50" i="2"/>
  <c r="E50" i="2"/>
  <c r="J49" i="2"/>
  <c r="I49" i="2"/>
  <c r="H49" i="2"/>
  <c r="G49" i="2"/>
  <c r="F49" i="2"/>
  <c r="E49" i="2"/>
  <c r="J48" i="2"/>
  <c r="I48" i="2"/>
  <c r="H48" i="2"/>
  <c r="G48" i="2"/>
  <c r="F48" i="2"/>
  <c r="E48" i="2"/>
  <c r="D51" i="2"/>
  <c r="D50" i="2"/>
  <c r="D49" i="2"/>
  <c r="D48" i="2"/>
  <c r="C171" i="2" l="1"/>
  <c r="C170" i="2"/>
  <c r="C169" i="2"/>
  <c r="C168" i="2"/>
  <c r="C167" i="2"/>
  <c r="C166" i="2"/>
  <c r="C165" i="2"/>
  <c r="C153" i="2"/>
  <c r="C152" i="2"/>
  <c r="C151" i="2"/>
  <c r="C150" i="2"/>
  <c r="C149" i="2"/>
  <c r="C148" i="2"/>
  <c r="C147" i="2"/>
  <c r="C135" i="2"/>
  <c r="C134" i="2"/>
  <c r="C133" i="2"/>
  <c r="C132" i="2"/>
  <c r="C131" i="2"/>
  <c r="C130" i="2"/>
  <c r="C129" i="2"/>
  <c r="C115" i="2"/>
  <c r="C114" i="2"/>
  <c r="C113" i="2"/>
  <c r="C112" i="2"/>
  <c r="C111" i="2"/>
  <c r="C99" i="2"/>
  <c r="C98" i="2"/>
  <c r="C97" i="2"/>
  <c r="C96" i="2"/>
  <c r="C95" i="2"/>
  <c r="C94" i="2"/>
  <c r="C93" i="2"/>
  <c r="C77" i="2"/>
  <c r="C76" i="2"/>
  <c r="C75" i="2"/>
  <c r="C57" i="2"/>
  <c r="C58" i="2"/>
  <c r="C64" i="2"/>
  <c r="C63" i="2"/>
  <c r="C62" i="2"/>
  <c r="C61" i="2"/>
  <c r="C60" i="2"/>
  <c r="C59" i="2"/>
  <c r="C154" i="2" l="1"/>
  <c r="C116" i="2"/>
  <c r="C172" i="2"/>
  <c r="C136" i="2"/>
  <c r="C100" i="2"/>
  <c r="C78" i="2"/>
  <c r="C65" i="2" l="1"/>
  <c r="B46" i="2" l="1"/>
  <c r="G186" i="2" l="1"/>
  <c r="E186" i="2"/>
  <c r="D186" i="2"/>
  <c r="J186" i="2"/>
  <c r="I186" i="2"/>
  <c r="H186" i="2"/>
  <c r="F186" i="2"/>
  <c r="D112" i="2"/>
  <c r="D113" i="2"/>
  <c r="D75" i="2"/>
  <c r="D76" i="2"/>
  <c r="D151" i="2"/>
  <c r="D147" i="2"/>
  <c r="D99" i="2"/>
  <c r="D95" i="2"/>
  <c r="D171" i="2"/>
  <c r="D167" i="2"/>
  <c r="D135" i="2"/>
  <c r="D131" i="2"/>
  <c r="D115" i="2"/>
  <c r="D93" i="2"/>
  <c r="D148" i="2"/>
  <c r="D130" i="2"/>
  <c r="D168" i="2"/>
  <c r="D150" i="2"/>
  <c r="D132" i="2"/>
  <c r="D97" i="2"/>
  <c r="D152" i="2"/>
  <c r="D134" i="2"/>
  <c r="D114" i="2"/>
  <c r="D111" i="2"/>
  <c r="D77" i="2"/>
  <c r="D166" i="2"/>
  <c r="D129" i="2"/>
  <c r="D94" i="2"/>
  <c r="D149" i="2"/>
  <c r="D165" i="2"/>
  <c r="D96" i="2"/>
  <c r="D170" i="2"/>
  <c r="D133" i="2"/>
  <c r="D98" i="2"/>
  <c r="D153" i="2"/>
  <c r="D169" i="2"/>
  <c r="D60" i="2"/>
  <c r="D58" i="2"/>
  <c r="D61" i="2"/>
  <c r="D63" i="2"/>
  <c r="D64" i="2"/>
  <c r="D62" i="2"/>
  <c r="D57" i="2"/>
  <c r="D59" i="2"/>
  <c r="D78" i="2" l="1"/>
  <c r="D172" i="2"/>
  <c r="D100" i="2"/>
  <c r="D154" i="2"/>
  <c r="D116" i="2"/>
  <c r="D136" i="2"/>
  <c r="D65" i="2"/>
</calcChain>
</file>

<file path=xl/sharedStrings.xml><?xml version="1.0" encoding="utf-8"?>
<sst xmlns="http://schemas.openxmlformats.org/spreadsheetml/2006/main" count="1435" uniqueCount="160">
  <si>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</si>
  <si>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</si>
  <si>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</si>
  <si>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</si>
  <si>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</si>
  <si>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</si>
  <si>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</si>
  <si>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</si>
  <si>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</si>
  <si>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</si>
  <si>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DES. ESTANDAR</t>
  </si>
  <si>
    <t>MINIMO</t>
  </si>
  <si>
    <t>MAXIMO</t>
  </si>
  <si>
    <t>OBJETO:</t>
  </si>
  <si>
    <t>TOTAL</t>
  </si>
  <si>
    <t>CANTIDAD DE EMPRESAS</t>
  </si>
  <si>
    <t>MODALIDAD:</t>
  </si>
  <si>
    <t>% DE LA MUESTRA QUE CUMPLE EL CRITERIO</t>
  </si>
  <si>
    <t>Elaboró:</t>
  </si>
  <si>
    <t>Aprobó:</t>
  </si>
  <si>
    <t>RANGO</t>
  </si>
  <si>
    <t>5,1 - 10</t>
  </si>
  <si>
    <t>20,1 - 30</t>
  </si>
  <si>
    <t>30,1 - 50</t>
  </si>
  <si>
    <t>&gt; 50</t>
  </si>
  <si>
    <t>0 - 1</t>
  </si>
  <si>
    <t>1,1 - 2</t>
  </si>
  <si>
    <t>2,1 - 5</t>
  </si>
  <si>
    <t>10,1 - 20</t>
  </si>
  <si>
    <t>&lt; 0</t>
  </si>
  <si>
    <t xml:space="preserve"> = 0</t>
  </si>
  <si>
    <t>&gt; 0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</si>
  <si>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</si>
  <si>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</si>
  <si>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</si>
  <si>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</si>
  <si>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</si>
  <si>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</si>
  <si>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</si>
  <si>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0 - $10m</t>
  </si>
  <si>
    <t>$10m - $100m</t>
  </si>
  <si>
    <t>&gt; $100m</t>
  </si>
  <si>
    <t>Gastos de intereses = 0</t>
  </si>
  <si>
    <t>2,1 - 4</t>
  </si>
  <si>
    <t>4,1 - 6</t>
  </si>
  <si>
    <t>&gt; 6</t>
  </si>
  <si>
    <t>CANTIDAD DE EMPRESAS IDENTIFICADAS COMO MUESTRA PARA EL ANALISIS:</t>
  </si>
  <si>
    <t>OBJETO</t>
  </si>
  <si>
    <t>Valores Expresados en Miles de $</t>
  </si>
  <si>
    <t>Clasificación Internacional Industrial Uniforme (CIIU) Versión 4.</t>
  </si>
  <si>
    <t/>
  </si>
  <si>
    <t>PROMEDIO</t>
  </si>
  <si>
    <t>MAYOR O IGUAL A 
1,2 VECES</t>
  </si>
  <si>
    <t>MENOR O IGUAL A 
70%</t>
  </si>
  <si>
    <t>MAYOR O IGUAL A 
2%</t>
  </si>
  <si>
    <t>MAYOR O IGUAL A 
2 VECES</t>
  </si>
  <si>
    <t>Plazo de ejecución (meses)</t>
  </si>
  <si>
    <t>ANÁLISIS DE SECTOR – INFORMACIÓN FINANCIERA</t>
  </si>
  <si>
    <t>DIRECCIÓN FINANCIERA</t>
  </si>
  <si>
    <t>PROCESOS DE CONTRATACIÓN</t>
  </si>
  <si>
    <t>Fuente de Información: PIE (Portal de Información Empresarial) - Superintendencia de Sociedades</t>
  </si>
  <si>
    <t>Presupuesto del 
Proceso ($)</t>
  </si>
  <si>
    <t>RECOMENDACIÓN SUGERIDA INICIAL:</t>
  </si>
  <si>
    <t>1. CÁLCULO 
ESTADÍSTICO</t>
  </si>
  <si>
    <t>RANGO DEL INDICADOR DE LIQUIDEZ</t>
  </si>
  <si>
    <t>D) Patrimonio = Activo total - Pasivo total.
Mide la cantidad de recursos propios del proponente.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</si>
  <si>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</si>
  <si>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</si>
  <si>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</si>
  <si>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</si>
  <si>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</si>
  <si>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</si>
  <si>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0 - 1,1</t>
  </si>
  <si>
    <t>1,2 - 2</t>
  </si>
  <si>
    <r>
      <t xml:space="preserve">LIQUIDEZ
</t>
    </r>
    <r>
      <rPr>
        <sz val="9"/>
        <color theme="1"/>
        <rFont val="Work Sans"/>
      </rPr>
      <t>MAYOR O IGUAL A</t>
    </r>
  </si>
  <si>
    <t>ENTIDAD Y AÑO</t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</si>
  <si>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</si>
  <si>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</si>
  <si>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</si>
  <si>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ACTIVOS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</si>
  <si>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</si>
  <si>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</si>
  <si>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t>2. COMPORTAMIENTO DE LOS ÍNDICES EN LA MUESTRA DEL SECTOR</t>
  </si>
  <si>
    <t>3. ANALISIS DEL SECTOR DE ACUERDO CON LOS PROCESOS REALIZADOS POR OTRAS ENTIDADES PÚBLICAS DE LA MISMA NATURALEZA DEL OBJETO CONTRACTUAL DEL PRESENTO PROCESO.</t>
  </si>
  <si>
    <t>4. CONCLUSIONES</t>
  </si>
  <si>
    <t>ANÁLISIS DEL SECTOR</t>
  </si>
  <si>
    <t>Viviana Marcela Villada Arango - Contratista Dirección Financiera</t>
  </si>
  <si>
    <t>Alexandra Katherine Galvis Mosquera - Directora Financiera</t>
  </si>
  <si>
    <t>CRITERIOS RECOMENDADOS</t>
  </si>
  <si>
    <t>Capital de Trabajo:  
2,5*(PO/n)</t>
  </si>
  <si>
    <t>Patrimonio:
40% * PO</t>
  </si>
  <si>
    <t>SELECCIÓN ABREVIADA POR SUBASTA INVERSA ELECTRÓNICA</t>
  </si>
  <si>
    <t>GRUPO INTEGRADO DE TRANSPORTE MASIVO  S.A. EN REORGANIZACION</t>
  </si>
  <si>
    <t>COLOMBIANA DE TURISMO Y EXPRESOS SA</t>
  </si>
  <si>
    <t>RECAUDO BOGOTA SAS - EN REORGANIZACION</t>
  </si>
  <si>
    <t>TAXEXPRESS SA</t>
  </si>
  <si>
    <t>INTERCARIBE S.A.</t>
  </si>
  <si>
    <t>OPERADORA DE TRANSPORTE DEL OTUN S.A.S.</t>
  </si>
  <si>
    <t>ANDIAMBULACIAS LTDA</t>
  </si>
  <si>
    <t>TAXIS Y COLECTIVOS S.A</t>
  </si>
  <si>
    <t>LAAN S.A.S</t>
  </si>
  <si>
    <t>PALMIRA S.A</t>
  </si>
  <si>
    <t>TAXIMO SAS</t>
  </si>
  <si>
    <t>COMPAÑIA DE INVERSIONES COLOMBIA SAS</t>
  </si>
  <si>
    <t xml:space="preserve">INVESTMENT IN TRANSPORTATION SAS
</t>
  </si>
  <si>
    <t>MASIVO DE OCCIDENTE SAS</t>
  </si>
  <si>
    <t>LOGALARZA SA</t>
  </si>
  <si>
    <t>TRANSPERSONAL DEL CARIBE SAS</t>
  </si>
  <si>
    <t>METROPOLITANA MOVIL SAS</t>
  </si>
  <si>
    <t>TRANSPORTES CSC SAS EN REORGANIZACION</t>
  </si>
  <si>
    <t>TRANSPORTES ESPECIALES DE CALDAS SAS EN REORGANIZACION</t>
  </si>
  <si>
    <t>COMPAÑIA DE TRANSPORTADORES LA NACIONAL S.A</t>
  </si>
  <si>
    <t xml:space="preserve">MASIVO CAPITAL SAS EN REORGANIZACION </t>
  </si>
  <si>
    <t>TRANSPORTE ZONAL INTEGRADO SAS EN REORGANIZACION</t>
  </si>
  <si>
    <t>ANGELCOM S.A.S.</t>
  </si>
  <si>
    <t>FLOTA AGUILA S,A</t>
  </si>
  <si>
    <t>C&amp;E INVESTMENTS S.A.S.</t>
  </si>
  <si>
    <t>H4921 - Transporte de pasajeros</t>
  </si>
  <si>
    <t>Prestar el servicio público de transporte terrestre automotor especial a todo costo a la Agencia Nacional de Defensa Jurídica del Estado.</t>
  </si>
  <si>
    <t>AGENCIA NACIONAL DE DEFENSA JURÍDICA DEL ESTADO
LP-001-2020</t>
  </si>
  <si>
    <t>N/A</t>
  </si>
  <si>
    <t>PRESTACIÓN DEL SERVICIO DE TRANSPORTE TERRESTRE ESPECIAL DESTINADO AL APOYO EN LA REALIZACIÓN DE LAS ACTIVIDADES LOGÍSTICAS Y/O DE DESPLAZAMIENTO PROPIAS DE LOS FUNCIONARIOS DE LAS DISTINTAS DEPENDENCIAS DE LA GOBERNACIÓN DEL DEPARTAMENTO DEL ATLÁNTICO</t>
  </si>
  <si>
    <t>DEPARTAMENTO DEL ATLANTICO
SA-009-2020</t>
  </si>
  <si>
    <t>20%*PO</t>
  </si>
  <si>
    <t>0 - 1%</t>
  </si>
  <si>
    <t>1,1% - 2%</t>
  </si>
  <si>
    <t>2,1% - 3%</t>
  </si>
  <si>
    <t>3,1% - 4%</t>
  </si>
  <si>
    <t>&gt; 4%</t>
  </si>
  <si>
    <t>0 - 2%</t>
  </si>
  <si>
    <t>2,1% - 4%</t>
  </si>
  <si>
    <t>4,1% - 6%</t>
  </si>
  <si>
    <t>6,1% - 8%</t>
  </si>
  <si>
    <t>&gt; 8%</t>
  </si>
  <si>
    <t>SERVICIO DE TRANSPORTE PARA SERVIDORES PÚBLICOS DE LA AEROCIVIL QUE LABORAN EN EL NIVEL CENTRAL Y LOS AEROPUERTOS ADSCRITOS A LAS REGIONALES DE CUNDINAMARCA, ANTIOQUIA, ATLÁNTICO, VALLE, NORTE DE SANTANDER Y META (VIGENCIA FUTURA). 
ÍTEM 1: SERVICIO DE TRANSPORTE PARA SERVIDORES PÚBLICOS DE LA AEROCIVIL QUE LABORAN EN EL NIVEL CENTRAL.</t>
  </si>
  <si>
    <t>SERVICIO DE TRANSPORTE PARA SERVIDORES PÚBLICOS DE LA AEROCIVIL QUE LABORAN EN EL NIVEL CENTRAL Y LOS AEROPUERTOS ADSCRITOS A LAS REGIONALES DE CUNDINAMARCA, ANTIOQUIA, ATLÁNTICO, VALLE, NORTE DE SANTANDER Y META (VIGENCIA FUTURA). 
ÍTEM 2: SERVICIO DE TRANSPORTE PARA SERVIDORES PÚBLICOS DE LA AEROCIVIL QUE LABORAN EN LOS AEROPUERTOS ADSCRITOS A LA REGIONAL CUNDINAMARCA.</t>
  </si>
  <si>
    <t>SERVICIO DE TRANSPORTE PARA SERVIDORES PÚBLICOS DE LA AEROCIVIL QUE LABORAN EN EL NIVEL CENTRAL Y LOS AEROPUERTOS ADSCRITOS A LAS REGIONALES DE CUNDINAMARCA, ANTIOQUIA, ATLÁNTICO, VALLE, NORTE DE SANTANDER Y META (VIGENCIA FUTURA). 
ÍTEM 3: SERVICIO DE TRANSPORTE PARA SERVIDORES PÚBLICOS DE LA AEROCIVIL QUE LABORAN EN LOS AEROPUERTOS ADSCRITOS A LA REGIONAL ANTIOQUIA.</t>
  </si>
  <si>
    <t>SERVICIO DE TRANSPORTE PARA SERVIDORES PÚBLICOS DE LA AEROCIVIL QUE LABORAN EN EL NIVEL CENTRAL Y LOS AEROPUERTOS ADSCRITOS A LAS REGIONALES DE CUNDINAMARCA, ANTIOQUIA, ATLÁNTICO, VALLE, NORTE DE SANTANDER Y META (VIGENCIA FUTURA). 
ÍTEM 4: SERVICIO DE TRANSPORTE PARA SERVIDORES PÚBLICOS DE LA AEROCIVIL QUE LABORAN EN LOS AEROPUERTOS ADSCRITOS A LA REGIONAL ATLÁNTICO.</t>
  </si>
  <si>
    <t>SERVICIO DE TRANSPORTE PARA SERVIDORES PÚBLICOS DE LA AEROCIVIL QUE LABORAN EN EL NIVEL CENTRAL Y LOS AEROPUERTOS ADSCRITOS A LAS REGIONALES DE CUNDINAMARCA, ANTIOQUIA, ATLÁNTICO, VALLE, NORTE DE SANTANDER Y META (VIGENCIA FUTURA). 
ÍTEM 5: SERVICIO DE TRANSPORTE PARA SERVIDORES PÚBLICOS DE LA AEROCIVIL QUE LABORAN EN LOS AEROPUERTOS ADSCRITOS A LA REGIONAL VALLE.</t>
  </si>
  <si>
    <t>SERVICIO DE TRANSPORTE PARA SERVIDORES PÚBLICOS DE LA AEROCIVIL QUE LABORAN EN EL NIVEL CENTRAL Y LOS AEROPUERTOS ADSCRITOS A LAS REGIONALES DE CUNDINAMARCA, ANTIOQUIA, ATLÁNTICO, VALLE, NORTE DE SANTANDER Y META (VIGENCIA FUTURA). 
ÍTEM 6: SERVICIO DE TRANSPORTE PARA SERVIDORES PÚBLICOS DE LA AEROCIVIL QUE LABORAN EN LOS AEROPUERTOS ADSCRITOS A LA REGIONAL NORTE DE SANTANDER.</t>
  </si>
  <si>
    <t>SERVICIO DE TRANSPORTE PARA SERVIDORES PÚBLICOS DE LA AEROCIVIL QUE LABORAN EN EL NIVEL CENTRAL Y LOS AEROPUERTOS ADSCRITOS A LAS REGIONALES DE CUNDINAMARCA, ANTIOQUIA, ATLÁNTICO, VALLE, NORTE DE SANTANDER Y META (VIGENCIA FUTURA). 
ÍTEM 7: SERVICIO DE TRANSPORTE PARA SERVIDORES PÚBLICOS DE LA AEROCIVIL QUE LABORAN EN LOS AEROPUERTOS ADSCRITOS A LA REGIONAL META.</t>
  </si>
  <si>
    <t>Capital de Trabajo:  
2*(PO/n)</t>
  </si>
  <si>
    <t>Patrimonio:
30% * PO</t>
  </si>
  <si>
    <t>Patrimonio:
35% * PO</t>
  </si>
  <si>
    <t>Capital de Trabajo:  
1,5*(PO/n)</t>
  </si>
  <si>
    <t>Patrimonio:
25% * PO</t>
  </si>
  <si>
    <t>MAYOR O IGUAL A 
$32.200.000</t>
  </si>
  <si>
    <t>MAYOR O IGUAL A $107.200.000</t>
  </si>
  <si>
    <t>MAYOR O IGUAL A 
$170.300.000</t>
  </si>
  <si>
    <t>MAYOR O IGUAL A $596.100.000</t>
  </si>
  <si>
    <t>MAYOR O IGUAL A 
$331.400.000</t>
  </si>
  <si>
    <t>MAYOR O IGUAL A $1.060.400.000</t>
  </si>
  <si>
    <t>MAYOR O IGUAL A 
$189.000.000</t>
  </si>
  <si>
    <t>MAYOR O IGUAL A $661.400.000</t>
  </si>
  <si>
    <t>MAYOR O IGUAL A 
$221.900.000</t>
  </si>
  <si>
    <t>MAYOR O IGUAL A $776.800.000</t>
  </si>
  <si>
    <t>MAYOR O IGUAL A 
$96.300.000</t>
  </si>
  <si>
    <t>MAYOR O IGUAL A $288.800.000</t>
  </si>
  <si>
    <t>MAYOR O IGUAL A 
$381.100.000</t>
  </si>
  <si>
    <t>MAYOR O IGUAL A $1.219.400.000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</si>
</sst>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* #,##0.00\ _€_-;\-* #,##0.00\ _€_-;_-* &quot;-&quot;??\ _€_-;_-@_-"/>
    <numFmt numFmtId="167" formatCode="#,##0.0"/>
    <numFmt numFmtId="168" formatCode="&quot;$&quot;#,##0"/>
    <numFmt numFmtId="169" formatCode="_-* #,##0\ _€_-;\-* #,##0\ _€_-;_-* &quot;-&quot;??\ _€_-;_-@_-"/>
    <numFmt numFmtId="170" formatCode="&quot;$&quot;\ #,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167" fontId="6" fillId="2" borderId="0" xfId="0" applyNumberFormat="1" applyFont="1" applyFill="1" applyBorder="1" applyAlignment="1">
      <alignment horizontal="center" vertical="center" wrapText="1"/>
    </xf>
    <xf numFmtId="167" fontId="8" fillId="0" borderId="0" xfId="3" applyNumberFormat="1" applyFont="1" applyFill="1" applyBorder="1" applyAlignment="1">
      <alignment horizontal="center"/>
    </xf>
    <xf numFmtId="0" fontId="8" fillId="0" borderId="0" xfId="0" applyFont="1" applyFill="1" applyBorder="1"/>
    <xf numFmtId="0" fontId="8" fillId="0" borderId="0" xfId="0" applyNumberFormat="1" applyFont="1"/>
    <xf numFmtId="0" fontId="8" fillId="0" borderId="0" xfId="0" applyFont="1"/>
    <xf numFmtId="0" fontId="6" fillId="0" borderId="0" xfId="0" applyFont="1"/>
    <xf numFmtId="0" fontId="6" fillId="0" borderId="0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 applyFill="1"/>
    <xf numFmtId="168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/>
    </xf>
    <xf numFmtId="168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NumberFormat="1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167" fontId="3" fillId="4" borderId="4" xfId="0" applyNumberFormat="1" applyFont="1" applyFill="1" applyBorder="1" applyAlignment="1">
      <alignment horizontal="center" vertical="center" wrapText="1"/>
    </xf>
    <xf numFmtId="169" fontId="8" fillId="0" borderId="0" xfId="1" applyNumberFormat="1" applyFont="1"/>
    <xf numFmtId="167" fontId="7" fillId="0" borderId="0" xfId="3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vertical="center"/>
    </xf>
    <xf numFmtId="0" fontId="8" fillId="0" borderId="0" xfId="0" applyFont="1" applyBorder="1"/>
    <xf numFmtId="0" fontId="8" fillId="3" borderId="0" xfId="0" applyFont="1" applyFill="1"/>
    <xf numFmtId="9" fontId="3" fillId="0" borderId="11" xfId="2" applyNumberFormat="1" applyFont="1" applyFill="1" applyBorder="1" applyAlignment="1">
      <alignment horizontal="center" vertical="center" wrapText="1"/>
    </xf>
    <xf numFmtId="9" fontId="3" fillId="0" borderId="12" xfId="2" applyNumberFormat="1" applyFont="1" applyFill="1" applyBorder="1" applyAlignment="1">
      <alignment horizontal="center" vertical="center" wrapText="1"/>
    </xf>
    <xf numFmtId="9" fontId="3" fillId="0" borderId="13" xfId="2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70" fontId="7" fillId="0" borderId="0" xfId="3" applyNumberFormat="1" applyFont="1" applyFill="1" applyBorder="1" applyAlignment="1"/>
    <xf numFmtId="1" fontId="7" fillId="0" borderId="0" xfId="3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10" fillId="0" borderId="0" xfId="0" applyFont="1" applyFill="1" applyBorder="1"/>
    <xf numFmtId="9" fontId="7" fillId="0" borderId="0" xfId="2" applyNumberFormat="1" applyFont="1" applyFill="1" applyBorder="1" applyAlignment="1">
      <alignment horizontal="center"/>
    </xf>
    <xf numFmtId="170" fontId="11" fillId="0" borderId="0" xfId="0" applyNumberFormat="1" applyFont="1" applyBorder="1"/>
    <xf numFmtId="168" fontId="7" fillId="0" borderId="2" xfId="0" applyNumberFormat="1" applyFont="1" applyFill="1" applyBorder="1" applyAlignment="1">
      <alignment horizontal="center" vertical="center"/>
    </xf>
    <xf numFmtId="164" fontId="9" fillId="0" borderId="4" xfId="4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NumberFormat="1" applyFont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</cellXfs>
  <cellStyles count="5">
    <cellStyle name="Millares" xfId="1" builtinId="3"/>
    <cellStyle name="Millares 2" xfId="3" xr:uid="{00000000-0005-0000-0000-000001000000}"/>
    <cellStyle name="Moneda" xfId="4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1'!$C$57:$C$64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AE-4A9F-90C8-A1C679E2C6B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5360000"/>
        <c:axId val="165361536"/>
      </c:barChart>
      <c:catAx>
        <c:axId val="1653600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5361536"/>
        <c:crosses val="autoZero"/>
        <c:auto val="1"/>
        <c:lblAlgn val="ctr"/>
        <c:lblOffset val="100"/>
        <c:noMultiLvlLbl val="0"/>
      </c:catAx>
      <c:valAx>
        <c:axId val="1653615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5360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1'!$C$75:$C$77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9F-4F3E-878B-D612041DD7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390592"/>
        <c:axId val="165289984"/>
      </c:barChart>
      <c:catAx>
        <c:axId val="1653905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5289984"/>
        <c:crosses val="autoZero"/>
        <c:auto val="1"/>
        <c:lblAlgn val="ctr"/>
        <c:lblOffset val="100"/>
        <c:noMultiLvlLbl val="0"/>
      </c:catAx>
      <c:valAx>
        <c:axId val="16528998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5390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1'!$C$93:$C$99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8B-44D3-9985-BC7C7FEFEA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323136"/>
        <c:axId val="165324672"/>
      </c:barChart>
      <c:catAx>
        <c:axId val="1653231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5324672"/>
        <c:crosses val="autoZero"/>
        <c:auto val="1"/>
        <c:lblAlgn val="ctr"/>
        <c:lblOffset val="100"/>
        <c:noMultiLvlLbl val="0"/>
      </c:catAx>
      <c:valAx>
        <c:axId val="1653246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53231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1'!$C$111:$C$115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C4-4C04-8DD1-C903CA30A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947648"/>
        <c:axId val="165957632"/>
      </c:barChart>
      <c:catAx>
        <c:axId val="1659476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5957632"/>
        <c:crosses val="autoZero"/>
        <c:auto val="1"/>
        <c:lblAlgn val="ctr"/>
        <c:lblOffset val="100"/>
        <c:noMultiLvlLbl val="0"/>
      </c:catAx>
      <c:valAx>
        <c:axId val="1659576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5947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1'!$C$129:$C$135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C-46BA-A2C0-ED514F8F1F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975936"/>
        <c:axId val="165977472"/>
      </c:barChart>
      <c:catAx>
        <c:axId val="1659759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5977472"/>
        <c:crosses val="autoZero"/>
        <c:auto val="1"/>
        <c:lblAlgn val="ctr"/>
        <c:lblOffset val="100"/>
        <c:noMultiLvlLbl val="0"/>
      </c:catAx>
      <c:valAx>
        <c:axId val="165977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5975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1'!$C$147:$C$153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26-4C7F-84F6-3A251431B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009088"/>
        <c:axId val="166035456"/>
      </c:barChart>
      <c:catAx>
        <c:axId val="1660090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6035456"/>
        <c:crosses val="autoZero"/>
        <c:auto val="1"/>
        <c:lblAlgn val="ctr"/>
        <c:lblOffset val="100"/>
        <c:noMultiLvlLbl val="0"/>
      </c:catAx>
      <c:valAx>
        <c:axId val="1660354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6009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1'!$B$165:$B$171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1'!$C$165:$C$171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F5-42B9-9D0C-4B8C18AE0A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064512"/>
        <c:axId val="166066048"/>
      </c:barChart>
      <c:catAx>
        <c:axId val="1660645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6066048"/>
        <c:crosses val="autoZero"/>
        <c:auto val="1"/>
        <c:lblAlgn val="ctr"/>
        <c:lblOffset val="100"/>
        <c:noMultiLvlLbl val="0"/>
      </c:catAx>
      <c:valAx>
        <c:axId val="1660660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6064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2'!$C$57:$C$64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69-467B-B327-883880BC4E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7362816"/>
        <c:axId val="197364352"/>
      </c:barChart>
      <c:catAx>
        <c:axId val="19736281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364352"/>
        <c:crosses val="autoZero"/>
        <c:auto val="1"/>
        <c:lblAlgn val="ctr"/>
        <c:lblOffset val="100"/>
        <c:noMultiLvlLbl val="0"/>
      </c:catAx>
      <c:valAx>
        <c:axId val="1973643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362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2'!$C$75:$C$77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6F-4D83-813D-7F0EAA6121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618688"/>
        <c:axId val="197624576"/>
      </c:barChart>
      <c:catAx>
        <c:axId val="1976186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624576"/>
        <c:crosses val="autoZero"/>
        <c:auto val="1"/>
        <c:lblAlgn val="ctr"/>
        <c:lblOffset val="100"/>
        <c:noMultiLvlLbl val="0"/>
      </c:catAx>
      <c:valAx>
        <c:axId val="1976245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6186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2'!$C$93:$C$99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84-44FC-BFFC-20735AC5A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665920"/>
        <c:axId val="197667456"/>
      </c:barChart>
      <c:catAx>
        <c:axId val="1976659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667456"/>
        <c:crosses val="autoZero"/>
        <c:auto val="1"/>
        <c:lblAlgn val="ctr"/>
        <c:lblOffset val="100"/>
        <c:noMultiLvlLbl val="0"/>
      </c:catAx>
      <c:valAx>
        <c:axId val="1976674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665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2'!$C$111:$C$115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94-405C-A0AF-198E2B425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659648"/>
        <c:axId val="197698304"/>
      </c:barChart>
      <c:catAx>
        <c:axId val="1976596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698304"/>
        <c:crosses val="autoZero"/>
        <c:auto val="1"/>
        <c:lblAlgn val="ctr"/>
        <c:lblOffset val="100"/>
        <c:noMultiLvlLbl val="0"/>
      </c:catAx>
      <c:valAx>
        <c:axId val="19769830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659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2'!$C$129:$C$135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2C-49F1-8ACE-70EA43613C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796992"/>
        <c:axId val="197798528"/>
      </c:barChart>
      <c:catAx>
        <c:axId val="1977969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798528"/>
        <c:crosses val="autoZero"/>
        <c:auto val="1"/>
        <c:lblAlgn val="ctr"/>
        <c:lblOffset val="100"/>
        <c:noMultiLvlLbl val="0"/>
      </c:catAx>
      <c:valAx>
        <c:axId val="1977985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796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2'!$C$147:$C$153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A5-4BD4-91FD-029966902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15296"/>
        <c:axId val="197817088"/>
      </c:barChart>
      <c:catAx>
        <c:axId val="1978152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817088"/>
        <c:crosses val="autoZero"/>
        <c:auto val="1"/>
        <c:lblAlgn val="ctr"/>
        <c:lblOffset val="100"/>
        <c:noMultiLvlLbl val="0"/>
      </c:catAx>
      <c:valAx>
        <c:axId val="1978170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8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2'!$B$165:$B$171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2'!$C$165:$C$171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A8-498B-9771-5845DE0BDD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46144"/>
        <c:axId val="197847680"/>
      </c:barChart>
      <c:catAx>
        <c:axId val="197846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7847680"/>
        <c:crosses val="autoZero"/>
        <c:auto val="1"/>
        <c:lblAlgn val="ctr"/>
        <c:lblOffset val="100"/>
        <c:noMultiLvlLbl val="0"/>
      </c:catAx>
      <c:valAx>
        <c:axId val="1978476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7846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3'!$C$57:$C$64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D7-4D00-9FE2-1A07596E07C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5174144"/>
        <c:axId val="215175936"/>
      </c:barChart>
      <c:catAx>
        <c:axId val="215174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5175936"/>
        <c:crosses val="autoZero"/>
        <c:auto val="1"/>
        <c:lblAlgn val="ctr"/>
        <c:lblOffset val="100"/>
        <c:noMultiLvlLbl val="0"/>
      </c:catAx>
      <c:valAx>
        <c:axId val="2151759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5174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3'!$C$75:$C$77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08-4491-A7F9-DE9A00A94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00128"/>
        <c:axId val="169601664"/>
      </c:barChart>
      <c:catAx>
        <c:axId val="1696001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9601664"/>
        <c:crosses val="autoZero"/>
        <c:auto val="1"/>
        <c:lblAlgn val="ctr"/>
        <c:lblOffset val="100"/>
        <c:noMultiLvlLbl val="0"/>
      </c:catAx>
      <c:valAx>
        <c:axId val="1696016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960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3'!$C$93:$C$99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6D-458D-9239-4465206F99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589760"/>
        <c:axId val="172970752"/>
      </c:barChart>
      <c:catAx>
        <c:axId val="1695897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2970752"/>
        <c:crosses val="autoZero"/>
        <c:auto val="1"/>
        <c:lblAlgn val="ctr"/>
        <c:lblOffset val="100"/>
        <c:noMultiLvlLbl val="0"/>
      </c:catAx>
      <c:valAx>
        <c:axId val="1729707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9589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3'!$C$111:$C$115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F2-4640-95CB-C588541739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54752"/>
        <c:axId val="172956288"/>
      </c:barChart>
      <c:catAx>
        <c:axId val="1729547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72956288"/>
        <c:crosses val="autoZero"/>
        <c:auto val="1"/>
        <c:lblAlgn val="ctr"/>
        <c:lblOffset val="100"/>
        <c:noMultiLvlLbl val="0"/>
      </c:catAx>
      <c:valAx>
        <c:axId val="1729562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72954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3'!$C$129:$C$135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C0-45C2-8711-290EC9058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2993536"/>
        <c:axId val="195887872"/>
      </c:barChart>
      <c:catAx>
        <c:axId val="1729935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5887872"/>
        <c:crosses val="autoZero"/>
        <c:auto val="1"/>
        <c:lblAlgn val="ctr"/>
        <c:lblOffset val="100"/>
        <c:noMultiLvlLbl val="0"/>
      </c:catAx>
      <c:valAx>
        <c:axId val="1958878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72993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3'!$C$147:$C$153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E9-43D5-B683-0CDB7750F2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28800"/>
        <c:axId val="169630336"/>
      </c:barChart>
      <c:catAx>
        <c:axId val="1696288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9630336"/>
        <c:crosses val="autoZero"/>
        <c:auto val="1"/>
        <c:lblAlgn val="ctr"/>
        <c:lblOffset val="100"/>
        <c:noMultiLvlLbl val="0"/>
      </c:catAx>
      <c:valAx>
        <c:axId val="1696303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9628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3'!$B$165:$B$171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3'!$C$165:$C$171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D7-48E8-86A1-0E783C66A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9643008"/>
        <c:axId val="169648896"/>
      </c:barChart>
      <c:catAx>
        <c:axId val="1696430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9648896"/>
        <c:crosses val="autoZero"/>
        <c:auto val="1"/>
        <c:lblAlgn val="ctr"/>
        <c:lblOffset val="100"/>
        <c:noMultiLvlLbl val="0"/>
      </c:catAx>
      <c:valAx>
        <c:axId val="16964889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96430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4'!$C$57:$C$64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E5-4EBE-9D5B-18132427C45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6579712"/>
        <c:axId val="196581248"/>
      </c:barChart>
      <c:catAx>
        <c:axId val="1965797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581248"/>
        <c:crosses val="autoZero"/>
        <c:auto val="1"/>
        <c:lblAlgn val="ctr"/>
        <c:lblOffset val="100"/>
        <c:noMultiLvlLbl val="0"/>
      </c:catAx>
      <c:valAx>
        <c:axId val="1965812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579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4'!$C$75:$C$77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6D-4988-88B9-60D64F34F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765952"/>
        <c:axId val="215216128"/>
      </c:barChart>
      <c:catAx>
        <c:axId val="1967659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5216128"/>
        <c:crosses val="autoZero"/>
        <c:auto val="1"/>
        <c:lblAlgn val="ctr"/>
        <c:lblOffset val="100"/>
        <c:noMultiLvlLbl val="0"/>
      </c:catAx>
      <c:valAx>
        <c:axId val="2152161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4'!$C$93:$C$99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27-4E23-B5FE-F159485D11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669824"/>
        <c:axId val="196671360"/>
      </c:barChart>
      <c:catAx>
        <c:axId val="1966698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671360"/>
        <c:crosses val="autoZero"/>
        <c:auto val="1"/>
        <c:lblAlgn val="ctr"/>
        <c:lblOffset val="100"/>
        <c:noMultiLvlLbl val="0"/>
      </c:catAx>
      <c:valAx>
        <c:axId val="1966713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669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4'!$C$111:$C$115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EB-4642-8869-911BD7431C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135168"/>
        <c:axId val="196620288"/>
      </c:barChart>
      <c:catAx>
        <c:axId val="196135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620288"/>
        <c:crosses val="autoZero"/>
        <c:auto val="1"/>
        <c:lblAlgn val="ctr"/>
        <c:lblOffset val="100"/>
        <c:noMultiLvlLbl val="0"/>
      </c:catAx>
      <c:valAx>
        <c:axId val="1966202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135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4'!$C$129:$C$135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38-4698-B94B-EF90330743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870528"/>
        <c:axId val="196872064"/>
      </c:barChart>
      <c:catAx>
        <c:axId val="1968705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872064"/>
        <c:crosses val="autoZero"/>
        <c:auto val="1"/>
        <c:lblAlgn val="ctr"/>
        <c:lblOffset val="100"/>
        <c:noMultiLvlLbl val="0"/>
      </c:catAx>
      <c:valAx>
        <c:axId val="1968720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870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4'!$C$147:$C$153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25-4929-BBB2-CDE2EE77C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892928"/>
        <c:axId val="196898816"/>
      </c:barChart>
      <c:catAx>
        <c:axId val="1968929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898816"/>
        <c:crosses val="autoZero"/>
        <c:auto val="1"/>
        <c:lblAlgn val="ctr"/>
        <c:lblOffset val="100"/>
        <c:noMultiLvlLbl val="0"/>
      </c:catAx>
      <c:valAx>
        <c:axId val="1968988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892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4'!$B$165:$B$171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4'!$C$165:$C$171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CF-41EF-B0A1-237528C206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6923776"/>
        <c:axId val="196925312"/>
      </c:barChart>
      <c:catAx>
        <c:axId val="19692377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6925312"/>
        <c:crosses val="autoZero"/>
        <c:auto val="1"/>
        <c:lblAlgn val="ctr"/>
        <c:lblOffset val="100"/>
        <c:noMultiLvlLbl val="0"/>
      </c:catAx>
      <c:valAx>
        <c:axId val="1969253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6923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5'!$C$57:$C$64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16-40D9-B146-7128EB93196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2801536"/>
        <c:axId val="162803072"/>
      </c:barChart>
      <c:catAx>
        <c:axId val="1628015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62803072"/>
        <c:crosses val="autoZero"/>
        <c:auto val="1"/>
        <c:lblAlgn val="ctr"/>
        <c:lblOffset val="100"/>
        <c:noMultiLvlLbl val="0"/>
      </c:catAx>
      <c:valAx>
        <c:axId val="1628030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62801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5'!$C$75:$C$77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2-4BED-868C-B51848938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327296"/>
        <c:axId val="214328832"/>
      </c:barChart>
      <c:catAx>
        <c:axId val="2143272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328832"/>
        <c:crosses val="autoZero"/>
        <c:auto val="1"/>
        <c:lblAlgn val="ctr"/>
        <c:lblOffset val="100"/>
        <c:noMultiLvlLbl val="0"/>
      </c:catAx>
      <c:valAx>
        <c:axId val="2143288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327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5'!$C$93:$C$99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34-474C-AA80-D0A91A30D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382464"/>
        <c:axId val="214384000"/>
      </c:barChart>
      <c:catAx>
        <c:axId val="2143824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384000"/>
        <c:crosses val="autoZero"/>
        <c:auto val="1"/>
        <c:lblAlgn val="ctr"/>
        <c:lblOffset val="100"/>
        <c:noMultiLvlLbl val="0"/>
      </c:catAx>
      <c:valAx>
        <c:axId val="214384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3824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5'!$C$111:$C$115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36-4A9D-B190-1DDE912DF4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413312"/>
        <c:axId val="214414848"/>
      </c:barChart>
      <c:catAx>
        <c:axId val="2144133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414848"/>
        <c:crosses val="autoZero"/>
        <c:auto val="1"/>
        <c:lblAlgn val="ctr"/>
        <c:lblOffset val="100"/>
        <c:noMultiLvlLbl val="0"/>
      </c:catAx>
      <c:valAx>
        <c:axId val="2144148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413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5'!$C$129:$C$135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D9-41C9-8EF9-EDA945802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361984"/>
        <c:axId val="214363520"/>
      </c:barChart>
      <c:catAx>
        <c:axId val="2143619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363520"/>
        <c:crosses val="autoZero"/>
        <c:auto val="1"/>
        <c:lblAlgn val="ctr"/>
        <c:lblOffset val="100"/>
        <c:noMultiLvlLbl val="0"/>
      </c:catAx>
      <c:valAx>
        <c:axId val="214363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361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5'!$C$147:$C$153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87-4D76-A327-223A82AE8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389696"/>
        <c:axId val="213391232"/>
      </c:barChart>
      <c:catAx>
        <c:axId val="2133896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3391232"/>
        <c:crosses val="autoZero"/>
        <c:auto val="1"/>
        <c:lblAlgn val="ctr"/>
        <c:lblOffset val="100"/>
        <c:noMultiLvlLbl val="0"/>
      </c:catAx>
      <c:valAx>
        <c:axId val="2133912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3896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5'!$B$165:$B$171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5'!$C$165:$C$171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43-43A3-8FDC-016E3DE4B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792448"/>
        <c:axId val="214794240"/>
      </c:barChart>
      <c:catAx>
        <c:axId val="2147924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794240"/>
        <c:crosses val="autoZero"/>
        <c:auto val="1"/>
        <c:lblAlgn val="ctr"/>
        <c:lblOffset val="100"/>
        <c:noMultiLvlLbl val="0"/>
      </c:catAx>
      <c:valAx>
        <c:axId val="2147942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792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6'!$C$57:$C$64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51-4569-8050-419EA51C0E4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1028992"/>
        <c:axId val="211034880"/>
      </c:barChart>
      <c:catAx>
        <c:axId val="2110289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1034880"/>
        <c:crosses val="autoZero"/>
        <c:auto val="1"/>
        <c:lblAlgn val="ctr"/>
        <c:lblOffset val="100"/>
        <c:noMultiLvlLbl val="0"/>
      </c:catAx>
      <c:valAx>
        <c:axId val="2110348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1028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6'!$C$75:$C$77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E5-448A-A465-C4F55434D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1052032"/>
        <c:axId val="211053568"/>
      </c:barChart>
      <c:catAx>
        <c:axId val="2110520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1053568"/>
        <c:crosses val="autoZero"/>
        <c:auto val="1"/>
        <c:lblAlgn val="ctr"/>
        <c:lblOffset val="100"/>
        <c:noMultiLvlLbl val="0"/>
      </c:catAx>
      <c:valAx>
        <c:axId val="21105356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1052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6'!$C$93:$C$99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B0-4BED-96F4-7DA4D9D8F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360448"/>
        <c:axId val="212534400"/>
      </c:barChart>
      <c:catAx>
        <c:axId val="1983604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2534400"/>
        <c:crosses val="autoZero"/>
        <c:auto val="1"/>
        <c:lblAlgn val="ctr"/>
        <c:lblOffset val="100"/>
        <c:noMultiLvlLbl val="0"/>
      </c:catAx>
      <c:valAx>
        <c:axId val="212534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8360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6'!$C$111:$C$115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98-410D-AE10-C160494BAB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55264"/>
        <c:axId val="212556800"/>
      </c:barChart>
      <c:catAx>
        <c:axId val="2125552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2556800"/>
        <c:crosses val="autoZero"/>
        <c:auto val="1"/>
        <c:lblAlgn val="ctr"/>
        <c:lblOffset val="100"/>
        <c:noMultiLvlLbl val="0"/>
      </c:catAx>
      <c:valAx>
        <c:axId val="2125568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2555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6'!$C$129:$C$135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F7-4D28-B966-1828B40B23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368640"/>
        <c:axId val="212595840"/>
      </c:barChart>
      <c:catAx>
        <c:axId val="1983686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2595840"/>
        <c:crosses val="autoZero"/>
        <c:auto val="1"/>
        <c:lblAlgn val="ctr"/>
        <c:lblOffset val="100"/>
        <c:noMultiLvlLbl val="0"/>
      </c:catAx>
      <c:valAx>
        <c:axId val="2125958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1983686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6'!$C$147:$C$153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5C-4F88-9232-1FB0103F6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621184"/>
        <c:axId val="212622720"/>
      </c:barChart>
      <c:catAx>
        <c:axId val="2126211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2622720"/>
        <c:crosses val="autoZero"/>
        <c:auto val="1"/>
        <c:lblAlgn val="ctr"/>
        <c:lblOffset val="100"/>
        <c:noMultiLvlLbl val="0"/>
      </c:catAx>
      <c:valAx>
        <c:axId val="2126227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26211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6'!$B$165:$B$171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6'!$C$165:$C$171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93-4990-B524-CC9695CDB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660224"/>
        <c:axId val="212661760"/>
      </c:barChart>
      <c:catAx>
        <c:axId val="2126602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2661760"/>
        <c:crosses val="autoZero"/>
        <c:auto val="1"/>
        <c:lblAlgn val="ctr"/>
        <c:lblOffset val="100"/>
        <c:noMultiLvlLbl val="0"/>
      </c:catAx>
      <c:valAx>
        <c:axId val="2126617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26602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 DE LIQUIDEZ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7'!$B$57:$B$64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f>'ITEM 7'!$C$57:$C$64</c:f>
              <c:numCache>
                <c:formatCode>#,##0</c:formatCode>
                <c:ptCount val="8"/>
                <c:pt idx="0">
                  <c:v>12</c:v>
                </c:pt>
                <c:pt idx="1">
                  <c:v>8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0A-4678-A894-393306F1F01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1002880"/>
        <c:axId val="211004416"/>
      </c:barChart>
      <c:catAx>
        <c:axId val="2110028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1004416"/>
        <c:crosses val="autoZero"/>
        <c:auto val="1"/>
        <c:lblAlgn val="ctr"/>
        <c:lblOffset val="100"/>
        <c:noMultiLvlLbl val="0"/>
      </c:catAx>
      <c:valAx>
        <c:axId val="2110044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100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CAPITAL DE TRABAJO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7'!$B$75:$B$77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f>'ITEM 7'!$C$75:$C$77</c:f>
              <c:numCache>
                <c:formatCode>#,##0</c:formatCode>
                <c:ptCount val="3"/>
                <c:pt idx="0">
                  <c:v>12</c:v>
                </c:pt>
                <c:pt idx="1">
                  <c:v>0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64-437C-8032-31995DEFCF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724544"/>
        <c:axId val="213726336"/>
      </c:barChart>
      <c:catAx>
        <c:axId val="2137245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3726336"/>
        <c:crosses val="autoZero"/>
        <c:auto val="1"/>
        <c:lblAlgn val="ctr"/>
        <c:lblOffset val="100"/>
        <c:noMultiLvlLbl val="0"/>
      </c:catAx>
      <c:valAx>
        <c:axId val="2137263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724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INDICE</a:t>
            </a:r>
            <a:r>
              <a:rPr lang="es-CO" baseline="0"/>
              <a:t> DE ENDEUDAMIENTO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7'!$B$93:$B$99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f>'ITEM 7'!$C$93:$C$99</c:f>
              <c:numCache>
                <c:formatCode>#,##0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11-4BD1-B044-20966D6EAE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738624"/>
        <c:axId val="213740160"/>
      </c:barChart>
      <c:catAx>
        <c:axId val="213738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3740160"/>
        <c:crosses val="autoZero"/>
        <c:auto val="1"/>
        <c:lblAlgn val="ctr"/>
        <c:lblOffset val="100"/>
        <c:noMultiLvlLbl val="0"/>
      </c:catAx>
      <c:valAx>
        <c:axId val="2137401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Nª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738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7'!$B$111:$B$115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f>'ITEM 7'!$C$111:$C$115</c:f>
              <c:numCache>
                <c:formatCode>#,##0</c:formatCode>
                <c:ptCount val="5"/>
                <c:pt idx="0">
                  <c:v>6</c:v>
                </c:pt>
                <c:pt idx="1">
                  <c:v>0</c:v>
                </c:pt>
                <c:pt idx="2">
                  <c:v>15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35-4E65-A434-487CB0462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777408"/>
        <c:axId val="213918464"/>
      </c:barChart>
      <c:catAx>
        <c:axId val="2137774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3918464"/>
        <c:crosses val="autoZero"/>
        <c:auto val="1"/>
        <c:lblAlgn val="ctr"/>
        <c:lblOffset val="100"/>
        <c:noMultiLvlLbl val="0"/>
      </c:catAx>
      <c:valAx>
        <c:axId val="21391846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777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COBERTURA DE INTERESES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7'!$B$129:$B$135</c:f>
              <c:strCache>
                <c:ptCount val="7"/>
                <c:pt idx="0">
                  <c:v>Gastos de intereses = 0</c:v>
                </c:pt>
                <c:pt idx="1">
                  <c:v>&lt; 0</c:v>
                </c:pt>
                <c:pt idx="2">
                  <c:v>0 - 1</c:v>
                </c:pt>
                <c:pt idx="3">
                  <c:v>1,1 - 2</c:v>
                </c:pt>
                <c:pt idx="4">
                  <c:v>2,1 - 4</c:v>
                </c:pt>
                <c:pt idx="5">
                  <c:v>4,1 - 6</c:v>
                </c:pt>
                <c:pt idx="6">
                  <c:v>&gt; 6</c:v>
                </c:pt>
              </c:strCache>
            </c:strRef>
          </c:cat>
          <c:val>
            <c:numRef>
              <c:f>'ITEM 7'!$C$129:$C$135</c:f>
              <c:numCache>
                <c:formatCode>#,##0</c:formatCode>
                <c:ptCount val="7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A8-41A9-9F44-F43D4F265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947520"/>
        <c:axId val="213949056"/>
      </c:barChart>
      <c:catAx>
        <c:axId val="2139475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3949056"/>
        <c:crosses val="autoZero"/>
        <c:auto val="1"/>
        <c:lblAlgn val="ctr"/>
        <c:lblOffset val="100"/>
        <c:noMultiLvlLbl val="0"/>
      </c:catAx>
      <c:valAx>
        <c:axId val="2139490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9475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</a:t>
            </a:r>
            <a:r>
              <a:rPr lang="es-CO" baseline="0"/>
              <a:t> ACTIVOS</a:t>
            </a:r>
            <a:endParaRPr lang="es-CO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7'!$B$147:$B$153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0 - 1%</c:v>
                </c:pt>
                <c:pt idx="3">
                  <c:v>1,1% - 2%</c:v>
                </c:pt>
                <c:pt idx="4">
                  <c:v>2,1% - 3%</c:v>
                </c:pt>
                <c:pt idx="5">
                  <c:v>3,1% - 4%</c:v>
                </c:pt>
                <c:pt idx="6">
                  <c:v>&gt; 4%</c:v>
                </c:pt>
              </c:strCache>
            </c:strRef>
          </c:cat>
          <c:val>
            <c:numRef>
              <c:f>'ITEM 7'!$C$147:$C$153</c:f>
              <c:numCache>
                <c:formatCode>#,##0</c:formatCode>
                <c:ptCount val="7"/>
                <c:pt idx="0">
                  <c:v>8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22-45B0-BF5A-54222C47D9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970304"/>
        <c:axId val="214123648"/>
      </c:barChart>
      <c:catAx>
        <c:axId val="2139703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123648"/>
        <c:crosses val="autoZero"/>
        <c:auto val="1"/>
        <c:lblAlgn val="ctr"/>
        <c:lblOffset val="100"/>
        <c:noMultiLvlLbl val="0"/>
      </c:catAx>
      <c:valAx>
        <c:axId val="2141236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3970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CO"/>
              <a:t>RENTABILIDAD SOBRE PATRIMONIO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'ITEM 7'!$B$165:$B$171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0 - 2%</c:v>
                </c:pt>
                <c:pt idx="3">
                  <c:v>2,1% - 4%</c:v>
                </c:pt>
                <c:pt idx="4">
                  <c:v>4,1% - 6%</c:v>
                </c:pt>
                <c:pt idx="5">
                  <c:v>6,1% - 8%</c:v>
                </c:pt>
                <c:pt idx="6">
                  <c:v>&gt; 8%</c:v>
                </c:pt>
              </c:strCache>
            </c:strRef>
          </c:cat>
          <c:val>
            <c:numRef>
              <c:f>'ITEM 7'!$C$165:$C$171</c:f>
              <c:numCache>
                <c:formatCode>#,##0</c:formatCode>
                <c:ptCount val="7"/>
                <c:pt idx="0">
                  <c:v>4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D6-4B59-B547-CE975FA2A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152704"/>
        <c:axId val="214154240"/>
      </c:barChart>
      <c:catAx>
        <c:axId val="214152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14154240"/>
        <c:crosses val="autoZero"/>
        <c:auto val="1"/>
        <c:lblAlgn val="ctr"/>
        <c:lblOffset val="100"/>
        <c:noMultiLvlLbl val="0"/>
      </c:catAx>
      <c:valAx>
        <c:axId val="2141542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Nº DE EMPRESAS</a:t>
                </a:r>
              </a:p>
            </c:rich>
          </c:tx>
          <c:overlay val="0"/>
        </c:title>
        <c:numFmt formatCode="#,##0" sourceLinked="1"/>
        <c:majorTickMark val="none"/>
        <c:minorTickMark val="none"/>
        <c:tickLblPos val="nextTo"/>
        <c:crossAx val="214152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image" Target="../media/image1.png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1.xml"/><Relationship Id="rId3" Type="http://schemas.openxmlformats.org/officeDocument/2006/relationships/chart" Target="../charts/chart16.xml"/><Relationship Id="rId7" Type="http://schemas.openxmlformats.org/officeDocument/2006/relationships/chart" Target="../charts/chart20.xml"/><Relationship Id="rId2" Type="http://schemas.openxmlformats.org/officeDocument/2006/relationships/chart" Target="../charts/chart15.xml"/><Relationship Id="rId1" Type="http://schemas.openxmlformats.org/officeDocument/2006/relationships/image" Target="../media/image1.png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image" Target="../media/image1.png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image" Target="../media/image1.png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image" Target="../media/image1.png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image" Target="../media/image1.png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12" name="11 Gráfic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13" name="12 Gráfic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14" name="13 Gráfic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15" name="14 Gráfic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16" name="15 Gráfic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17" name="16 Gráfic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18" name="17 Gráfic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323850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114299</xdr:colOff>
      <xdr:row>54</xdr:row>
      <xdr:rowOff>38100</xdr:rowOff>
    </xdr:from>
    <xdr:to>
      <xdr:col>9</xdr:col>
      <xdr:colOff>1047750</xdr:colOff>
      <xdr:row>70</xdr:row>
      <xdr:rowOff>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123824</xdr:colOff>
      <xdr:row>72</xdr:row>
      <xdr:rowOff>95250</xdr:rowOff>
    </xdr:from>
    <xdr:to>
      <xdr:col>9</xdr:col>
      <xdr:colOff>1038224</xdr:colOff>
      <xdr:row>88</xdr:row>
      <xdr:rowOff>66675</xdr:rowOff>
    </xdr:to>
    <xdr:graphicFrame macro="">
      <xdr:nvGraphicFramePr>
        <xdr:cNvPr id="4" name="3 Gráfico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85724</xdr:colOff>
      <xdr:row>90</xdr:row>
      <xdr:rowOff>85725</xdr:rowOff>
    </xdr:from>
    <xdr:to>
      <xdr:col>9</xdr:col>
      <xdr:colOff>1019174</xdr:colOff>
      <xdr:row>106</xdr:row>
      <xdr:rowOff>57150</xdr:rowOff>
    </xdr:to>
    <xdr:graphicFrame macro="">
      <xdr:nvGraphicFramePr>
        <xdr:cNvPr id="5" name="4 Gráfico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95250</xdr:colOff>
      <xdr:row>108</xdr:row>
      <xdr:rowOff>38100</xdr:rowOff>
    </xdr:from>
    <xdr:to>
      <xdr:col>9</xdr:col>
      <xdr:colOff>1038225</xdr:colOff>
      <xdr:row>124</xdr:row>
      <xdr:rowOff>19050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114300</xdr:colOff>
      <xdr:row>126</xdr:row>
      <xdr:rowOff>85725</xdr:rowOff>
    </xdr:from>
    <xdr:to>
      <xdr:col>9</xdr:col>
      <xdr:colOff>1019175</xdr:colOff>
      <xdr:row>142</xdr:row>
      <xdr:rowOff>38100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142875</xdr:colOff>
      <xdr:row>144</xdr:row>
      <xdr:rowOff>114299</xdr:rowOff>
    </xdr:from>
    <xdr:to>
      <xdr:col>9</xdr:col>
      <xdr:colOff>990600</xdr:colOff>
      <xdr:row>160</xdr:row>
      <xdr:rowOff>28574</xdr:rowOff>
    </xdr:to>
    <xdr:graphicFrame macro="">
      <xdr:nvGraphicFramePr>
        <xdr:cNvPr id="8" name="7 Gráfico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123825</xdr:colOff>
      <xdr:row>162</xdr:row>
      <xdr:rowOff>85724</xdr:rowOff>
    </xdr:from>
    <xdr:to>
      <xdr:col>9</xdr:col>
      <xdr:colOff>952500</xdr:colOff>
      <xdr:row>177</xdr:row>
      <xdr:rowOff>133349</xdr:rowOff>
    </xdr:to>
    <xdr:graphicFrame macro="">
      <xdr:nvGraphicFramePr>
        <xdr:cNvPr id="9" name="8 Gráfico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J209"/>
  <sheetViews>
    <sheetView tabSelected="1" zoomScaleNormal="100" workbookViewId="0">
      <pane ySplit="11" topLeftCell="A183" activePane="bottomLeft" state="frozen"/>
      <selection pane="bottomLeft" activeCell="A8" sqref="A8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63.75" customHeight="1" thickTop="1" thickBot="1">
      <c r="A8" s="23" t="s">
        <v>13</v>
      </c>
      <c r="B8" s="73" t="s">
        <v>134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3048473765.1818199</v>
      </c>
      <c r="C11" s="24" t="s">
        <v>56</v>
      </c>
      <c r="D11" s="28">
        <v>20</v>
      </c>
      <c r="E11" s="24" t="s">
        <v>89</v>
      </c>
      <c r="F11" s="66">
        <f>MROUND((2.5*($B$11/$D$11)),100000)</f>
        <v>381100000</v>
      </c>
      <c r="G11" s="24" t="s">
        <v>90</v>
      </c>
      <c r="H11" s="66">
        <f>MROUND(($B$11*40%),100000)</f>
        <v>1219400000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3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158</v>
      </c>
      <c r="F185" s="19" t="s">
        <v>53</v>
      </c>
      <c r="G185" s="19" t="s">
        <v>159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COUNTIF(E20:E45,"&gt;=381100")/$B$46</f>
        <v>0.44</v>
      </c>
      <c r="F186" s="52">
        <f>COUNTIF(F20:F45,"&lt;=70%")/$B$46</f>
        <v>0.4</v>
      </c>
      <c r="G186" s="52">
        <f>COUNTIF(G20:G45,"&gt;=1219400")/$B$46</f>
        <v>0.52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0000000}"/>
  <mergeCells count="24">
    <mergeCell ref="C56:D56"/>
    <mergeCell ref="C74:D74"/>
    <mergeCell ref="C92:D92"/>
    <mergeCell ref="B144:J144"/>
    <mergeCell ref="C110:D110"/>
    <mergeCell ref="C128:D128"/>
    <mergeCell ref="B72:J72"/>
    <mergeCell ref="B90:J90"/>
    <mergeCell ref="B185:C185"/>
    <mergeCell ref="B186:C186"/>
    <mergeCell ref="F4:J4"/>
    <mergeCell ref="F3:J3"/>
    <mergeCell ref="A48:A51"/>
    <mergeCell ref="B54:J54"/>
    <mergeCell ref="F5:J5"/>
    <mergeCell ref="B8:F8"/>
    <mergeCell ref="H8:J8"/>
    <mergeCell ref="B162:J162"/>
    <mergeCell ref="C146:D146"/>
    <mergeCell ref="C164:D164"/>
    <mergeCell ref="A10:H10"/>
    <mergeCell ref="A13:J13"/>
    <mergeCell ref="B108:J108"/>
    <mergeCell ref="B126:J126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J209"/>
  <sheetViews>
    <sheetView zoomScaleNormal="100" workbookViewId="0">
      <pane ySplit="11" topLeftCell="A183" activePane="bottomLeft" state="frozen"/>
      <selection pane="bottomLeft" activeCell="D184" sqref="D184:J186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61.5" customHeight="1" thickTop="1" thickBot="1">
      <c r="A8" s="23" t="s">
        <v>13</v>
      </c>
      <c r="B8" s="73" t="s">
        <v>135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962702872.090909</v>
      </c>
      <c r="C11" s="24" t="s">
        <v>56</v>
      </c>
      <c r="D11" s="28">
        <v>20</v>
      </c>
      <c r="E11" s="24" t="s">
        <v>141</v>
      </c>
      <c r="F11" s="66">
        <f>MROUND((2*($B$11/$D$11)),100000)</f>
        <v>96300000</v>
      </c>
      <c r="G11" s="24" t="s">
        <v>142</v>
      </c>
      <c r="H11" s="66">
        <f>MROUND(($B$11*30%),100000)</f>
        <v>288800000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156</v>
      </c>
      <c r="F185" s="19" t="s">
        <v>53</v>
      </c>
      <c r="G185" s="19" t="s">
        <v>157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COUNTIF(E20:E45,"&gt;=96300")/$B$46</f>
        <v>0.48</v>
      </c>
      <c r="F186" s="52">
        <f>COUNTIF(F20:F45,"&lt;=70%")/$B$46</f>
        <v>0.4</v>
      </c>
      <c r="G186" s="52">
        <f>COUNTIF(G20:G45,"&gt;=288800")/$B$46</f>
        <v>0.68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1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J209"/>
  <sheetViews>
    <sheetView zoomScaleNormal="100" workbookViewId="0">
      <pane ySplit="11" topLeftCell="A184" activePane="bottomLeft" state="frozen"/>
      <selection pane="bottomLeft" activeCell="D184" sqref="D184:J186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68.25" customHeight="1" thickTop="1" thickBot="1">
      <c r="A8" s="23" t="s">
        <v>13</v>
      </c>
      <c r="B8" s="73" t="s">
        <v>136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2219302137.8181801</v>
      </c>
      <c r="C11" s="24" t="s">
        <v>56</v>
      </c>
      <c r="D11" s="28">
        <v>20</v>
      </c>
      <c r="E11" s="24" t="s">
        <v>141</v>
      </c>
      <c r="F11" s="66">
        <f>MROUND((2*($B$11/$D$11)),100000)</f>
        <v>221900000</v>
      </c>
      <c r="G11" s="24" t="s">
        <v>143</v>
      </c>
      <c r="H11" s="66">
        <f>MROUND(($B$11*35%),100000)</f>
        <v>776800000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154</v>
      </c>
      <c r="F185" s="19" t="s">
        <v>53</v>
      </c>
      <c r="G185" s="19" t="s">
        <v>155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COUNTIF(E20:E45,"&gt;=221900")/$B$46</f>
        <v>0.48</v>
      </c>
      <c r="F186" s="52">
        <f>COUNTIF(F20:F45,"&lt;=70%")/$B$46</f>
        <v>0.4</v>
      </c>
      <c r="G186" s="52">
        <f>COUNTIF(G20:G45,"&gt;=776800")/$B$46</f>
        <v>0.56000000000000005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2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J209"/>
  <sheetViews>
    <sheetView zoomScaleNormal="100" workbookViewId="0">
      <pane ySplit="11" topLeftCell="A183" activePane="bottomLeft" state="frozen"/>
      <selection pane="bottomLeft" activeCell="D184" sqref="D184:J186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66" customHeight="1" thickTop="1" thickBot="1">
      <c r="A8" s="23" t="s">
        <v>13</v>
      </c>
      <c r="B8" s="73" t="s">
        <v>137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1889588800</v>
      </c>
      <c r="C11" s="24" t="s">
        <v>56</v>
      </c>
      <c r="D11" s="28">
        <v>20</v>
      </c>
      <c r="E11" s="24" t="s">
        <v>141</v>
      </c>
      <c r="F11" s="66">
        <f>MROUND((2*($B$11/$D$11)),100000)</f>
        <v>189000000</v>
      </c>
      <c r="G11" s="24" t="s">
        <v>143</v>
      </c>
      <c r="H11" s="66">
        <f>MROUND(($B$11*35%),100000)</f>
        <v>661400000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152</v>
      </c>
      <c r="F185" s="19" t="s">
        <v>53</v>
      </c>
      <c r="G185" s="19" t="s">
        <v>153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COUNTIF(E20:E45,"&gt;=189000")/$B$46</f>
        <v>0.48</v>
      </c>
      <c r="F186" s="52">
        <f>COUNTIF(F20:F45,"&lt;=70%")/$B$46</f>
        <v>0.4</v>
      </c>
      <c r="G186" s="52">
        <f>COUNTIF(G20:G45,"&gt;=661400")/$B$46</f>
        <v>0.6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3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J209"/>
  <sheetViews>
    <sheetView zoomScaleNormal="100" workbookViewId="0">
      <pane ySplit="11" topLeftCell="A183" activePane="bottomLeft" state="frozen"/>
      <selection pane="bottomLeft" activeCell="D184" sqref="D184:J186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73.5" customHeight="1" thickTop="1" thickBot="1">
      <c r="A8" s="23" t="s">
        <v>13</v>
      </c>
      <c r="B8" s="73" t="s">
        <v>138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2650982349.434</v>
      </c>
      <c r="C11" s="24" t="s">
        <v>56</v>
      </c>
      <c r="D11" s="28">
        <v>20</v>
      </c>
      <c r="E11" s="24" t="s">
        <v>89</v>
      </c>
      <c r="F11" s="66">
        <f>MROUND((2.5*($B$11/$D$11)),100000)</f>
        <v>331400000</v>
      </c>
      <c r="G11" s="24" t="s">
        <v>90</v>
      </c>
      <c r="H11" s="66">
        <f>MROUND(($B$11*40%),100000)</f>
        <v>1060400000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1.5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150</v>
      </c>
      <c r="F185" s="19" t="s">
        <v>53</v>
      </c>
      <c r="G185" s="19" t="s">
        <v>151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COUNTIF(E20:E45,"&gt;=331400")/$B$46</f>
        <v>0.44</v>
      </c>
      <c r="F186" s="52">
        <f>COUNTIF(F20:F45,"&lt;=70%")/$B$46</f>
        <v>0.4</v>
      </c>
      <c r="G186" s="52">
        <f>COUNTIF(G20:G45,"&gt;=1060400")/$B$46</f>
        <v>0.56000000000000005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4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J209"/>
  <sheetViews>
    <sheetView zoomScaleNormal="100" workbookViewId="0">
      <pane ySplit="11" topLeftCell="A183" activePane="bottomLeft" state="frozen"/>
      <selection pane="bottomLeft" activeCell="D184" sqref="D184:J186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73.5" customHeight="1" thickTop="1" thickBot="1">
      <c r="A8" s="23" t="s">
        <v>13</v>
      </c>
      <c r="B8" s="73" t="s">
        <v>139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1703103780</v>
      </c>
      <c r="C11" s="24" t="s">
        <v>56</v>
      </c>
      <c r="D11" s="28">
        <v>20</v>
      </c>
      <c r="E11" s="24" t="s">
        <v>141</v>
      </c>
      <c r="F11" s="66">
        <f>MROUND((2*($B$11/$D$11)),100000)</f>
        <v>170300000</v>
      </c>
      <c r="G11" s="24" t="s">
        <v>143</v>
      </c>
      <c r="H11" s="66">
        <f>MROUND(($B$11*35%),100000)</f>
        <v>596100000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148</v>
      </c>
      <c r="F185" s="19" t="s">
        <v>53</v>
      </c>
      <c r="G185" s="19" t="s">
        <v>149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COUNTIF(E20:E45,"&gt;=170300")/$B$46</f>
        <v>0.48</v>
      </c>
      <c r="F186" s="52">
        <f>COUNTIF(F20:F45,"&lt;=70%")/$B$46</f>
        <v>0.4</v>
      </c>
      <c r="G186" s="52">
        <f>COUNTIF(G20:G45,"&gt;=596100")/$B$46</f>
        <v>0.64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5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J209"/>
  <sheetViews>
    <sheetView zoomScaleNormal="100" workbookViewId="0">
      <pane ySplit="11" topLeftCell="A183" activePane="bottomLeft" state="frozen"/>
      <selection pane="bottomLeft" activeCell="B199" sqref="B199"/>
    </sheetView>
  </sheetViews>
  <sheetFormatPr baseColWidth="10" defaultRowHeight="12"/>
  <cols>
    <col min="1" max="1" width="27.42578125" style="16" customWidth="1"/>
    <col min="2" max="2" width="24.5703125" style="16" customWidth="1"/>
    <col min="3" max="3" width="32.85546875" style="16" customWidth="1"/>
    <col min="4" max="6" width="15.7109375" style="16" customWidth="1"/>
    <col min="7" max="7" width="17.42578125" style="16" bestFit="1" customWidth="1"/>
    <col min="8" max="8" width="16.28515625" style="16" customWidth="1"/>
    <col min="9" max="9" width="15.85546875" style="16" customWidth="1"/>
    <col min="10" max="10" width="16.140625" style="16" customWidth="1"/>
    <col min="11" max="15" width="17.140625" style="16" customWidth="1"/>
    <col min="16" max="16384" width="11.42578125" style="16"/>
  </cols>
  <sheetData>
    <row r="3" spans="1:10">
      <c r="F3" s="70" t="s">
        <v>58</v>
      </c>
      <c r="G3" s="70"/>
      <c r="H3" s="70"/>
      <c r="I3" s="70"/>
      <c r="J3" s="70"/>
    </row>
    <row r="4" spans="1:10">
      <c r="F4" s="70" t="s">
        <v>57</v>
      </c>
      <c r="G4" s="70"/>
      <c r="H4" s="70"/>
      <c r="I4" s="70"/>
      <c r="J4" s="70"/>
    </row>
    <row r="5" spans="1:10">
      <c r="F5" s="70" t="s">
        <v>59</v>
      </c>
      <c r="G5" s="70"/>
      <c r="H5" s="70"/>
      <c r="I5" s="70"/>
      <c r="J5" s="70"/>
    </row>
    <row r="7" spans="1:10" ht="12.75" thickBot="1"/>
    <row r="8" spans="1:10" ht="70.5" customHeight="1" thickTop="1" thickBot="1">
      <c r="A8" s="23" t="s">
        <v>13</v>
      </c>
      <c r="B8" s="73" t="s">
        <v>140</v>
      </c>
      <c r="C8" s="74"/>
      <c r="D8" s="74"/>
      <c r="E8" s="74"/>
      <c r="F8" s="75"/>
      <c r="G8" s="23" t="s">
        <v>16</v>
      </c>
      <c r="H8" s="76" t="s">
        <v>91</v>
      </c>
      <c r="I8" s="77"/>
      <c r="J8" s="78"/>
    </row>
    <row r="9" spans="1:10" s="21" customFormat="1" ht="13.5" customHeight="1" thickTop="1" thickBot="1">
      <c r="A9" s="26"/>
      <c r="B9" s="25"/>
      <c r="C9" s="25"/>
      <c r="D9" s="25"/>
      <c r="E9" s="25"/>
      <c r="F9" s="25"/>
      <c r="G9" s="26"/>
      <c r="H9" s="25"/>
      <c r="I9" s="25"/>
      <c r="J9" s="25"/>
    </row>
    <row r="10" spans="1:10" ht="18" customHeight="1" thickTop="1" thickBot="1">
      <c r="A10" s="82" t="s">
        <v>62</v>
      </c>
      <c r="B10" s="83"/>
      <c r="C10" s="83"/>
      <c r="D10" s="83"/>
      <c r="E10" s="83"/>
      <c r="F10" s="83"/>
      <c r="G10" s="83"/>
      <c r="H10" s="83"/>
      <c r="I10" s="48"/>
    </row>
    <row r="11" spans="1:10" ht="39" customHeight="1" thickTop="1" thickBot="1">
      <c r="A11" s="24" t="s">
        <v>61</v>
      </c>
      <c r="B11" s="27">
        <v>428729736.36363602</v>
      </c>
      <c r="C11" s="24" t="s">
        <v>56</v>
      </c>
      <c r="D11" s="28">
        <v>20</v>
      </c>
      <c r="E11" s="24" t="s">
        <v>144</v>
      </c>
      <c r="F11" s="66">
        <f>MROUND((1.5*($B$11/$D$11)),100000)</f>
        <v>32200000</v>
      </c>
      <c r="G11" s="24" t="s">
        <v>145</v>
      </c>
      <c r="H11" s="66">
        <f>MROUND(($B$11*25%),100000)</f>
        <v>107200000</v>
      </c>
    </row>
    <row r="12" spans="1:10" ht="13.5" thickTop="1" thickBot="1"/>
    <row r="13" spans="1:10" ht="13.5" thickTop="1" thickBot="1">
      <c r="A13" s="84" t="s">
        <v>85</v>
      </c>
      <c r="B13" s="85"/>
      <c r="C13" s="85"/>
      <c r="D13" s="85"/>
      <c r="E13" s="85"/>
      <c r="F13" s="85"/>
      <c r="G13" s="85"/>
      <c r="H13" s="85"/>
      <c r="I13" s="85"/>
      <c r="J13" s="86"/>
    </row>
    <row r="14" spans="1:10" ht="12.75" thickTop="1"/>
    <row r="15" spans="1:10">
      <c r="A15" s="17" t="s">
        <v>60</v>
      </c>
    </row>
    <row r="16" spans="1:10">
      <c r="A16" s="18" t="s">
        <v>49</v>
      </c>
    </row>
    <row r="17" spans="1:10">
      <c r="A17" s="18" t="s">
        <v>48</v>
      </c>
    </row>
    <row r="19" spans="1:10" ht="36">
      <c r="A19" s="11" t="s">
        <v>0</v>
      </c>
      <c r="B19" s="11" t="s">
        <v>1</v>
      </c>
      <c r="C19" s="11" t="s">
        <v>2</v>
      </c>
      <c r="D19" s="12" t="s">
        <v>3</v>
      </c>
      <c r="E19" s="12" t="s">
        <v>4</v>
      </c>
      <c r="F19" s="12" t="s">
        <v>5</v>
      </c>
      <c r="G19" s="12" t="s">
        <v>6</v>
      </c>
      <c r="H19" s="12" t="s">
        <v>7</v>
      </c>
      <c r="I19" s="12" t="s">
        <v>8</v>
      </c>
      <c r="J19" s="12" t="s">
        <v>9</v>
      </c>
    </row>
    <row r="20" spans="1:10" ht="15" customHeight="1">
      <c r="A20" s="63">
        <v>900099310</v>
      </c>
      <c r="B20" s="63" t="s">
        <v>92</v>
      </c>
      <c r="C20" s="63" t="s">
        <v>117</v>
      </c>
      <c r="D20" s="47">
        <v>1.1010910679193686</v>
      </c>
      <c r="E20" s="57">
        <v>3190267</v>
      </c>
      <c r="F20" s="64">
        <v>1.1251438973086512</v>
      </c>
      <c r="G20" s="65">
        <v>-32037850</v>
      </c>
      <c r="H20" s="64">
        <v>-0.12843265667281317</v>
      </c>
      <c r="I20" s="64">
        <v>1.0262798221478657</v>
      </c>
      <c r="J20" s="58">
        <v>-2.5495906556000727</v>
      </c>
    </row>
    <row r="21" spans="1:10" ht="15" customHeight="1">
      <c r="A21" s="63">
        <v>800000755</v>
      </c>
      <c r="B21" s="63" t="s">
        <v>93</v>
      </c>
      <c r="C21" s="63" t="s">
        <v>117</v>
      </c>
      <c r="D21" s="47">
        <v>6.5634630914514558</v>
      </c>
      <c r="E21" s="57">
        <v>6751485</v>
      </c>
      <c r="F21" s="64">
        <v>0.28033039281867772</v>
      </c>
      <c r="G21" s="65">
        <v>26353898</v>
      </c>
      <c r="H21" s="64">
        <v>3.6913808621868605E-2</v>
      </c>
      <c r="I21" s="64">
        <v>5.1292715787243315E-2</v>
      </c>
      <c r="J21" s="58" t="s">
        <v>50</v>
      </c>
    </row>
    <row r="22" spans="1:10" ht="15" customHeight="1">
      <c r="A22" s="63">
        <v>900453688</v>
      </c>
      <c r="B22" s="63" t="s">
        <v>94</v>
      </c>
      <c r="C22" s="63" t="s">
        <v>117</v>
      </c>
      <c r="D22" s="47">
        <v>4.4180420697528735</v>
      </c>
      <c r="E22" s="57">
        <v>97059478</v>
      </c>
      <c r="F22" s="64">
        <v>0.95730115118809034</v>
      </c>
      <c r="G22" s="65">
        <v>22677930</v>
      </c>
      <c r="H22" s="64">
        <v>-1.5950040588508462E-3</v>
      </c>
      <c r="I22" s="64">
        <v>-3.7354732111793271E-2</v>
      </c>
      <c r="J22" s="58">
        <v>-2.7038909271578433E-2</v>
      </c>
    </row>
    <row r="23" spans="1:10" ht="15" customHeight="1">
      <c r="A23" s="63">
        <v>800174909</v>
      </c>
      <c r="B23" s="63" t="s">
        <v>95</v>
      </c>
      <c r="C23" s="63" t="s">
        <v>117</v>
      </c>
      <c r="D23" s="47">
        <v>1.8951768115942029</v>
      </c>
      <c r="E23" s="57">
        <v>849299</v>
      </c>
      <c r="F23" s="64">
        <v>0.6164233287678742</v>
      </c>
      <c r="G23" s="65">
        <v>1070658</v>
      </c>
      <c r="H23" s="64">
        <v>0.16258599644818503</v>
      </c>
      <c r="I23" s="64">
        <v>0.42386831275720166</v>
      </c>
      <c r="J23" s="58">
        <v>4.132794215410394</v>
      </c>
    </row>
    <row r="24" spans="1:10" ht="15" customHeight="1">
      <c r="A24" s="63">
        <v>830502328</v>
      </c>
      <c r="B24" s="63" t="s">
        <v>96</v>
      </c>
      <c r="C24" s="63" t="s">
        <v>117</v>
      </c>
      <c r="D24" s="47">
        <v>0.31630625320510886</v>
      </c>
      <c r="E24" s="57">
        <v>-9281814</v>
      </c>
      <c r="F24" s="64">
        <v>0.87927919718703351</v>
      </c>
      <c r="G24" s="65">
        <v>2249545</v>
      </c>
      <c r="H24" s="64">
        <v>2.0714405999524104E-2</v>
      </c>
      <c r="I24" s="64">
        <v>0.17158936584953846</v>
      </c>
      <c r="J24" s="58" t="s">
        <v>50</v>
      </c>
    </row>
    <row r="25" spans="1:10" ht="15" customHeight="1">
      <c r="A25" s="63">
        <v>900757722</v>
      </c>
      <c r="B25" s="63" t="s">
        <v>97</v>
      </c>
      <c r="C25" s="63" t="s">
        <v>117</v>
      </c>
      <c r="D25" s="47">
        <v>1.2411976294756355</v>
      </c>
      <c r="E25" s="57">
        <v>381476</v>
      </c>
      <c r="F25" s="64">
        <v>0.42459465607509578</v>
      </c>
      <c r="G25" s="65">
        <v>12913100</v>
      </c>
      <c r="H25" s="64">
        <v>6.5229285868812784E-2</v>
      </c>
      <c r="I25" s="64">
        <v>0.11336232198310243</v>
      </c>
      <c r="J25" s="58">
        <v>2.0973003253707523</v>
      </c>
    </row>
    <row r="26" spans="1:10" ht="15" customHeight="1">
      <c r="A26" s="63">
        <v>826002829</v>
      </c>
      <c r="B26" s="63" t="s">
        <v>98</v>
      </c>
      <c r="C26" s="63" t="s">
        <v>117</v>
      </c>
      <c r="D26" s="47">
        <v>1.1680143136073629</v>
      </c>
      <c r="E26" s="57">
        <v>46295</v>
      </c>
      <c r="F26" s="64">
        <v>0.83902864254193099</v>
      </c>
      <c r="G26" s="65">
        <v>82912</v>
      </c>
      <c r="H26" s="64">
        <v>4.0697143899990872E-2</v>
      </c>
      <c r="I26" s="64">
        <v>0.25282226939405633</v>
      </c>
      <c r="J26" s="58">
        <v>5.8341219037016421</v>
      </c>
    </row>
    <row r="27" spans="1:10" ht="15" customHeight="1">
      <c r="A27" s="63">
        <v>890912350</v>
      </c>
      <c r="B27" s="63" t="s">
        <v>99</v>
      </c>
      <c r="C27" s="63" t="s">
        <v>117</v>
      </c>
      <c r="D27" s="47">
        <v>1.5568384989274486</v>
      </c>
      <c r="E27" s="57">
        <v>579915</v>
      </c>
      <c r="F27" s="64">
        <v>0.61151808666698615</v>
      </c>
      <c r="G27" s="65">
        <v>753942</v>
      </c>
      <c r="H27" s="64">
        <v>5.4760068200824533E-2</v>
      </c>
      <c r="I27" s="64">
        <v>0.1409591188712129</v>
      </c>
      <c r="J27" s="58" t="s">
        <v>50</v>
      </c>
    </row>
    <row r="28" spans="1:10" ht="15" customHeight="1">
      <c r="A28" s="63">
        <v>900379933</v>
      </c>
      <c r="B28" s="63" t="s">
        <v>100</v>
      </c>
      <c r="C28" s="63" t="s">
        <v>117</v>
      </c>
      <c r="D28" s="47">
        <v>4.1624773430949929E-3</v>
      </c>
      <c r="E28" s="57">
        <v>-5186996</v>
      </c>
      <c r="F28" s="64">
        <v>904.55716987223832</v>
      </c>
      <c r="G28" s="65">
        <v>-19590023</v>
      </c>
      <c r="H28" s="64">
        <v>-19.645865043125315</v>
      </c>
      <c r="I28" s="64">
        <v>2.1742802445918516E-2</v>
      </c>
      <c r="J28" s="58" t="s">
        <v>50</v>
      </c>
    </row>
    <row r="29" spans="1:10" ht="15" customHeight="1">
      <c r="A29" s="63">
        <v>800029156</v>
      </c>
      <c r="B29" s="63" t="s">
        <v>101</v>
      </c>
      <c r="C29" s="63" t="s">
        <v>117</v>
      </c>
      <c r="D29" s="47">
        <v>1.2476893658453294</v>
      </c>
      <c r="E29" s="57">
        <v>881977</v>
      </c>
      <c r="F29" s="64">
        <v>0.82117485307467464</v>
      </c>
      <c r="G29" s="65">
        <v>3351785</v>
      </c>
      <c r="H29" s="64">
        <v>7.3334590667150742E-2</v>
      </c>
      <c r="I29" s="64">
        <v>0.41009104104231031</v>
      </c>
      <c r="J29" s="58">
        <v>1.176474062205515</v>
      </c>
    </row>
    <row r="30" spans="1:10" ht="15" customHeight="1">
      <c r="A30" s="63">
        <v>900627926</v>
      </c>
      <c r="B30" s="63" t="s">
        <v>102</v>
      </c>
      <c r="C30" s="63" t="s">
        <v>117</v>
      </c>
      <c r="D30" s="47">
        <v>0.18714137588082189</v>
      </c>
      <c r="E30" s="57">
        <v>-5761989</v>
      </c>
      <c r="F30" s="64">
        <v>5.3329045071884806</v>
      </c>
      <c r="G30" s="65">
        <v>-5759340</v>
      </c>
      <c r="H30" s="64">
        <v>-0.80275201059275814</v>
      </c>
      <c r="I30" s="64">
        <v>0.18526879816090039</v>
      </c>
      <c r="J30" s="58" t="s">
        <v>50</v>
      </c>
    </row>
    <row r="31" spans="1:10" ht="15" customHeight="1">
      <c r="A31" s="63">
        <v>900480780</v>
      </c>
      <c r="B31" s="63" t="s">
        <v>103</v>
      </c>
      <c r="C31" s="63" t="s">
        <v>117</v>
      </c>
      <c r="D31" s="47">
        <v>33.636784338602567</v>
      </c>
      <c r="E31" s="57">
        <v>22842877</v>
      </c>
      <c r="F31" s="64">
        <v>0.11972826468334877</v>
      </c>
      <c r="G31" s="65">
        <v>22893161</v>
      </c>
      <c r="H31" s="64">
        <v>4.3229524443970213E-2</v>
      </c>
      <c r="I31" s="64">
        <v>4.9109295129667767E-2</v>
      </c>
      <c r="J31" s="58" t="s">
        <v>50</v>
      </c>
    </row>
    <row r="32" spans="1:10" ht="15" customHeight="1">
      <c r="A32" s="63">
        <v>900607894</v>
      </c>
      <c r="B32" s="63" t="s">
        <v>104</v>
      </c>
      <c r="C32" s="63" t="s">
        <v>117</v>
      </c>
      <c r="D32" s="47">
        <v>0.57036330529784096</v>
      </c>
      <c r="E32" s="57">
        <v>-9910</v>
      </c>
      <c r="F32" s="64">
        <v>3.8097306556008417E-2</v>
      </c>
      <c r="G32" s="65">
        <v>624473</v>
      </c>
      <c r="H32" s="64">
        <v>2.2966516021108861E-2</v>
      </c>
      <c r="I32" s="64">
        <v>2.3876132354801568E-2</v>
      </c>
      <c r="J32" s="58">
        <v>73.088235294117652</v>
      </c>
    </row>
    <row r="33" spans="1:10" ht="15" customHeight="1">
      <c r="A33" s="63">
        <v>900548173</v>
      </c>
      <c r="B33" s="63" t="s">
        <v>105</v>
      </c>
      <c r="C33" s="63" t="s">
        <v>117</v>
      </c>
      <c r="D33" s="47">
        <v>1.1677803237340472</v>
      </c>
      <c r="E33" s="57">
        <v>1992691</v>
      </c>
      <c r="F33" s="64">
        <v>0.78713697671395133</v>
      </c>
      <c r="G33" s="65">
        <v>9977666</v>
      </c>
      <c r="H33" s="64">
        <v>0.1124758462356438</v>
      </c>
      <c r="I33" s="64">
        <v>0.5283954183272922</v>
      </c>
      <c r="J33" s="58">
        <v>1.960924360058707</v>
      </c>
    </row>
    <row r="34" spans="1:10" ht="15" customHeight="1">
      <c r="A34" s="63">
        <v>890702273</v>
      </c>
      <c r="B34" s="63" t="s">
        <v>106</v>
      </c>
      <c r="C34" s="63" t="s">
        <v>117</v>
      </c>
      <c r="D34" s="47">
        <v>2.4305584691441569</v>
      </c>
      <c r="E34" s="57">
        <v>1902607</v>
      </c>
      <c r="F34" s="64">
        <v>0.62099946927932304</v>
      </c>
      <c r="G34" s="65">
        <v>4067652</v>
      </c>
      <c r="H34" s="64">
        <v>2.1014153545243937E-2</v>
      </c>
      <c r="I34" s="64">
        <v>5.5446237780419759E-2</v>
      </c>
      <c r="J34" s="58" t="s">
        <v>50</v>
      </c>
    </row>
    <row r="35" spans="1:10" ht="15" customHeight="1">
      <c r="A35" s="63">
        <v>900304875</v>
      </c>
      <c r="B35" s="63" t="s">
        <v>107</v>
      </c>
      <c r="C35" s="63" t="s">
        <v>117</v>
      </c>
      <c r="D35" s="47">
        <v>1.6672551874372776</v>
      </c>
      <c r="E35" s="57">
        <v>303854</v>
      </c>
      <c r="F35" s="64">
        <v>2.0796011322327113</v>
      </c>
      <c r="G35" s="65">
        <v>-1127055</v>
      </c>
      <c r="H35" s="64">
        <v>0.12487511434879855</v>
      </c>
      <c r="I35" s="64">
        <v>-0.11566782455159685</v>
      </c>
      <c r="J35" s="58">
        <v>2.139745588838736</v>
      </c>
    </row>
    <row r="36" spans="1:10" ht="15" customHeight="1">
      <c r="A36" s="63">
        <v>900360380</v>
      </c>
      <c r="B36" s="63" t="s">
        <v>108</v>
      </c>
      <c r="C36" s="63" t="s">
        <v>117</v>
      </c>
      <c r="D36" s="47">
        <v>0.46042802342014938</v>
      </c>
      <c r="E36" s="57">
        <v>-5345</v>
      </c>
      <c r="F36" s="64">
        <v>0.97772651891238549</v>
      </c>
      <c r="G36" s="65">
        <v>370219</v>
      </c>
      <c r="H36" s="64">
        <v>0</v>
      </c>
      <c r="I36" s="64">
        <v>0</v>
      </c>
      <c r="J36" s="58" t="s">
        <v>50</v>
      </c>
    </row>
    <row r="37" spans="1:10" ht="15" customHeight="1">
      <c r="A37" s="63">
        <v>900470772</v>
      </c>
      <c r="B37" s="63" t="s">
        <v>109</v>
      </c>
      <c r="C37" s="63" t="s">
        <v>117</v>
      </c>
      <c r="D37" s="47">
        <v>4.4814300070817517</v>
      </c>
      <c r="E37" s="57">
        <v>2885726</v>
      </c>
      <c r="F37" s="64">
        <v>0.53201407629048347</v>
      </c>
      <c r="G37" s="65">
        <v>3108538</v>
      </c>
      <c r="H37" s="64">
        <v>8.6589209431867362E-2</v>
      </c>
      <c r="I37" s="64">
        <v>0.18502524337807677</v>
      </c>
      <c r="J37" s="58" t="s">
        <v>50</v>
      </c>
    </row>
    <row r="38" spans="1:10" ht="15" customHeight="1">
      <c r="A38" s="63">
        <v>900700087</v>
      </c>
      <c r="B38" s="63" t="s">
        <v>110</v>
      </c>
      <c r="C38" s="63" t="s">
        <v>117</v>
      </c>
      <c r="D38" s="47">
        <v>0.33599760999697226</v>
      </c>
      <c r="E38" s="57">
        <v>-660112</v>
      </c>
      <c r="F38" s="64">
        <v>0.95348264254049964</v>
      </c>
      <c r="G38" s="65">
        <v>167286</v>
      </c>
      <c r="H38" s="64">
        <v>5.330895949787081E-2</v>
      </c>
      <c r="I38" s="64">
        <v>1.146001458579917</v>
      </c>
      <c r="J38" s="58" t="s">
        <v>50</v>
      </c>
    </row>
    <row r="39" spans="1:10" ht="15" customHeight="1">
      <c r="A39" s="63">
        <v>900049998</v>
      </c>
      <c r="B39" s="63" t="s">
        <v>111</v>
      </c>
      <c r="C39" s="63" t="s">
        <v>117</v>
      </c>
      <c r="D39" s="47">
        <v>0.16458111681818202</v>
      </c>
      <c r="E39" s="57">
        <v>-3883707</v>
      </c>
      <c r="F39" s="64">
        <v>0.54725126967562843</v>
      </c>
      <c r="G39" s="65">
        <v>5263568</v>
      </c>
      <c r="H39" s="64">
        <v>1.0700163188713658E-2</v>
      </c>
      <c r="I39" s="64">
        <v>2.3633778455982711E-2</v>
      </c>
      <c r="J39" s="58" t="s">
        <v>50</v>
      </c>
    </row>
    <row r="40" spans="1:10" ht="15" customHeight="1">
      <c r="A40" s="63">
        <v>900394791</v>
      </c>
      <c r="B40" s="63" t="s">
        <v>112</v>
      </c>
      <c r="C40" s="63" t="s">
        <v>117</v>
      </c>
      <c r="D40" s="47">
        <v>0.72642480279431176</v>
      </c>
      <c r="E40" s="57">
        <v>-14373451</v>
      </c>
      <c r="F40" s="64">
        <v>1.1774681606334385</v>
      </c>
      <c r="G40" s="65">
        <v>-83807857</v>
      </c>
      <c r="H40" s="64">
        <v>-5.1248558868113393E-2</v>
      </c>
      <c r="I40" s="64">
        <v>0.28877607501645103</v>
      </c>
      <c r="J40" s="58">
        <v>-1.017830461234829</v>
      </c>
    </row>
    <row r="41" spans="1:10" ht="15" customHeight="1">
      <c r="A41" s="63">
        <v>900394177</v>
      </c>
      <c r="B41" s="63" t="s">
        <v>113</v>
      </c>
      <c r="C41" s="63" t="s">
        <v>117</v>
      </c>
      <c r="D41" s="47">
        <v>0.22848549614544292</v>
      </c>
      <c r="E41" s="57">
        <v>-68433794</v>
      </c>
      <c r="F41" s="64">
        <v>1.4197342448685031</v>
      </c>
      <c r="G41" s="65">
        <v>-112064305</v>
      </c>
      <c r="H41" s="64">
        <v>-0.20281244400629359</v>
      </c>
      <c r="I41" s="64">
        <v>0.48319251165658861</v>
      </c>
      <c r="J41" s="58">
        <v>-81.136133836794627</v>
      </c>
    </row>
    <row r="42" spans="1:10" ht="15" customHeight="1">
      <c r="A42" s="63">
        <v>860062719</v>
      </c>
      <c r="B42" s="63" t="s">
        <v>114</v>
      </c>
      <c r="C42" s="63" t="s">
        <v>117</v>
      </c>
      <c r="D42" s="47">
        <v>4.1360713070058394E-5</v>
      </c>
      <c r="E42" s="57">
        <v>-24635887</v>
      </c>
      <c r="F42" s="64">
        <v>0.91045278925255668</v>
      </c>
      <c r="G42" s="65">
        <v>2492001</v>
      </c>
      <c r="H42" s="64">
        <v>-5.0167978210570757E-2</v>
      </c>
      <c r="I42" s="64">
        <v>-0.56024054564986125</v>
      </c>
      <c r="J42" s="58">
        <v>-12.662760534765178</v>
      </c>
    </row>
    <row r="43" spans="1:10" ht="15" customHeight="1">
      <c r="A43" s="63">
        <v>860004763</v>
      </c>
      <c r="B43" s="63" t="s">
        <v>115</v>
      </c>
      <c r="C43" s="63" t="s">
        <v>117</v>
      </c>
      <c r="D43" s="47">
        <v>0.93877739819653361</v>
      </c>
      <c r="E43" s="57">
        <v>-383834</v>
      </c>
      <c r="F43" s="64">
        <v>0.72362186882793489</v>
      </c>
      <c r="G43" s="65">
        <v>3605539</v>
      </c>
      <c r="H43" s="64">
        <v>0.1081724869102202</v>
      </c>
      <c r="I43" s="64">
        <v>0.39139307604216733</v>
      </c>
      <c r="J43" s="58">
        <v>2.9478377667018996</v>
      </c>
    </row>
    <row r="44" spans="1:10" ht="15" customHeight="1">
      <c r="A44" s="63">
        <v>800064541</v>
      </c>
      <c r="B44" s="63" t="s">
        <v>116</v>
      </c>
      <c r="C44" s="63" t="s">
        <v>117</v>
      </c>
      <c r="D44" s="47">
        <v>0.90177257978695657</v>
      </c>
      <c r="E44" s="57">
        <v>-9415</v>
      </c>
      <c r="F44" s="64">
        <v>0.51956029963909567</v>
      </c>
      <c r="G44" s="65">
        <v>4674280</v>
      </c>
      <c r="H44" s="64">
        <v>-1.2867283348190714E-2</v>
      </c>
      <c r="I44" s="64">
        <v>-2.6782306579836896E-2</v>
      </c>
      <c r="J44" s="58">
        <v>-0.49721580122171122</v>
      </c>
    </row>
    <row r="45" spans="1:10" ht="15" customHeight="1" thickBot="1">
      <c r="A45" s="63"/>
      <c r="B45" s="63"/>
      <c r="C45" s="63"/>
      <c r="D45" s="47"/>
      <c r="E45" s="57"/>
      <c r="F45" s="64"/>
      <c r="G45" s="65"/>
      <c r="H45" s="64"/>
      <c r="I45" s="64"/>
      <c r="J45" s="58"/>
    </row>
    <row r="46" spans="1:10" ht="40.5" customHeight="1" thickTop="1" thickBot="1">
      <c r="A46" s="31" t="s">
        <v>46</v>
      </c>
      <c r="B46" s="29">
        <f>COUNTA(B20:B45)</f>
        <v>25</v>
      </c>
    </row>
    <row r="47" spans="1:10" ht="12.75" thickTop="1"/>
    <row r="48" spans="1:10" ht="15.75" customHeight="1">
      <c r="A48" s="71" t="s">
        <v>63</v>
      </c>
      <c r="B48" s="15" t="s">
        <v>51</v>
      </c>
      <c r="D48" s="13">
        <f t="shared" ref="D48:J48" si="0">SUBTOTAL(1,D20:D45)</f>
        <v>2.696392118966878</v>
      </c>
      <c r="E48" s="13">
        <f t="shared" si="0"/>
        <v>281667.71999999997</v>
      </c>
      <c r="F48" s="13">
        <f t="shared" si="0"/>
        <v>37.114069744206468</v>
      </c>
      <c r="G48" s="13">
        <f t="shared" si="0"/>
        <v>-5107531.08</v>
      </c>
      <c r="H48" s="13">
        <f t="shared" si="0"/>
        <v>-0.79432694822212435</v>
      </c>
      <c r="I48" s="13">
        <f t="shared" si="0"/>
        <v>0.20928321545070502</v>
      </c>
      <c r="J48" s="13">
        <f t="shared" si="0"/>
        <v>-0.32236690589162115</v>
      </c>
    </row>
    <row r="49" spans="1:10">
      <c r="A49" s="71"/>
      <c r="B49" s="15" t="s">
        <v>10</v>
      </c>
      <c r="D49" s="13">
        <f t="shared" ref="D49:J49" si="1">SUBTOTAL(7,D20:D45)</f>
        <v>6.6369502195082806</v>
      </c>
      <c r="E49" s="13">
        <f t="shared" si="1"/>
        <v>25554468.819244366</v>
      </c>
      <c r="F49" s="13">
        <f t="shared" si="1"/>
        <v>180.72007862532561</v>
      </c>
      <c r="G49" s="13">
        <f t="shared" si="1"/>
        <v>30610037.9737239</v>
      </c>
      <c r="H49" s="13">
        <f t="shared" si="1"/>
        <v>3.9316516471763174</v>
      </c>
      <c r="I49" s="13">
        <f t="shared" si="1"/>
        <v>0.34775468946202004</v>
      </c>
      <c r="J49" s="13">
        <f t="shared" si="1"/>
        <v>30.59116328687514</v>
      </c>
    </row>
    <row r="50" spans="1:10">
      <c r="A50" s="71"/>
      <c r="B50" s="15" t="s">
        <v>11</v>
      </c>
      <c r="D50" s="13">
        <f t="shared" ref="D50:J50" si="2">SUBTOTAL(5,D20:D45)</f>
        <v>4.1360713070058394E-5</v>
      </c>
      <c r="E50" s="13">
        <f t="shared" si="2"/>
        <v>-68433794</v>
      </c>
      <c r="F50" s="13">
        <f t="shared" si="2"/>
        <v>3.8097306556008417E-2</v>
      </c>
      <c r="G50" s="13">
        <f t="shared" si="2"/>
        <v>-112064305</v>
      </c>
      <c r="H50" s="13">
        <f t="shared" si="2"/>
        <v>-19.645865043125315</v>
      </c>
      <c r="I50" s="13">
        <f t="shared" si="2"/>
        <v>-0.56024054564986125</v>
      </c>
      <c r="J50" s="13">
        <f t="shared" si="2"/>
        <v>-81.136133836794627</v>
      </c>
    </row>
    <row r="51" spans="1:10">
      <c r="A51" s="71"/>
      <c r="B51" s="15" t="s">
        <v>12</v>
      </c>
      <c r="D51" s="13">
        <f t="shared" ref="D51:J51" si="3">SUBTOTAL(4,D20:D45)</f>
        <v>33.636784338602567</v>
      </c>
      <c r="E51" s="13">
        <f t="shared" si="3"/>
        <v>97059478</v>
      </c>
      <c r="F51" s="13">
        <f t="shared" si="3"/>
        <v>904.55716987223832</v>
      </c>
      <c r="G51" s="13">
        <f t="shared" si="3"/>
        <v>26353898</v>
      </c>
      <c r="H51" s="13">
        <f t="shared" si="3"/>
        <v>0.16258599644818503</v>
      </c>
      <c r="I51" s="13">
        <f t="shared" si="3"/>
        <v>1.146001458579917</v>
      </c>
      <c r="J51" s="13">
        <f t="shared" si="3"/>
        <v>73.088235294117652</v>
      </c>
    </row>
    <row r="54" spans="1:10" ht="36">
      <c r="A54" s="32" t="s">
        <v>82</v>
      </c>
      <c r="B54" s="72" t="s">
        <v>70</v>
      </c>
      <c r="C54" s="72"/>
      <c r="D54" s="72"/>
      <c r="E54" s="72"/>
      <c r="F54" s="72"/>
      <c r="G54" s="72"/>
      <c r="H54" s="72"/>
      <c r="I54" s="72"/>
      <c r="J54" s="72"/>
    </row>
    <row r="55" spans="1:10">
      <c r="B55" s="14"/>
      <c r="D55" s="21"/>
    </row>
    <row r="56" spans="1:10" ht="24">
      <c r="B56" s="54" t="s">
        <v>64</v>
      </c>
      <c r="C56" s="87" t="s">
        <v>15</v>
      </c>
      <c r="D56" s="87"/>
      <c r="E56" s="38"/>
    </row>
    <row r="57" spans="1:10">
      <c r="B57" s="2" t="s">
        <v>72</v>
      </c>
      <c r="C57" s="3">
        <f>COUNTIF(D20:D45,"&gt;=0")-COUNTIF(D20:D45,"&gt;1")</f>
        <v>12</v>
      </c>
      <c r="D57" s="4">
        <f>+C57/$B$46</f>
        <v>0.48</v>
      </c>
      <c r="E57" s="36"/>
      <c r="G57" s="22"/>
    </row>
    <row r="58" spans="1:10">
      <c r="B58" s="2" t="s">
        <v>73</v>
      </c>
      <c r="C58" s="3">
        <f>COUNTIF(D20:D45,"&gt;=1")-COUNTIF(D20:D45,"&gt;2")</f>
        <v>8</v>
      </c>
      <c r="D58" s="4">
        <f t="shared" ref="D58:D64" si="4">+C58/$B$46</f>
        <v>0.32</v>
      </c>
      <c r="E58" s="36"/>
    </row>
    <row r="59" spans="1:10">
      <c r="B59" s="2" t="s">
        <v>27</v>
      </c>
      <c r="C59" s="3">
        <f>COUNTIF(D20:D45,"&gt;=2")-COUNTIF(D20:D45,"&gt;5")</f>
        <v>3</v>
      </c>
      <c r="D59" s="4">
        <f t="shared" si="4"/>
        <v>0.12</v>
      </c>
      <c r="E59" s="36"/>
    </row>
    <row r="60" spans="1:10">
      <c r="B60" s="5" t="s">
        <v>21</v>
      </c>
      <c r="C60" s="3">
        <f>COUNTIF(D20:D45,"&gt;=5")-COUNTIF(D20:D45,"&gt;10")</f>
        <v>1</v>
      </c>
      <c r="D60" s="4">
        <f t="shared" si="4"/>
        <v>0.04</v>
      </c>
      <c r="E60" s="36"/>
    </row>
    <row r="61" spans="1:10">
      <c r="B61" s="2" t="s">
        <v>28</v>
      </c>
      <c r="C61" s="3">
        <f>COUNTIF(D20:D45,"&gt;=10")-COUNTIF(D20:D45,"&gt;20")</f>
        <v>0</v>
      </c>
      <c r="D61" s="4">
        <f t="shared" si="4"/>
        <v>0</v>
      </c>
      <c r="E61" s="36"/>
    </row>
    <row r="62" spans="1:10">
      <c r="B62" s="2" t="s">
        <v>22</v>
      </c>
      <c r="C62" s="3">
        <f>COUNTIF(D20:D45,"&gt;=20")-COUNTIF(D20:D45,"&gt;30")</f>
        <v>0</v>
      </c>
      <c r="D62" s="4">
        <f t="shared" si="4"/>
        <v>0</v>
      </c>
      <c r="E62" s="36"/>
    </row>
    <row r="63" spans="1:10">
      <c r="B63" s="2" t="s">
        <v>23</v>
      </c>
      <c r="C63" s="3">
        <f>COUNTIF(D20:D45,"&gt;=30")-COUNTIF(D20:D45,"&gt;50")</f>
        <v>1</v>
      </c>
      <c r="D63" s="4">
        <f t="shared" si="4"/>
        <v>0.04</v>
      </c>
      <c r="E63" s="36"/>
    </row>
    <row r="64" spans="1:10">
      <c r="B64" s="2" t="s">
        <v>24</v>
      </c>
      <c r="C64" s="3">
        <f>COUNTIF(D20:D45,"&gt;50")</f>
        <v>0</v>
      </c>
      <c r="D64" s="4">
        <f t="shared" si="4"/>
        <v>0</v>
      </c>
      <c r="E64" s="36"/>
    </row>
    <row r="65" spans="2:10">
      <c r="B65" s="34" t="s">
        <v>14</v>
      </c>
      <c r="C65" s="6">
        <f>SUM(C57:C64)</f>
        <v>25</v>
      </c>
      <c r="D65" s="7">
        <f>SUM(D57:D64)</f>
        <v>1</v>
      </c>
      <c r="E65" s="37"/>
    </row>
    <row r="66" spans="2:10">
      <c r="B66" s="55"/>
      <c r="C66" s="56"/>
      <c r="D66" s="8"/>
      <c r="E66" s="8"/>
    </row>
    <row r="67" spans="2:10">
      <c r="B67" s="55"/>
      <c r="C67" s="56"/>
      <c r="D67" s="8"/>
      <c r="E67" s="8"/>
    </row>
    <row r="68" spans="2:10">
      <c r="B68" s="55"/>
      <c r="C68" s="56"/>
      <c r="D68" s="8"/>
      <c r="E68" s="8"/>
    </row>
    <row r="72" spans="2:10" ht="36" customHeight="1">
      <c r="B72" s="72" t="s">
        <v>69</v>
      </c>
      <c r="C72" s="72"/>
      <c r="D72" s="72"/>
      <c r="E72" s="72"/>
      <c r="F72" s="72"/>
      <c r="G72" s="72"/>
      <c r="H72" s="72"/>
      <c r="I72" s="72"/>
      <c r="J72" s="72"/>
    </row>
    <row r="74" spans="2:10">
      <c r="B74" s="35" t="s">
        <v>20</v>
      </c>
      <c r="C74" s="88" t="s">
        <v>15</v>
      </c>
      <c r="D74" s="89"/>
      <c r="E74" s="39"/>
    </row>
    <row r="75" spans="2:10">
      <c r="B75" s="2" t="s">
        <v>29</v>
      </c>
      <c r="C75" s="3">
        <f>COUNTIF(E20:E45,"&lt;0")</f>
        <v>12</v>
      </c>
      <c r="D75" s="4">
        <f>+C75/$B$46</f>
        <v>0.48</v>
      </c>
      <c r="E75" s="36"/>
    </row>
    <row r="76" spans="2:10">
      <c r="B76" s="2" t="s">
        <v>30</v>
      </c>
      <c r="C76" s="3">
        <f>COUNTIF(E20:E45,"=0")</f>
        <v>0</v>
      </c>
      <c r="D76" s="4">
        <f>+C76/$B$46</f>
        <v>0</v>
      </c>
      <c r="E76" s="36"/>
    </row>
    <row r="77" spans="2:10">
      <c r="B77" s="2" t="s">
        <v>31</v>
      </c>
      <c r="C77" s="3">
        <f>COUNTIF(E20:E45,"&gt;0")</f>
        <v>13</v>
      </c>
      <c r="D77" s="4">
        <f>+C77/$B$46</f>
        <v>0.52</v>
      </c>
      <c r="E77" s="36"/>
    </row>
    <row r="78" spans="2:10">
      <c r="B78" s="34" t="s">
        <v>14</v>
      </c>
      <c r="C78" s="6">
        <f>SUM(C75:C77)</f>
        <v>25</v>
      </c>
      <c r="D78" s="7">
        <f>SUM(D75:D77)</f>
        <v>1</v>
      </c>
      <c r="E78" s="37"/>
    </row>
    <row r="79" spans="2:10">
      <c r="B79" s="55"/>
      <c r="C79" s="56"/>
      <c r="D79" s="8"/>
      <c r="E79" s="8"/>
    </row>
    <row r="80" spans="2:10">
      <c r="B80" s="55"/>
      <c r="C80" s="56"/>
      <c r="D80" s="8"/>
      <c r="E80" s="8"/>
    </row>
    <row r="81" spans="2:10">
      <c r="B81" s="55"/>
      <c r="C81" s="56"/>
      <c r="D81" s="8"/>
      <c r="E81" s="8"/>
    </row>
    <row r="82" spans="2:10">
      <c r="B82" s="55"/>
      <c r="C82" s="56"/>
      <c r="D82" s="8"/>
      <c r="E82" s="8"/>
    </row>
    <row r="83" spans="2:10">
      <c r="B83" s="55"/>
      <c r="C83" s="56"/>
      <c r="D83" s="8"/>
      <c r="E83" s="8"/>
    </row>
    <row r="84" spans="2:10">
      <c r="B84" s="55"/>
      <c r="C84" s="56"/>
      <c r="D84" s="8"/>
      <c r="E84" s="8"/>
    </row>
    <row r="85" spans="2:10">
      <c r="B85" s="55"/>
      <c r="C85" s="56"/>
      <c r="D85" s="8"/>
      <c r="E85" s="8"/>
    </row>
    <row r="90" spans="2:10" ht="36" customHeight="1">
      <c r="B90" s="72" t="s">
        <v>68</v>
      </c>
      <c r="C90" s="72"/>
      <c r="D90" s="72"/>
      <c r="E90" s="72"/>
      <c r="F90" s="72"/>
      <c r="G90" s="72"/>
      <c r="H90" s="72"/>
      <c r="I90" s="72"/>
      <c r="J90" s="72"/>
    </row>
    <row r="92" spans="2:10">
      <c r="B92" s="35" t="s">
        <v>20</v>
      </c>
      <c r="C92" s="88" t="s">
        <v>15</v>
      </c>
      <c r="D92" s="89"/>
      <c r="E92" s="42"/>
    </row>
    <row r="93" spans="2:10">
      <c r="B93" s="2" t="s">
        <v>32</v>
      </c>
      <c r="C93" s="3">
        <f>COUNTIF(F20:F45,"&gt;=0")-COUNTIF(F20:F45,"&gt;15%")</f>
        <v>2</v>
      </c>
      <c r="D93" s="40">
        <f t="shared" ref="D93:D99" si="5">+C93/$B$46</f>
        <v>0.08</v>
      </c>
      <c r="E93" s="36"/>
      <c r="F93" s="9"/>
    </row>
    <row r="94" spans="2:10">
      <c r="B94" s="2" t="s">
        <v>33</v>
      </c>
      <c r="C94" s="3">
        <f>COUNTIF(F20:F45,"&gt;15%")-COUNTIF(F20:F45,"&gt;30%")</f>
        <v>1</v>
      </c>
      <c r="D94" s="40">
        <f t="shared" si="5"/>
        <v>0.04</v>
      </c>
      <c r="E94" s="36"/>
      <c r="F94" s="9"/>
    </row>
    <row r="95" spans="2:10">
      <c r="B95" s="2" t="s">
        <v>34</v>
      </c>
      <c r="C95" s="3">
        <f>COUNTIF(F20:F45,"&gt;30%")-COUNTIF(F20:F45,"&gt;45%")</f>
        <v>1</v>
      </c>
      <c r="D95" s="40">
        <f t="shared" si="5"/>
        <v>0.04</v>
      </c>
      <c r="E95" s="36"/>
      <c r="F95" s="9"/>
    </row>
    <row r="96" spans="2:10">
      <c r="B96" s="2" t="s">
        <v>35</v>
      </c>
      <c r="C96" s="3">
        <f>COUNTIF(F20:F45,"&gt;45%")-COUNTIF(F20:F45,"&gt;60%")</f>
        <v>3</v>
      </c>
      <c r="D96" s="40">
        <f t="shared" si="5"/>
        <v>0.12</v>
      </c>
      <c r="E96" s="36"/>
      <c r="F96" s="9"/>
    </row>
    <row r="97" spans="2:10">
      <c r="B97" s="2" t="s">
        <v>36</v>
      </c>
      <c r="C97" s="3">
        <f>COUNTIF(F20:F45,"&gt;60%")-COUNTIF(F20:F45,"&gt;75%")</f>
        <v>4</v>
      </c>
      <c r="D97" s="40">
        <f t="shared" si="5"/>
        <v>0.16</v>
      </c>
      <c r="E97" s="36"/>
      <c r="F97" s="9"/>
    </row>
    <row r="98" spans="2:10">
      <c r="B98" s="2" t="s">
        <v>37</v>
      </c>
      <c r="C98" s="3">
        <f>COUNTIF(F20:F45,"&gt;75%")-COUNTIF(F20:F45,"&gt;90%")</f>
        <v>4</v>
      </c>
      <c r="D98" s="40">
        <f t="shared" si="5"/>
        <v>0.16</v>
      </c>
      <c r="E98" s="36"/>
      <c r="F98" s="9"/>
    </row>
    <row r="99" spans="2:10">
      <c r="B99" s="2" t="s">
        <v>38</v>
      </c>
      <c r="C99" s="3">
        <f>COUNTIF(F20:F45,"&gt;90%")</f>
        <v>10</v>
      </c>
      <c r="D99" s="40">
        <f t="shared" si="5"/>
        <v>0.4</v>
      </c>
      <c r="E99" s="36"/>
      <c r="F99" s="9"/>
    </row>
    <row r="100" spans="2:10">
      <c r="B100" s="34" t="s">
        <v>14</v>
      </c>
      <c r="C100" s="6">
        <f>SUM(C93:C99)</f>
        <v>25</v>
      </c>
      <c r="D100" s="41">
        <f>SUM(D93:D99)</f>
        <v>1</v>
      </c>
      <c r="E100" s="37"/>
      <c r="F100" s="49"/>
    </row>
    <row r="101" spans="2:10">
      <c r="B101" s="55"/>
      <c r="C101" s="56"/>
      <c r="D101" s="8"/>
      <c r="E101" s="8"/>
      <c r="F101" s="49"/>
    </row>
    <row r="102" spans="2:10">
      <c r="B102" s="55"/>
      <c r="C102" s="56"/>
      <c r="D102" s="8"/>
      <c r="E102" s="8"/>
      <c r="F102" s="49"/>
    </row>
    <row r="103" spans="2:10">
      <c r="B103" s="55"/>
      <c r="C103" s="56"/>
      <c r="D103" s="8"/>
      <c r="E103" s="8"/>
      <c r="F103" s="49"/>
    </row>
    <row r="108" spans="2:10" ht="36" customHeight="1">
      <c r="B108" s="72" t="s">
        <v>65</v>
      </c>
      <c r="C108" s="72"/>
      <c r="D108" s="72"/>
      <c r="E108" s="72"/>
      <c r="F108" s="72"/>
      <c r="G108" s="72"/>
      <c r="H108" s="72"/>
      <c r="I108" s="72"/>
      <c r="J108" s="72"/>
    </row>
    <row r="110" spans="2:10">
      <c r="B110" s="35" t="s">
        <v>20</v>
      </c>
      <c r="C110" s="81" t="s">
        <v>15</v>
      </c>
      <c r="D110" s="81"/>
      <c r="E110" s="43"/>
    </row>
    <row r="111" spans="2:10">
      <c r="B111" s="2" t="s">
        <v>29</v>
      </c>
      <c r="C111" s="3">
        <f>COUNTIF(G20:G45,"&lt;0")</f>
        <v>6</v>
      </c>
      <c r="D111" s="4">
        <f>+C111/$B$46</f>
        <v>0.24</v>
      </c>
      <c r="E111" s="10"/>
    </row>
    <row r="112" spans="2:10">
      <c r="B112" s="2" t="s">
        <v>30</v>
      </c>
      <c r="C112" s="3">
        <f>COUNTIF(G20:G45,"=0")</f>
        <v>0</v>
      </c>
      <c r="D112" s="4">
        <f>+C112/$B$46</f>
        <v>0</v>
      </c>
      <c r="E112" s="10"/>
    </row>
    <row r="113" spans="2:10">
      <c r="B113" s="2" t="s">
        <v>39</v>
      </c>
      <c r="C113" s="3">
        <f>COUNTIF(G20:G45,"&gt;0")-COUNTIF(G20:G45,"&gt;10000000")</f>
        <v>15</v>
      </c>
      <c r="D113" s="4">
        <f>+C113/$B$46</f>
        <v>0.6</v>
      </c>
      <c r="E113" s="10"/>
    </row>
    <row r="114" spans="2:10">
      <c r="B114" s="2" t="s">
        <v>40</v>
      </c>
      <c r="C114" s="3">
        <f>COUNTIF(G20:G45,"&gt;10000000")-COUNTIF(G20:G45,"&gt;100000000")</f>
        <v>4</v>
      </c>
      <c r="D114" s="4">
        <f>+C114/$B$46</f>
        <v>0.16</v>
      </c>
      <c r="E114" s="10"/>
    </row>
    <row r="115" spans="2:10">
      <c r="B115" s="2" t="s">
        <v>41</v>
      </c>
      <c r="C115" s="3">
        <f>COUNTIF(G20:G45,"&gt;100000000")</f>
        <v>0</v>
      </c>
      <c r="D115" s="4">
        <f>+C115/$B$46</f>
        <v>0</v>
      </c>
      <c r="E115" s="10"/>
    </row>
    <row r="116" spans="2:10">
      <c r="B116" s="34" t="s">
        <v>14</v>
      </c>
      <c r="C116" s="6">
        <f>SUM(C111:C115)</f>
        <v>25</v>
      </c>
      <c r="D116" s="7">
        <f>SUM(D111:D115)</f>
        <v>1</v>
      </c>
      <c r="E116" s="8"/>
    </row>
    <row r="117" spans="2:10">
      <c r="B117" s="55"/>
      <c r="C117" s="56"/>
      <c r="D117" s="8"/>
      <c r="E117" s="8"/>
    </row>
    <row r="118" spans="2:10">
      <c r="B118" s="55"/>
      <c r="C118" s="56"/>
      <c r="D118" s="8"/>
      <c r="E118" s="8"/>
    </row>
    <row r="119" spans="2:10">
      <c r="B119" s="55"/>
      <c r="C119" s="56"/>
      <c r="D119" s="8"/>
      <c r="E119" s="8"/>
    </row>
    <row r="120" spans="2:10">
      <c r="B120" s="55"/>
      <c r="C120" s="56"/>
      <c r="D120" s="8"/>
      <c r="E120" s="8"/>
    </row>
    <row r="121" spans="2:10">
      <c r="B121" s="55"/>
      <c r="C121" s="56"/>
      <c r="D121" s="8"/>
      <c r="E121" s="8"/>
    </row>
    <row r="126" spans="2:10" ht="36" customHeight="1">
      <c r="B126" s="72" t="s">
        <v>66</v>
      </c>
      <c r="C126" s="72"/>
      <c r="D126" s="72"/>
      <c r="E126" s="72"/>
      <c r="F126" s="72"/>
      <c r="G126" s="72"/>
      <c r="H126" s="72"/>
      <c r="I126" s="72"/>
      <c r="J126" s="72"/>
    </row>
    <row r="128" spans="2:10">
      <c r="B128" s="35" t="s">
        <v>20</v>
      </c>
      <c r="C128" s="87" t="s">
        <v>15</v>
      </c>
      <c r="D128" s="87"/>
      <c r="E128" s="44"/>
    </row>
    <row r="129" spans="2:10">
      <c r="B129" s="2" t="s">
        <v>42</v>
      </c>
      <c r="C129" s="3">
        <f>COUNTIF(J20:J45,"=0")</f>
        <v>0</v>
      </c>
      <c r="D129" s="4">
        <f t="shared" ref="D129:D135" si="6">+C129/$B$46</f>
        <v>0</v>
      </c>
      <c r="E129" s="10"/>
    </row>
    <row r="130" spans="2:10">
      <c r="B130" s="2" t="s">
        <v>29</v>
      </c>
      <c r="C130" s="3">
        <f>COUNTIF(J20:J45,"&lt;0")</f>
        <v>6</v>
      </c>
      <c r="D130" s="4">
        <f t="shared" si="6"/>
        <v>0.24</v>
      </c>
      <c r="E130" s="10"/>
    </row>
    <row r="131" spans="2:10">
      <c r="B131" s="2" t="s">
        <v>25</v>
      </c>
      <c r="C131" s="3">
        <f>COUNTIF(J20:J45,"&gt;0")-COUNTIF(J20:J45,"&gt;1")</f>
        <v>0</v>
      </c>
      <c r="D131" s="4">
        <f t="shared" si="6"/>
        <v>0</v>
      </c>
      <c r="E131" s="10"/>
    </row>
    <row r="132" spans="2:10">
      <c r="B132" s="2" t="s">
        <v>26</v>
      </c>
      <c r="C132" s="3">
        <f>COUNTIF(J20:J45,"&gt;1")-COUNTIF(J20:J45,"&gt;2")</f>
        <v>2</v>
      </c>
      <c r="D132" s="4">
        <f t="shared" si="6"/>
        <v>0.08</v>
      </c>
      <c r="E132" s="10"/>
    </row>
    <row r="133" spans="2:10">
      <c r="B133" s="2" t="s">
        <v>43</v>
      </c>
      <c r="C133" s="3">
        <f>COUNTIF(J20:J45,"&gt;2")-COUNTIF(J20:J45,"&gt;4")</f>
        <v>3</v>
      </c>
      <c r="D133" s="4">
        <f t="shared" si="6"/>
        <v>0.12</v>
      </c>
      <c r="E133" s="10"/>
    </row>
    <row r="134" spans="2:10">
      <c r="B134" s="2" t="s">
        <v>44</v>
      </c>
      <c r="C134" s="3">
        <f>COUNTIF(J20:J45,"&gt;4")-COUNTIF(J20:J45,"&gt;6")</f>
        <v>2</v>
      </c>
      <c r="D134" s="4">
        <f t="shared" si="6"/>
        <v>0.08</v>
      </c>
      <c r="E134" s="10"/>
    </row>
    <row r="135" spans="2:10">
      <c r="B135" s="2" t="s">
        <v>45</v>
      </c>
      <c r="C135" s="3">
        <f>COUNTIF(J20:J45,"&gt;6")+COUNTBLANK(J20:J45)</f>
        <v>13</v>
      </c>
      <c r="D135" s="4">
        <f t="shared" si="6"/>
        <v>0.52</v>
      </c>
      <c r="E135" s="10"/>
    </row>
    <row r="136" spans="2:10">
      <c r="B136" s="34" t="s">
        <v>14</v>
      </c>
      <c r="C136" s="6">
        <f>SUM(C129:C135)</f>
        <v>26</v>
      </c>
      <c r="D136" s="7">
        <f>SUM(D129:D135)</f>
        <v>1.04</v>
      </c>
      <c r="E136" s="8"/>
    </row>
    <row r="137" spans="2:10">
      <c r="B137" s="55"/>
      <c r="C137" s="56"/>
      <c r="D137" s="8"/>
      <c r="E137" s="8"/>
    </row>
    <row r="138" spans="2:10">
      <c r="B138" s="55"/>
      <c r="C138" s="56"/>
      <c r="D138" s="8"/>
      <c r="E138" s="8"/>
    </row>
    <row r="139" spans="2:10">
      <c r="B139" s="55"/>
      <c r="C139" s="56"/>
      <c r="D139" s="8"/>
      <c r="E139" s="8"/>
    </row>
    <row r="140" spans="2:10">
      <c r="B140" s="55"/>
      <c r="C140" s="56"/>
      <c r="D140" s="8"/>
      <c r="E140" s="8"/>
    </row>
    <row r="144" spans="2:10" ht="36" customHeight="1">
      <c r="B144" s="72" t="s">
        <v>67</v>
      </c>
      <c r="C144" s="72"/>
      <c r="D144" s="72"/>
      <c r="E144" s="72"/>
      <c r="F144" s="72"/>
      <c r="G144" s="72"/>
      <c r="H144" s="72"/>
      <c r="I144" s="72"/>
      <c r="J144" s="72"/>
    </row>
    <row r="146" spans="2:5">
      <c r="B146" s="35" t="s">
        <v>20</v>
      </c>
      <c r="C146" s="80" t="s">
        <v>15</v>
      </c>
      <c r="D146" s="80"/>
      <c r="E146" s="39"/>
    </row>
    <row r="147" spans="2:5">
      <c r="B147" s="2" t="s">
        <v>29</v>
      </c>
      <c r="C147" s="3">
        <f>COUNTIF(H20:H45,"&lt;0%")</f>
        <v>8</v>
      </c>
      <c r="D147" s="4">
        <f t="shared" ref="D147:D153" si="7">+C147/$B$46</f>
        <v>0.32</v>
      </c>
      <c r="E147" s="36"/>
    </row>
    <row r="148" spans="2:5">
      <c r="B148" s="2" t="s">
        <v>30</v>
      </c>
      <c r="C148" s="3">
        <f>COUNTIF(H20:H45,"=0%")</f>
        <v>1</v>
      </c>
      <c r="D148" s="4">
        <f t="shared" si="7"/>
        <v>0.04</v>
      </c>
      <c r="E148" s="36"/>
    </row>
    <row r="149" spans="2:5">
      <c r="B149" s="2" t="s">
        <v>124</v>
      </c>
      <c r="C149" s="3">
        <f>COUNTIF(H20:H45,"&gt;0%")-COUNTIF(H20:H45,"&gt;1%")</f>
        <v>0</v>
      </c>
      <c r="D149" s="4">
        <f t="shared" si="7"/>
        <v>0</v>
      </c>
      <c r="E149" s="36"/>
    </row>
    <row r="150" spans="2:5">
      <c r="B150" s="2" t="s">
        <v>125</v>
      </c>
      <c r="C150" s="3">
        <f>COUNTIF(H20:H45,"&gt;1%")-COUNTIF(H20:H45,"&gt;2%")</f>
        <v>1</v>
      </c>
      <c r="D150" s="4">
        <f t="shared" si="7"/>
        <v>0.04</v>
      </c>
      <c r="E150" s="36"/>
    </row>
    <row r="151" spans="2:5">
      <c r="B151" s="2" t="s">
        <v>126</v>
      </c>
      <c r="C151" s="3">
        <f>COUNTIF(H20:H45,"&gt;2%")-COUNTIF(H20:H45,"&gt;3%")</f>
        <v>3</v>
      </c>
      <c r="D151" s="4">
        <f t="shared" si="7"/>
        <v>0.12</v>
      </c>
      <c r="E151" s="36"/>
    </row>
    <row r="152" spans="2:5">
      <c r="B152" s="2" t="s">
        <v>127</v>
      </c>
      <c r="C152" s="3">
        <f>COUNTIF(H20:H45,"&gt;3%")-COUNTIF(H20:H45,"&gt;4%")</f>
        <v>1</v>
      </c>
      <c r="D152" s="4">
        <f t="shared" si="7"/>
        <v>0.04</v>
      </c>
      <c r="E152" s="36"/>
    </row>
    <row r="153" spans="2:5">
      <c r="B153" s="2" t="s">
        <v>128</v>
      </c>
      <c r="C153" s="3">
        <f>COUNTIF(H20:H45,"&gt;4%")</f>
        <v>11</v>
      </c>
      <c r="D153" s="4">
        <f t="shared" si="7"/>
        <v>0.44</v>
      </c>
      <c r="E153" s="36"/>
    </row>
    <row r="154" spans="2:5">
      <c r="B154" s="34" t="s">
        <v>14</v>
      </c>
      <c r="C154" s="6">
        <f>SUM(C147:C153)</f>
        <v>25</v>
      </c>
      <c r="D154" s="7">
        <f>SUM(D147:D153)</f>
        <v>1</v>
      </c>
      <c r="E154" s="37"/>
    </row>
    <row r="162" spans="2:10" ht="36" customHeight="1">
      <c r="B162" s="79" t="s">
        <v>71</v>
      </c>
      <c r="C162" s="79"/>
      <c r="D162" s="79"/>
      <c r="E162" s="79"/>
      <c r="F162" s="79"/>
      <c r="G162" s="79"/>
      <c r="H162" s="79"/>
      <c r="I162" s="79"/>
      <c r="J162" s="79"/>
    </row>
    <row r="164" spans="2:10">
      <c r="B164" s="35" t="s">
        <v>20</v>
      </c>
      <c r="C164" s="81" t="s">
        <v>15</v>
      </c>
      <c r="D164" s="81"/>
      <c r="E164" s="44"/>
    </row>
    <row r="165" spans="2:10">
      <c r="B165" s="2" t="s">
        <v>29</v>
      </c>
      <c r="C165" s="3">
        <f>COUNTIF(I20:I45,"&lt;0")</f>
        <v>4</v>
      </c>
      <c r="D165" s="4">
        <f t="shared" ref="D165:D171" si="8">+C165/$B$46</f>
        <v>0.16</v>
      </c>
      <c r="E165" s="10"/>
    </row>
    <row r="166" spans="2:10">
      <c r="B166" s="2" t="s">
        <v>30</v>
      </c>
      <c r="C166" s="3">
        <f>COUNTIF(I20:I45,"=0")</f>
        <v>1</v>
      </c>
      <c r="D166" s="4">
        <f t="shared" si="8"/>
        <v>0.04</v>
      </c>
      <c r="E166" s="10"/>
    </row>
    <row r="167" spans="2:10">
      <c r="B167" s="2" t="s">
        <v>129</v>
      </c>
      <c r="C167" s="3">
        <f>COUNTIF(I20:I45,"&gt;0%")-COUNTIF(I20:I45,"&gt;2%")</f>
        <v>0</v>
      </c>
      <c r="D167" s="4">
        <f t="shared" si="8"/>
        <v>0</v>
      </c>
      <c r="E167" s="10"/>
    </row>
    <row r="168" spans="2:10">
      <c r="B168" s="2" t="s">
        <v>130</v>
      </c>
      <c r="C168" s="3">
        <f>COUNTIF(I20:I45,"&gt;2%")-COUNTIF(I20:I45,"&gt;4%")</f>
        <v>3</v>
      </c>
      <c r="D168" s="4">
        <f t="shared" si="8"/>
        <v>0.12</v>
      </c>
      <c r="E168" s="10"/>
    </row>
    <row r="169" spans="2:10">
      <c r="B169" s="2" t="s">
        <v>131</v>
      </c>
      <c r="C169" s="3">
        <f>COUNTIF(I20:I45,"&gt;4%")-COUNTIF(I20:I45,"&gt;6%")</f>
        <v>3</v>
      </c>
      <c r="D169" s="4">
        <f t="shared" si="8"/>
        <v>0.12</v>
      </c>
      <c r="E169" s="10"/>
    </row>
    <row r="170" spans="2:10">
      <c r="B170" s="2" t="s">
        <v>132</v>
      </c>
      <c r="C170" s="3">
        <f>COUNTIF(I20:I45,"&gt;6%")-COUNTIF(I20:I45,"&gt;8%")</f>
        <v>0</v>
      </c>
      <c r="D170" s="4">
        <f t="shared" si="8"/>
        <v>0</v>
      </c>
      <c r="E170" s="10"/>
    </row>
    <row r="171" spans="2:10">
      <c r="B171" s="2" t="s">
        <v>133</v>
      </c>
      <c r="C171" s="3">
        <f>COUNTIF(I20:I45,"&gt;8%")</f>
        <v>14</v>
      </c>
      <c r="D171" s="4">
        <f t="shared" si="8"/>
        <v>0.56000000000000005</v>
      </c>
      <c r="E171" s="10"/>
    </row>
    <row r="172" spans="2:10">
      <c r="B172" s="34" t="s">
        <v>14</v>
      </c>
      <c r="C172" s="6">
        <f>SUM(C165:C171)</f>
        <v>25</v>
      </c>
      <c r="D172" s="7">
        <f>SUM(D165:D171)</f>
        <v>1</v>
      </c>
      <c r="E172" s="8"/>
    </row>
    <row r="180" spans="1:10" ht="83.25" customHeight="1">
      <c r="A180" s="32" t="s">
        <v>83</v>
      </c>
      <c r="B180" s="45" t="s">
        <v>75</v>
      </c>
      <c r="C180" s="45" t="s">
        <v>47</v>
      </c>
      <c r="D180" s="45" t="s">
        <v>74</v>
      </c>
      <c r="E180" s="45" t="s">
        <v>81</v>
      </c>
      <c r="F180" s="45" t="s">
        <v>76</v>
      </c>
      <c r="G180" s="45" t="s">
        <v>77</v>
      </c>
      <c r="H180" s="45" t="s">
        <v>78</v>
      </c>
      <c r="I180" s="45" t="s">
        <v>79</v>
      </c>
      <c r="J180" s="45" t="s">
        <v>80</v>
      </c>
    </row>
    <row r="181" spans="1:10" ht="116.25" customHeight="1">
      <c r="B181" s="59" t="s">
        <v>119</v>
      </c>
      <c r="C181" s="62" t="s">
        <v>118</v>
      </c>
      <c r="D181" s="60">
        <v>1.5</v>
      </c>
      <c r="E181" s="67" t="s">
        <v>120</v>
      </c>
      <c r="F181" s="61">
        <v>0.6</v>
      </c>
      <c r="G181" s="67" t="s">
        <v>120</v>
      </c>
      <c r="H181" s="60">
        <v>1.5</v>
      </c>
      <c r="I181" s="61">
        <v>0.05</v>
      </c>
      <c r="J181" s="61">
        <v>0.09</v>
      </c>
    </row>
    <row r="182" spans="1:10" ht="120.75" customHeight="1">
      <c r="B182" s="59" t="s">
        <v>122</v>
      </c>
      <c r="C182" s="62" t="s">
        <v>121</v>
      </c>
      <c r="D182" s="60">
        <v>1.5</v>
      </c>
      <c r="E182" s="67" t="s">
        <v>123</v>
      </c>
      <c r="F182" s="61">
        <v>0.6</v>
      </c>
      <c r="G182" s="67" t="s">
        <v>120</v>
      </c>
      <c r="H182" s="60">
        <v>2</v>
      </c>
      <c r="I182" s="61">
        <v>0.04</v>
      </c>
      <c r="J182" s="61">
        <v>0.05</v>
      </c>
    </row>
    <row r="184" spans="1:10" ht="36.75" thickBot="1">
      <c r="B184" s="50"/>
      <c r="C184" s="50"/>
      <c r="D184" s="12" t="s">
        <v>3</v>
      </c>
      <c r="E184" s="12" t="s">
        <v>4</v>
      </c>
      <c r="F184" s="12" t="s">
        <v>5</v>
      </c>
      <c r="G184" s="12" t="s">
        <v>6</v>
      </c>
      <c r="H184" s="12" t="s">
        <v>7</v>
      </c>
      <c r="I184" s="12" t="s">
        <v>8</v>
      </c>
      <c r="J184" s="12" t="s">
        <v>9</v>
      </c>
    </row>
    <row r="185" spans="1:10" ht="25.5" thickTop="1" thickBot="1">
      <c r="A185" s="30" t="s">
        <v>84</v>
      </c>
      <c r="B185" s="68" t="s">
        <v>88</v>
      </c>
      <c r="C185" s="69"/>
      <c r="D185" s="20" t="s">
        <v>52</v>
      </c>
      <c r="E185" s="19" t="s">
        <v>146</v>
      </c>
      <c r="F185" s="19" t="s">
        <v>53</v>
      </c>
      <c r="G185" s="19" t="s">
        <v>147</v>
      </c>
      <c r="H185" s="19" t="s">
        <v>54</v>
      </c>
      <c r="I185" s="19" t="s">
        <v>54</v>
      </c>
      <c r="J185" s="19" t="s">
        <v>55</v>
      </c>
    </row>
    <row r="186" spans="1:10" ht="25.5" customHeight="1" thickTop="1" thickBot="1">
      <c r="B186" s="68" t="s">
        <v>17</v>
      </c>
      <c r="C186" s="69"/>
      <c r="D186" s="51">
        <f>COUNTIF(D20:D45,"&gt;=1,19")/$B$46</f>
        <v>0.4</v>
      </c>
      <c r="E186" s="52">
        <f>COUNTIF(E20:E45,"&gt;=32200")/$B$46</f>
        <v>0.52</v>
      </c>
      <c r="F186" s="52">
        <f>COUNTIF(F20:F45,"&lt;=70%")/$B$46</f>
        <v>0.4</v>
      </c>
      <c r="G186" s="52">
        <f>COUNTIF(G20:G45,"&gt;=107200")/$B$46</f>
        <v>0.72</v>
      </c>
      <c r="H186" s="52">
        <f>COUNTIF(H20:H45,"&gt;=2%")/$B$46</f>
        <v>0.6</v>
      </c>
      <c r="I186" s="52">
        <f>COUNTIF(I20:I45,"&gt;=2%")/$B$46</f>
        <v>0.8</v>
      </c>
      <c r="J186" s="53">
        <f>(COUNTIF(J20:J45,"&gt;=2")+COUNTBLANK(J20:J45))/$B$46</f>
        <v>0.72</v>
      </c>
    </row>
    <row r="187" spans="1:10" ht="12.75" thickTop="1"/>
    <row r="190" spans="1:10">
      <c r="G190" s="46"/>
    </row>
    <row r="191" spans="1:10">
      <c r="E191" s="46"/>
    </row>
    <row r="192" spans="1:10" ht="15">
      <c r="A192" s="1" t="s">
        <v>18</v>
      </c>
      <c r="B192" s="1" t="s">
        <v>86</v>
      </c>
    </row>
    <row r="193" spans="1:7" ht="15">
      <c r="A193" s="1" t="s">
        <v>19</v>
      </c>
      <c r="B193" s="1" t="s">
        <v>87</v>
      </c>
      <c r="C193" s="1"/>
    </row>
    <row r="194" spans="1:7">
      <c r="G194" s="46"/>
    </row>
    <row r="195" spans="1:7">
      <c r="G195" s="46"/>
    </row>
    <row r="196" spans="1:7">
      <c r="G196" s="46"/>
    </row>
    <row r="197" spans="1:7">
      <c r="G197" s="46"/>
    </row>
    <row r="198" spans="1:7">
      <c r="G198" s="46"/>
    </row>
    <row r="199" spans="1:7">
      <c r="D199" s="46"/>
      <c r="F199" s="46"/>
      <c r="G199" s="46"/>
    </row>
    <row r="200" spans="1:7">
      <c r="G200" s="46"/>
    </row>
    <row r="201" spans="1:7">
      <c r="G201" s="46"/>
    </row>
    <row r="202" spans="1:7">
      <c r="G202" s="46"/>
    </row>
    <row r="203" spans="1:7">
      <c r="G203" s="46"/>
    </row>
    <row r="204" spans="1:7">
      <c r="G204" s="46"/>
    </row>
    <row r="205" spans="1:7">
      <c r="G205" s="46"/>
    </row>
    <row r="206" spans="1:7">
      <c r="G206" s="46"/>
    </row>
    <row r="207" spans="1:7">
      <c r="G207" s="46"/>
    </row>
    <row r="208" spans="1:7">
      <c r="G208" s="46"/>
    </row>
    <row r="209" spans="7:7">
      <c r="G209" s="46"/>
    </row>
  </sheetData>
  <autoFilter ref="A19:J45" xr:uid="{00000000-0009-0000-0000-000006000000}"/>
  <mergeCells count="24">
    <mergeCell ref="C74:D74"/>
    <mergeCell ref="F3:J3"/>
    <mergeCell ref="F4:J4"/>
    <mergeCell ref="F5:J5"/>
    <mergeCell ref="B8:F8"/>
    <mergeCell ref="H8:J8"/>
    <mergeCell ref="A10:H10"/>
    <mergeCell ref="A13:J13"/>
    <mergeCell ref="A48:A51"/>
    <mergeCell ref="B54:J54"/>
    <mergeCell ref="C56:D56"/>
    <mergeCell ref="B72:J72"/>
    <mergeCell ref="B186:C186"/>
    <mergeCell ref="B90:J90"/>
    <mergeCell ref="C92:D92"/>
    <mergeCell ref="B108:J108"/>
    <mergeCell ref="C110:D110"/>
    <mergeCell ref="B126:J126"/>
    <mergeCell ref="C128:D128"/>
    <mergeCell ref="B144:J144"/>
    <mergeCell ref="C146:D146"/>
    <mergeCell ref="B162:J162"/>
    <mergeCell ref="C164:D164"/>
    <mergeCell ref="B185:C18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ITEM 1</vt:lpstr>
      <vt:lpstr>ITEM 2</vt:lpstr>
      <vt:lpstr>ITEM 3</vt:lpstr>
      <vt:lpstr>ITEM 4</vt:lpstr>
      <vt:lpstr>ITEM 5</vt:lpstr>
      <vt:lpstr>ITEM 6</vt:lpstr>
      <vt:lpstr>ITEM 7</vt:lpstr>
      <vt:lpstr>'ITEM 1'!Títulos_a_imprimir</vt:lpstr>
      <vt:lpstr>'ITEM 2'!Títulos_a_imprimir</vt:lpstr>
      <vt:lpstr>'ITEM 3'!Títulos_a_imprimir</vt:lpstr>
      <vt:lpstr>'ITEM 4'!Títulos_a_imprimir</vt:lpstr>
      <vt:lpstr>'ITEM 5'!Títulos_a_imprimir</vt:lpstr>
      <vt:lpstr>'ITEM 6'!Títulos_a_imprimir</vt:lpstr>
      <vt:lpstr>'ITEM 7'!Títulos_a_imprimir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Katherinne Rodriguez Lozano</dc:creator>
  <cp:lastModifiedBy>Apolo</cp:lastModifiedBy>
  <cp:lastPrinted>2020-03-04T23:40:56Z</cp:lastPrinted>
  <dcterms:created xsi:type="dcterms:W3CDTF">2018-11-28T12:47:08Z</dcterms:created>
  <dcterms:modified xsi:type="dcterms:W3CDTF">2020-10-30T01:51:53Z</dcterms:modified>
</cp:coreProperties>
</file>