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F:\2025\ALCALDIA\FORMULACIÓN\ACUEDUCTOS\VERSIÓN 1\PRESUPUESTO AIU\ANEXOS\"/>
    </mc:Choice>
  </mc:AlternateContent>
  <xr:revisionPtr revIDLastSave="0" documentId="13_ncr:1_{F30BA698-3D54-4137-B7F2-41D89D46C789}" xr6:coauthVersionLast="47" xr6:coauthVersionMax="47" xr10:uidLastSave="{00000000-0000-0000-0000-000000000000}"/>
  <bookViews>
    <workbookView xWindow="-120" yWindow="-120" windowWidth="21840" windowHeight="13140" tabRatio="954" xr2:uid="{00000000-000D-0000-FFFF-FFFF00000000}"/>
  </bookViews>
  <sheets>
    <sheet name="PRESUPUESTO FINAL FDLU" sheetId="13" r:id="rId1"/>
    <sheet name="PRESUPUESTO OFICIAL AGUAS DORAD" sheetId="7" r:id="rId2"/>
    <sheet name="PRESUPUESTO OFICIAL EL DESTINO" sheetId="11" r:id="rId3"/>
    <sheet name="PRESUPUESTO LAS MARGARITAS" sheetId="12" r:id="rId4"/>
    <sheet name="PROPUESTA ECONOMICA(proponente)" sheetId="2" r:id="rId5"/>
    <sheet name="APU" sheetId="3" r:id="rId6"/>
  </sheets>
  <externalReferences>
    <externalReference r:id="rId7"/>
    <externalReference r:id="rId8"/>
    <externalReference r:id="rId9"/>
    <externalReference r:id="rId10"/>
    <externalReference r:id="rId11"/>
  </externalReferences>
  <definedNames>
    <definedName name="_Fill" localSheetId="0">#REF!</definedName>
    <definedName name="_Fill" localSheetId="3">#REF!</definedName>
    <definedName name="_Fill" localSheetId="2">#REF!</definedName>
    <definedName name="_Fill">#REF!</definedName>
    <definedName name="_Key1" localSheetId="0">#REF!</definedName>
    <definedName name="_Key1" localSheetId="3">#REF!</definedName>
    <definedName name="_Key1" localSheetId="2">#REF!</definedName>
    <definedName name="_Key1">#REF!</definedName>
    <definedName name="_Key2" localSheetId="0">#REF!</definedName>
    <definedName name="_Key2" localSheetId="3">#REF!</definedName>
    <definedName name="_Key2" localSheetId="2">#REF!</definedName>
    <definedName name="_Key2">#REF!</definedName>
    <definedName name="_Sort" localSheetId="0">#REF!</definedName>
    <definedName name="_Sort" localSheetId="3">#REF!</definedName>
    <definedName name="_Sort" localSheetId="2">#REF!</definedName>
    <definedName name="_Sort">#REF!</definedName>
    <definedName name="ABCD" localSheetId="0">#REF!</definedName>
    <definedName name="ABCD" localSheetId="3">#REF!</definedName>
    <definedName name="ABCD" localSheetId="2">#REF!</definedName>
    <definedName name="ABCD">#REF!</definedName>
    <definedName name="ABCDE" localSheetId="0">#REF!</definedName>
    <definedName name="ABCDE" localSheetId="3">#REF!</definedName>
    <definedName name="ABCDE" localSheetId="2">#REF!</definedName>
    <definedName name="ABCDE">#REF!</definedName>
    <definedName name="DWPRICE" localSheetId="0">#REF!</definedName>
    <definedName name="DWPRICE" localSheetId="3">#REF!</definedName>
    <definedName name="DWPRICE" localSheetId="2">#REF!</definedName>
    <definedName name="DWPRICE">#REF!</definedName>
    <definedName name="PROVISIONALES" localSheetId="0">#REF!</definedName>
    <definedName name="PROVISIONALES" localSheetId="3">#REF!</definedName>
    <definedName name="PROVISIONALES" localSheetId="2">#REF!</definedName>
    <definedName name="PROVISIONALES">#REF!</definedName>
    <definedName name="XXXX" localSheetId="0">#REF!</definedName>
    <definedName name="XXXX" localSheetId="3">#REF!</definedName>
    <definedName name="XXXX" localSheetId="2">#REF!</definedName>
    <definedName name="XXXX">#REF!</definedName>
    <definedName name="XZS" localSheetId="0">#REF!</definedName>
    <definedName name="XZS" localSheetId="3">#REF!</definedName>
    <definedName name="XZS" localSheetId="2">#REF!</definedName>
    <definedName name="XZS">#REF!</definedName>
  </definedNames>
  <calcPr calcId="191029"/>
</workbook>
</file>

<file path=xl/calcChain.xml><?xml version="1.0" encoding="utf-8"?>
<calcChain xmlns="http://schemas.openxmlformats.org/spreadsheetml/2006/main">
  <c r="I315" i="13" l="1"/>
  <c r="I312" i="13"/>
  <c r="I311" i="13"/>
  <c r="I310" i="13"/>
  <c r="I309" i="13"/>
  <c r="I308" i="13"/>
  <c r="I307" i="13"/>
  <c r="I306" i="13"/>
  <c r="I305" i="13"/>
  <c r="I302" i="13"/>
  <c r="I301" i="13"/>
  <c r="I300" i="13"/>
  <c r="I299" i="13"/>
  <c r="I296" i="13"/>
  <c r="I293" i="13"/>
  <c r="I292" i="13"/>
  <c r="I291" i="13"/>
  <c r="I290" i="13"/>
  <c r="I289" i="13"/>
  <c r="I288" i="13"/>
  <c r="I287" i="13"/>
  <c r="I286" i="13"/>
  <c r="I285" i="13"/>
  <c r="I284" i="13"/>
  <c r="I283" i="13"/>
  <c r="I282" i="13"/>
  <c r="I281" i="13"/>
  <c r="I280" i="13"/>
  <c r="I279" i="13"/>
  <c r="I278" i="13"/>
  <c r="I277" i="13"/>
  <c r="I274" i="13"/>
  <c r="I273" i="13"/>
  <c r="I272" i="13"/>
  <c r="I271" i="13"/>
  <c r="I268" i="13"/>
  <c r="I267" i="13"/>
  <c r="I266" i="13"/>
  <c r="I263" i="13"/>
  <c r="I262" i="13"/>
  <c r="I261" i="13"/>
  <c r="I258" i="13"/>
  <c r="I257" i="13"/>
  <c r="I256" i="13"/>
  <c r="I255" i="13"/>
  <c r="I254" i="13"/>
  <c r="I253" i="13"/>
  <c r="I252" i="13"/>
  <c r="I251" i="13"/>
  <c r="I250" i="13"/>
  <c r="I249" i="13"/>
  <c r="I246" i="13"/>
  <c r="I245" i="13"/>
  <c r="I244" i="13"/>
  <c r="I243" i="13"/>
  <c r="I240" i="13"/>
  <c r="I239" i="13"/>
  <c r="I238" i="13"/>
  <c r="I237" i="13"/>
  <c r="I234" i="13"/>
  <c r="I233" i="13"/>
  <c r="I232" i="13"/>
  <c r="I231" i="13"/>
  <c r="I228" i="13"/>
  <c r="I227" i="13"/>
  <c r="I226" i="13"/>
  <c r="I225" i="13"/>
  <c r="I224" i="13"/>
  <c r="I221" i="13"/>
  <c r="I220" i="13"/>
  <c r="I217" i="13"/>
  <c r="I216" i="13"/>
  <c r="I215" i="13"/>
  <c r="I212" i="13"/>
  <c r="I211" i="13"/>
  <c r="I210" i="13"/>
  <c r="I207" i="13"/>
  <c r="I206" i="13"/>
  <c r="I205" i="13"/>
  <c r="I202" i="13"/>
  <c r="I199" i="13"/>
  <c r="I195" i="13"/>
  <c r="I194" i="13"/>
  <c r="I193" i="13"/>
  <c r="I192" i="13"/>
  <c r="I189" i="13"/>
  <c r="I188" i="13"/>
  <c r="I187" i="13"/>
  <c r="I184" i="13"/>
  <c r="I183" i="13"/>
  <c r="I179" i="13"/>
  <c r="I178" i="13"/>
  <c r="I177" i="13"/>
  <c r="I176" i="13"/>
  <c r="I175" i="13"/>
  <c r="I172" i="13"/>
  <c r="I169" i="13"/>
  <c r="I168" i="13"/>
  <c r="I167" i="13"/>
  <c r="I164" i="13"/>
  <c r="I163" i="13"/>
  <c r="I162" i="13"/>
  <c r="I161" i="13"/>
  <c r="I160" i="13"/>
  <c r="I157" i="13"/>
  <c r="I154" i="13"/>
  <c r="I153" i="13"/>
  <c r="I150" i="13"/>
  <c r="I149" i="13"/>
  <c r="I146" i="13"/>
  <c r="I145" i="13"/>
  <c r="I142" i="13"/>
  <c r="I141" i="13"/>
  <c r="I138" i="13"/>
  <c r="I137" i="13"/>
  <c r="I136" i="13"/>
  <c r="I135" i="13"/>
  <c r="I134" i="13"/>
  <c r="I133" i="13"/>
  <c r="I132" i="13"/>
  <c r="I129" i="13"/>
  <c r="I128" i="13"/>
  <c r="I127" i="13"/>
  <c r="I126" i="13"/>
  <c r="I125" i="13"/>
  <c r="I124" i="13"/>
  <c r="I121" i="13"/>
  <c r="I120" i="13"/>
  <c r="I119" i="13"/>
  <c r="I118" i="13"/>
  <c r="I115" i="13"/>
  <c r="I114" i="13"/>
  <c r="I113" i="13"/>
  <c r="I112" i="13"/>
  <c r="I111" i="13"/>
  <c r="I110" i="13"/>
  <c r="I109" i="13"/>
  <c r="I108" i="13"/>
  <c r="I105" i="13"/>
  <c r="I104" i="13"/>
  <c r="I103" i="13"/>
  <c r="I102" i="13"/>
  <c r="I101" i="13"/>
  <c r="I98" i="13"/>
  <c r="I97" i="13"/>
  <c r="I96" i="13"/>
  <c r="I95" i="13"/>
  <c r="I92" i="13"/>
  <c r="I91" i="13"/>
  <c r="I88" i="13"/>
  <c r="I87" i="13"/>
  <c r="I86" i="13"/>
  <c r="I85" i="13"/>
  <c r="I84" i="13"/>
  <c r="I83" i="13"/>
  <c r="I82" i="13"/>
  <c r="I81" i="13"/>
  <c r="I77" i="13"/>
  <c r="I76" i="13"/>
  <c r="I75" i="13"/>
  <c r="I74" i="13"/>
  <c r="I73" i="13"/>
  <c r="I70" i="13"/>
  <c r="I69" i="13"/>
  <c r="I66" i="13"/>
  <c r="I65" i="13"/>
  <c r="I62" i="13"/>
  <c r="I61" i="13"/>
  <c r="I58" i="13"/>
  <c r="I57" i="13"/>
  <c r="I56" i="13"/>
  <c r="I55" i="13"/>
  <c r="I54" i="13"/>
  <c r="I53" i="13"/>
  <c r="I49" i="13"/>
  <c r="I48" i="13"/>
  <c r="I47" i="13"/>
  <c r="I46" i="13"/>
  <c r="I43" i="13"/>
  <c r="I40" i="13"/>
  <c r="I37" i="13"/>
  <c r="I36" i="13"/>
  <c r="I35" i="13"/>
  <c r="I32" i="13"/>
  <c r="I31" i="13"/>
  <c r="I30" i="13"/>
  <c r="I26" i="13"/>
  <c r="I25" i="13"/>
  <c r="I24" i="13"/>
  <c r="I23" i="13"/>
  <c r="I22" i="13"/>
  <c r="I21" i="13"/>
  <c r="I20" i="13"/>
  <c r="I13" i="13"/>
  <c r="I14" i="13"/>
  <c r="I15" i="13"/>
  <c r="I16" i="13"/>
  <c r="L321" i="13"/>
  <c r="J317" i="13"/>
  <c r="L319" i="13"/>
  <c r="L320" i="13"/>
  <c r="L318" i="13"/>
  <c r="L315" i="13"/>
  <c r="L312" i="13"/>
  <c r="L311" i="13"/>
  <c r="L310" i="13"/>
  <c r="L309" i="13"/>
  <c r="L308" i="13"/>
  <c r="L307" i="13"/>
  <c r="L306" i="13"/>
  <c r="L305" i="13"/>
  <c r="L302" i="13"/>
  <c r="L301" i="13"/>
  <c r="L300" i="13"/>
  <c r="L299" i="13"/>
  <c r="L296" i="13"/>
  <c r="L293" i="13"/>
  <c r="L292" i="13"/>
  <c r="L291" i="13"/>
  <c r="L290" i="13"/>
  <c r="L289" i="13"/>
  <c r="L288" i="13"/>
  <c r="L287" i="13"/>
  <c r="L286" i="13"/>
  <c r="L285" i="13"/>
  <c r="L284" i="13"/>
  <c r="L283" i="13"/>
  <c r="L282" i="13"/>
  <c r="L281" i="13"/>
  <c r="L280" i="13"/>
  <c r="L279" i="13"/>
  <c r="L278" i="13"/>
  <c r="L277" i="13"/>
  <c r="L274" i="13"/>
  <c r="L273" i="13"/>
  <c r="L272" i="13"/>
  <c r="L271" i="13"/>
  <c r="L268" i="13"/>
  <c r="L267" i="13"/>
  <c r="L266" i="13"/>
  <c r="L263" i="13"/>
  <c r="L262" i="13"/>
  <c r="L261" i="13"/>
  <c r="L260" i="13"/>
  <c r="L259" i="13"/>
  <c r="L258" i="13"/>
  <c r="L257" i="13"/>
  <c r="L256" i="13"/>
  <c r="L255" i="13"/>
  <c r="L254" i="13"/>
  <c r="L253" i="13"/>
  <c r="L252" i="13"/>
  <c r="L251" i="13"/>
  <c r="L250" i="13"/>
  <c r="L249" i="13"/>
  <c r="L248" i="13"/>
  <c r="L247" i="13"/>
  <c r="L246" i="13"/>
  <c r="L245" i="13"/>
  <c r="L244" i="13"/>
  <c r="L243" i="13"/>
  <c r="L242" i="13"/>
  <c r="L241" i="13"/>
  <c r="L240" i="13"/>
  <c r="L239" i="13"/>
  <c r="L238" i="13"/>
  <c r="L237" i="13"/>
  <c r="L236" i="13"/>
  <c r="L235" i="13"/>
  <c r="L234" i="13"/>
  <c r="L233" i="13"/>
  <c r="L232" i="13"/>
  <c r="L231" i="13"/>
  <c r="L230" i="13"/>
  <c r="L229" i="13"/>
  <c r="L228" i="13"/>
  <c r="L227" i="13"/>
  <c r="L226" i="13"/>
  <c r="L225" i="13"/>
  <c r="L224" i="13"/>
  <c r="L223" i="13"/>
  <c r="L222" i="13"/>
  <c r="L221" i="13"/>
  <c r="L220" i="13"/>
  <c r="L219" i="13"/>
  <c r="L218" i="13"/>
  <c r="L217" i="13"/>
  <c r="L216" i="13"/>
  <c r="L215" i="13"/>
  <c r="L214" i="13"/>
  <c r="L213" i="13"/>
  <c r="L212" i="13"/>
  <c r="L211" i="13"/>
  <c r="L210" i="13"/>
  <c r="L209" i="13"/>
  <c r="L208" i="13"/>
  <c r="L207" i="13"/>
  <c r="L206" i="13"/>
  <c r="L205" i="13"/>
  <c r="L204" i="13"/>
  <c r="L203" i="13"/>
  <c r="L202" i="13"/>
  <c r="L201" i="13"/>
  <c r="L200" i="13"/>
  <c r="L199" i="13"/>
  <c r="L198" i="13"/>
  <c r="L197" i="13"/>
  <c r="L196" i="13"/>
  <c r="L195" i="13"/>
  <c r="L194" i="13"/>
  <c r="L193" i="13"/>
  <c r="L192" i="13"/>
  <c r="L191" i="13"/>
  <c r="L190" i="13"/>
  <c r="L189" i="13"/>
  <c r="L188" i="13"/>
  <c r="L187" i="13"/>
  <c r="L186" i="13"/>
  <c r="L185" i="13"/>
  <c r="L184" i="13"/>
  <c r="L183" i="13"/>
  <c r="L182" i="13"/>
  <c r="L181" i="13"/>
  <c r="L180" i="13"/>
  <c r="L179" i="13"/>
  <c r="L178" i="13"/>
  <c r="L177" i="13"/>
  <c r="L176" i="13"/>
  <c r="L175" i="13"/>
  <c r="L174" i="13"/>
  <c r="L173" i="13"/>
  <c r="L172" i="13"/>
  <c r="L171" i="13"/>
  <c r="L170" i="13"/>
  <c r="L169" i="13"/>
  <c r="L168" i="13"/>
  <c r="L167" i="13"/>
  <c r="L166" i="13"/>
  <c r="L165" i="13"/>
  <c r="L164" i="13"/>
  <c r="L163" i="13"/>
  <c r="L162" i="13"/>
  <c r="L161" i="13"/>
  <c r="L160" i="13"/>
  <c r="L159" i="13"/>
  <c r="L158" i="13"/>
  <c r="L157" i="13"/>
  <c r="L156" i="13"/>
  <c r="L155" i="13"/>
  <c r="L154" i="13"/>
  <c r="L153" i="13"/>
  <c r="L152" i="13"/>
  <c r="L151" i="13"/>
  <c r="L150" i="13"/>
  <c r="L149" i="13"/>
  <c r="L148" i="13"/>
  <c r="L147" i="13"/>
  <c r="L146" i="13"/>
  <c r="L145" i="13"/>
  <c r="L144" i="13"/>
  <c r="L143" i="13"/>
  <c r="L142" i="13"/>
  <c r="L141" i="13"/>
  <c r="L140" i="13"/>
  <c r="L139" i="13"/>
  <c r="L138" i="13"/>
  <c r="L137" i="13"/>
  <c r="L136" i="13"/>
  <c r="L135" i="13"/>
  <c r="L134" i="13"/>
  <c r="L133" i="13"/>
  <c r="L132" i="13"/>
  <c r="L131" i="13"/>
  <c r="L130" i="13"/>
  <c r="L129" i="13"/>
  <c r="L128" i="13"/>
  <c r="L127" i="13"/>
  <c r="L126" i="13"/>
  <c r="L125" i="13"/>
  <c r="L124" i="13"/>
  <c r="L123" i="13"/>
  <c r="L122" i="13"/>
  <c r="L121" i="13"/>
  <c r="L120" i="13"/>
  <c r="L119" i="13"/>
  <c r="L118" i="13"/>
  <c r="L117" i="13"/>
  <c r="L116" i="13"/>
  <c r="L115" i="13"/>
  <c r="L114" i="13"/>
  <c r="L113" i="13"/>
  <c r="L112" i="13"/>
  <c r="L111" i="13"/>
  <c r="L110" i="13"/>
  <c r="L109" i="13"/>
  <c r="L108" i="13"/>
  <c r="L107" i="13"/>
  <c r="L106" i="13"/>
  <c r="L105" i="13"/>
  <c r="L104" i="13"/>
  <c r="L103" i="13"/>
  <c r="L102" i="13"/>
  <c r="L101" i="13"/>
  <c r="L100" i="13"/>
  <c r="L99" i="13"/>
  <c r="L98" i="13"/>
  <c r="L97" i="13"/>
  <c r="L96" i="13"/>
  <c r="L95" i="13"/>
  <c r="L94" i="13"/>
  <c r="L93" i="13"/>
  <c r="L92" i="13"/>
  <c r="L91" i="13"/>
  <c r="L90" i="13"/>
  <c r="L89" i="13"/>
  <c r="L88" i="13"/>
  <c r="L87" i="13"/>
  <c r="L86" i="13"/>
  <c r="L85" i="13"/>
  <c r="L84" i="13"/>
  <c r="L83" i="13"/>
  <c r="L82" i="13"/>
  <c r="L81" i="13"/>
  <c r="L80" i="13"/>
  <c r="L79" i="13"/>
  <c r="L78" i="13"/>
  <c r="L77" i="13"/>
  <c r="L76" i="13"/>
  <c r="L75" i="13"/>
  <c r="L74" i="13"/>
  <c r="L73" i="13"/>
  <c r="L72" i="13"/>
  <c r="L71" i="13"/>
  <c r="L70" i="13"/>
  <c r="L69" i="13"/>
  <c r="L68" i="13"/>
  <c r="L67" i="13"/>
  <c r="L66" i="13"/>
  <c r="L65" i="13"/>
  <c r="L64" i="13"/>
  <c r="L63" i="13"/>
  <c r="L62" i="13"/>
  <c r="L61" i="13"/>
  <c r="L60" i="13"/>
  <c r="L59" i="13"/>
  <c r="L58" i="13"/>
  <c r="L57" i="13"/>
  <c r="L56" i="13"/>
  <c r="L55" i="13"/>
  <c r="L54" i="13"/>
  <c r="L53" i="13"/>
  <c r="L52" i="13"/>
  <c r="L51" i="13"/>
  <c r="L50" i="13"/>
  <c r="L49" i="13"/>
  <c r="L48" i="13"/>
  <c r="L47" i="13"/>
  <c r="L46" i="13"/>
  <c r="L45" i="13"/>
  <c r="L44" i="13"/>
  <c r="L43" i="13"/>
  <c r="L42" i="13"/>
  <c r="L41" i="13"/>
  <c r="L40" i="13"/>
  <c r="L39" i="13"/>
  <c r="L38" i="13"/>
  <c r="L37" i="13"/>
  <c r="L36" i="13"/>
  <c r="L35" i="13"/>
  <c r="L34" i="13"/>
  <c r="L33" i="13"/>
  <c r="L32" i="13"/>
  <c r="L31" i="13"/>
  <c r="L30" i="13"/>
  <c r="L29" i="13"/>
  <c r="L28" i="13"/>
  <c r="L27" i="13"/>
  <c r="L26" i="13"/>
  <c r="L25" i="13"/>
  <c r="L24" i="13"/>
  <c r="L23" i="13"/>
  <c r="L22" i="13"/>
  <c r="L21" i="13"/>
  <c r="L20" i="13"/>
  <c r="L13" i="13"/>
  <c r="L14" i="13"/>
  <c r="L15" i="13"/>
  <c r="L16" i="13"/>
  <c r="L12" i="13"/>
  <c r="J318" i="13"/>
  <c r="J321" i="13" s="1"/>
  <c r="J319" i="13"/>
  <c r="J320" i="13"/>
  <c r="G305" i="13" l="1"/>
  <c r="N321" i="13"/>
  <c r="J12" i="12"/>
  <c r="J13" i="12"/>
  <c r="J12" i="7"/>
  <c r="I12" i="7" s="1"/>
  <c r="J12" i="11"/>
  <c r="I12" i="11" s="1"/>
  <c r="J12" i="13"/>
  <c r="G14" i="13"/>
  <c r="G15" i="13"/>
  <c r="G16" i="13"/>
  <c r="G21" i="13"/>
  <c r="G22" i="13"/>
  <c r="G23" i="13"/>
  <c r="G24" i="13"/>
  <c r="G26" i="13"/>
  <c r="G31" i="13"/>
  <c r="G32" i="13"/>
  <c r="G35" i="13"/>
  <c r="G36" i="13"/>
  <c r="G37" i="13"/>
  <c r="G40" i="13"/>
  <c r="G46" i="13"/>
  <c r="G47" i="13"/>
  <c r="G48" i="13"/>
  <c r="G49" i="13"/>
  <c r="G55" i="13"/>
  <c r="G56" i="13"/>
  <c r="G57" i="13"/>
  <c r="G61" i="13"/>
  <c r="G62" i="13"/>
  <c r="G65" i="13"/>
  <c r="G66" i="13"/>
  <c r="G69" i="13"/>
  <c r="G77" i="13"/>
  <c r="G81" i="13"/>
  <c r="G82" i="13"/>
  <c r="G84" i="13"/>
  <c r="G85" i="13"/>
  <c r="G86" i="13"/>
  <c r="G87" i="13"/>
  <c r="G91" i="13"/>
  <c r="G92" i="13"/>
  <c r="G95" i="13"/>
  <c r="G96" i="13"/>
  <c r="G97" i="13"/>
  <c r="G98" i="13"/>
  <c r="G101" i="13"/>
  <c r="G102" i="13"/>
  <c r="G103" i="13"/>
  <c r="G104" i="13"/>
  <c r="G105" i="13"/>
  <c r="G108" i="13"/>
  <c r="G109" i="13"/>
  <c r="G110" i="13"/>
  <c r="G111" i="13"/>
  <c r="G112" i="13"/>
  <c r="G113" i="13"/>
  <c r="G114" i="13"/>
  <c r="G115" i="13"/>
  <c r="G118" i="13"/>
  <c r="G119" i="13"/>
  <c r="G120" i="13"/>
  <c r="G121" i="13"/>
  <c r="G124" i="13"/>
  <c r="G125" i="13"/>
  <c r="G126" i="13"/>
  <c r="G127" i="13"/>
  <c r="G128" i="13"/>
  <c r="G129" i="13"/>
  <c r="G132" i="13"/>
  <c r="G133" i="13"/>
  <c r="G134" i="13"/>
  <c r="G135" i="13"/>
  <c r="G136" i="13"/>
  <c r="G137" i="13"/>
  <c r="G138" i="13"/>
  <c r="G141" i="13"/>
  <c r="G142" i="13"/>
  <c r="G145" i="13"/>
  <c r="G146" i="13"/>
  <c r="G149" i="13"/>
  <c r="G150" i="13"/>
  <c r="G153" i="13"/>
  <c r="G154" i="13"/>
  <c r="G157" i="13"/>
  <c r="G160" i="13"/>
  <c r="G161" i="13"/>
  <c r="G162" i="13"/>
  <c r="G163" i="13"/>
  <c r="G164" i="13"/>
  <c r="G167" i="13"/>
  <c r="G168" i="13"/>
  <c r="G169" i="13"/>
  <c r="G172" i="13"/>
  <c r="G175" i="13"/>
  <c r="G176" i="13"/>
  <c r="G177" i="13"/>
  <c r="G178" i="13"/>
  <c r="G179" i="13"/>
  <c r="G183" i="13"/>
  <c r="G184" i="13"/>
  <c r="G187" i="13"/>
  <c r="G188" i="13"/>
  <c r="G189" i="13"/>
  <c r="G192" i="13"/>
  <c r="G193" i="13"/>
  <c r="G194" i="13"/>
  <c r="G195" i="13"/>
  <c r="G199" i="13"/>
  <c r="G205" i="13"/>
  <c r="G206" i="13"/>
  <c r="G207" i="13"/>
  <c r="G212" i="13"/>
  <c r="G215" i="13"/>
  <c r="G217" i="13"/>
  <c r="G220" i="13"/>
  <c r="G221" i="13"/>
  <c r="G224" i="13"/>
  <c r="G225" i="13"/>
  <c r="G226" i="13"/>
  <c r="G227" i="13"/>
  <c r="G228" i="13"/>
  <c r="G231" i="13"/>
  <c r="G232" i="13"/>
  <c r="G233" i="13"/>
  <c r="G234" i="13"/>
  <c r="G237" i="13"/>
  <c r="G238" i="13"/>
  <c r="G239" i="13"/>
  <c r="G240" i="13"/>
  <c r="G243" i="13"/>
  <c r="G244" i="13"/>
  <c r="G245" i="13"/>
  <c r="G246" i="13"/>
  <c r="G249" i="13"/>
  <c r="G250" i="13"/>
  <c r="G251" i="13"/>
  <c r="G252" i="13"/>
  <c r="G253" i="13"/>
  <c r="G255" i="13"/>
  <c r="G256" i="13"/>
  <c r="G257" i="13"/>
  <c r="G258" i="13"/>
  <c r="G261" i="13"/>
  <c r="G263" i="13"/>
  <c r="G266" i="13"/>
  <c r="G267" i="13"/>
  <c r="G268" i="13"/>
  <c r="G271" i="13"/>
  <c r="G272" i="13"/>
  <c r="G273" i="13"/>
  <c r="G274" i="13"/>
  <c r="G277" i="13"/>
  <c r="G278" i="13"/>
  <c r="G279" i="13"/>
  <c r="G280" i="13"/>
  <c r="G281" i="13"/>
  <c r="G282" i="13"/>
  <c r="G283" i="13"/>
  <c r="G284" i="13"/>
  <c r="G285" i="13"/>
  <c r="G286" i="13"/>
  <c r="G287" i="13"/>
  <c r="G288" i="13"/>
  <c r="G289" i="13"/>
  <c r="G290" i="13"/>
  <c r="G291" i="13"/>
  <c r="G292" i="13"/>
  <c r="G293" i="13"/>
  <c r="G296" i="13"/>
  <c r="G299" i="13"/>
  <c r="G300" i="13"/>
  <c r="G302" i="13"/>
  <c r="G306" i="13"/>
  <c r="G307" i="13"/>
  <c r="G308" i="13"/>
  <c r="G309" i="13"/>
  <c r="G310" i="13"/>
  <c r="G311" i="13"/>
  <c r="G312" i="13"/>
  <c r="G315" i="13"/>
  <c r="J202" i="11"/>
  <c r="I202" i="11" s="1"/>
  <c r="H315" i="13"/>
  <c r="J315" i="13" s="1"/>
  <c r="I316" i="13" s="1"/>
  <c r="J202" i="13"/>
  <c r="H312" i="12" l="1"/>
  <c r="J312" i="12" s="1"/>
  <c r="I312" i="12" s="1"/>
  <c r="H311" i="12"/>
  <c r="J311" i="12" s="1"/>
  <c r="I311" i="12" s="1"/>
  <c r="H310" i="12"/>
  <c r="J310" i="12" s="1"/>
  <c r="I310" i="12" s="1"/>
  <c r="H309" i="12"/>
  <c r="J309" i="12" s="1"/>
  <c r="I309" i="12" s="1"/>
  <c r="H308" i="12"/>
  <c r="J308" i="12" s="1"/>
  <c r="I308" i="12" s="1"/>
  <c r="H307" i="12"/>
  <c r="J307" i="12" s="1"/>
  <c r="I307" i="12" s="1"/>
  <c r="H306" i="12"/>
  <c r="J306" i="12" s="1"/>
  <c r="I306" i="12" s="1"/>
  <c r="H305" i="12"/>
  <c r="J305" i="12" s="1"/>
  <c r="I305" i="12" s="1"/>
  <c r="H312" i="11"/>
  <c r="J312" i="11" s="1"/>
  <c r="I312" i="11" s="1"/>
  <c r="H311" i="11"/>
  <c r="J311" i="11" s="1"/>
  <c r="I311" i="11" s="1"/>
  <c r="H310" i="11"/>
  <c r="J310" i="11" s="1"/>
  <c r="I310" i="11" s="1"/>
  <c r="H309" i="11"/>
  <c r="J309" i="11" s="1"/>
  <c r="I309" i="11" s="1"/>
  <c r="H308" i="11"/>
  <c r="J308" i="11" s="1"/>
  <c r="I308" i="11" s="1"/>
  <c r="H307" i="11"/>
  <c r="J307" i="11" s="1"/>
  <c r="I307" i="11" s="1"/>
  <c r="H306" i="11"/>
  <c r="J306" i="11" s="1"/>
  <c r="I306" i="11" s="1"/>
  <c r="H305" i="11"/>
  <c r="J305" i="11" s="1"/>
  <c r="I305" i="11" s="1"/>
  <c r="H312" i="7"/>
  <c r="J312" i="7" s="1"/>
  <c r="I312" i="7" s="1"/>
  <c r="H311" i="7"/>
  <c r="J311" i="7" s="1"/>
  <c r="I311" i="7" s="1"/>
  <c r="H310" i="7"/>
  <c r="J310" i="7" s="1"/>
  <c r="I310" i="7" s="1"/>
  <c r="H309" i="7"/>
  <c r="J309" i="7" s="1"/>
  <c r="I309" i="7" s="1"/>
  <c r="H308" i="7"/>
  <c r="J308" i="7" s="1"/>
  <c r="I308" i="7" s="1"/>
  <c r="H307" i="7"/>
  <c r="J307" i="7" s="1"/>
  <c r="I307" i="7" s="1"/>
  <c r="H306" i="7"/>
  <c r="J306" i="7" s="1"/>
  <c r="I306" i="7" s="1"/>
  <c r="H305" i="7"/>
  <c r="J305" i="7" s="1"/>
  <c r="I305" i="7" s="1"/>
  <c r="H312" i="13"/>
  <c r="J312" i="13" s="1"/>
  <c r="H311" i="13"/>
  <c r="J311" i="13" s="1"/>
  <c r="H310" i="13"/>
  <c r="J310" i="13" s="1"/>
  <c r="H309" i="13"/>
  <c r="J309" i="13" s="1"/>
  <c r="H308" i="13"/>
  <c r="H307" i="13"/>
  <c r="H305" i="13"/>
  <c r="H306" i="13"/>
  <c r="I313" i="12" l="1"/>
  <c r="I313" i="11"/>
  <c r="I313" i="7"/>
  <c r="H315" i="7" l="1"/>
  <c r="J315" i="7" s="1"/>
  <c r="I315" i="7" s="1"/>
  <c r="J315" i="11"/>
  <c r="I315" i="11" s="1"/>
  <c r="J315" i="12"/>
  <c r="I315" i="12" s="1"/>
  <c r="I316" i="7" l="1"/>
  <c r="I316" i="11"/>
  <c r="I316" i="12"/>
  <c r="H296" i="13" l="1"/>
  <c r="H240" i="13" l="1"/>
  <c r="H240" i="12" s="1"/>
  <c r="H240" i="7" l="1"/>
  <c r="H240" i="11"/>
  <c r="H296" i="12" l="1"/>
  <c r="E296" i="12"/>
  <c r="H296" i="11"/>
  <c r="E296" i="11"/>
  <c r="H296" i="7"/>
  <c r="E296" i="7"/>
  <c r="H299" i="13" l="1"/>
  <c r="H299" i="12" s="1"/>
  <c r="H302" i="13"/>
  <c r="H302" i="12" s="1"/>
  <c r="H301" i="13"/>
  <c r="H300" i="13"/>
  <c r="H300" i="12" s="1"/>
  <c r="H301" i="12" l="1"/>
  <c r="J301" i="12" s="1"/>
  <c r="I301" i="12" s="1"/>
  <c r="J301" i="13"/>
  <c r="H301" i="11"/>
  <c r="J301" i="11" s="1"/>
  <c r="H301" i="7"/>
  <c r="H302" i="11"/>
  <c r="J302" i="11" s="1"/>
  <c r="I302" i="11" s="1"/>
  <c r="H302" i="7"/>
  <c r="H300" i="7"/>
  <c r="H300" i="11"/>
  <c r="J300" i="11" s="1"/>
  <c r="I300" i="11" s="1"/>
  <c r="H299" i="11"/>
  <c r="H299" i="7"/>
  <c r="J296" i="7"/>
  <c r="I296" i="7" s="1"/>
  <c r="I330" i="13"/>
  <c r="J308" i="13"/>
  <c r="J307" i="13"/>
  <c r="J306" i="13"/>
  <c r="J305" i="13"/>
  <c r="J303" i="13"/>
  <c r="J302" i="13"/>
  <c r="J300" i="13"/>
  <c r="J299" i="13"/>
  <c r="J296" i="13"/>
  <c r="J293" i="13"/>
  <c r="J292" i="13"/>
  <c r="J291" i="13"/>
  <c r="J290" i="13"/>
  <c r="J289" i="13"/>
  <c r="J288" i="13"/>
  <c r="J287" i="13"/>
  <c r="J286" i="13"/>
  <c r="J285" i="13"/>
  <c r="J284" i="13"/>
  <c r="J283" i="13"/>
  <c r="J282" i="13"/>
  <c r="J281" i="13"/>
  <c r="J280" i="13"/>
  <c r="J279" i="13"/>
  <c r="J278" i="13"/>
  <c r="J277" i="13"/>
  <c r="J274" i="13"/>
  <c r="J273" i="13"/>
  <c r="J272" i="13"/>
  <c r="J271" i="13"/>
  <c r="J268" i="13"/>
  <c r="J267" i="13"/>
  <c r="J266" i="13"/>
  <c r="J263" i="13"/>
  <c r="J262" i="13"/>
  <c r="J261" i="13"/>
  <c r="J258" i="13"/>
  <c r="J257" i="13"/>
  <c r="J256" i="13"/>
  <c r="J255" i="13"/>
  <c r="J254" i="13"/>
  <c r="J253" i="13"/>
  <c r="J252" i="13"/>
  <c r="J251" i="13"/>
  <c r="J250" i="13"/>
  <c r="J249" i="13"/>
  <c r="J246" i="13"/>
  <c r="J245" i="13"/>
  <c r="J244" i="13"/>
  <c r="J243" i="13"/>
  <c r="J240" i="13"/>
  <c r="J239" i="13"/>
  <c r="J238" i="13"/>
  <c r="J237" i="13"/>
  <c r="J234" i="13"/>
  <c r="J233" i="13"/>
  <c r="J232" i="13"/>
  <c r="J231" i="13"/>
  <c r="J228" i="13"/>
  <c r="J227" i="13"/>
  <c r="J226" i="13"/>
  <c r="J225" i="13"/>
  <c r="J224" i="13"/>
  <c r="J221" i="13"/>
  <c r="J220" i="13"/>
  <c r="J217" i="13"/>
  <c r="J216" i="13"/>
  <c r="J215" i="13"/>
  <c r="J212" i="13"/>
  <c r="J211" i="13"/>
  <c r="J210" i="13"/>
  <c r="J207" i="13"/>
  <c r="J206" i="13"/>
  <c r="J205" i="13"/>
  <c r="J199" i="13"/>
  <c r="J196" i="13"/>
  <c r="J195" i="13"/>
  <c r="J194" i="13"/>
  <c r="J193" i="13"/>
  <c r="J192" i="13"/>
  <c r="J189" i="13"/>
  <c r="J188" i="13"/>
  <c r="J187" i="13"/>
  <c r="J184" i="13"/>
  <c r="J183" i="13"/>
  <c r="J179" i="13"/>
  <c r="J178" i="13"/>
  <c r="J177" i="13"/>
  <c r="J176" i="13"/>
  <c r="J175" i="13"/>
  <c r="J172" i="13"/>
  <c r="J169" i="13"/>
  <c r="J168" i="13"/>
  <c r="J167" i="13"/>
  <c r="J164" i="13"/>
  <c r="J163" i="13"/>
  <c r="J162" i="13"/>
  <c r="J161" i="13"/>
  <c r="J160" i="13"/>
  <c r="J157" i="13"/>
  <c r="J154" i="13"/>
  <c r="J153" i="13"/>
  <c r="J150" i="13"/>
  <c r="J149" i="13"/>
  <c r="J146" i="13"/>
  <c r="J145" i="13"/>
  <c r="J142" i="13"/>
  <c r="J141" i="13"/>
  <c r="J138" i="13"/>
  <c r="J137" i="13"/>
  <c r="J136" i="13"/>
  <c r="J135" i="13"/>
  <c r="J134" i="13"/>
  <c r="J133" i="13"/>
  <c r="J132" i="13"/>
  <c r="J129" i="13"/>
  <c r="J128" i="13"/>
  <c r="J127" i="13"/>
  <c r="J126" i="13"/>
  <c r="J125" i="13"/>
  <c r="J124" i="13"/>
  <c r="J121" i="13"/>
  <c r="J120" i="13"/>
  <c r="J119" i="13"/>
  <c r="J118" i="13"/>
  <c r="J115" i="13"/>
  <c r="J114" i="13"/>
  <c r="J113" i="13"/>
  <c r="J112" i="13"/>
  <c r="J111" i="13"/>
  <c r="J110" i="13"/>
  <c r="J109" i="13"/>
  <c r="J108" i="13"/>
  <c r="J105" i="13"/>
  <c r="J104" i="13"/>
  <c r="J103" i="13"/>
  <c r="J102" i="13"/>
  <c r="J101" i="13"/>
  <c r="J98" i="13"/>
  <c r="J97" i="13"/>
  <c r="J96" i="13"/>
  <c r="J95" i="13"/>
  <c r="J92" i="13"/>
  <c r="J91" i="13"/>
  <c r="J88" i="13"/>
  <c r="J87" i="13"/>
  <c r="J86" i="13"/>
  <c r="J85" i="13"/>
  <c r="J84" i="13"/>
  <c r="J83" i="13"/>
  <c r="J82" i="13"/>
  <c r="J81" i="13"/>
  <c r="J77" i="13"/>
  <c r="J76" i="13"/>
  <c r="J75" i="13"/>
  <c r="J74" i="13"/>
  <c r="J73" i="13"/>
  <c r="J70" i="13"/>
  <c r="J69" i="13"/>
  <c r="J66" i="13"/>
  <c r="J65" i="13"/>
  <c r="J62" i="13"/>
  <c r="J61" i="13"/>
  <c r="I63" i="13" s="1"/>
  <c r="J58" i="13"/>
  <c r="J57" i="13"/>
  <c r="J56" i="13"/>
  <c r="J55" i="13"/>
  <c r="J54" i="13"/>
  <c r="J53" i="13"/>
  <c r="J49" i="13"/>
  <c r="J48" i="13"/>
  <c r="J47" i="13"/>
  <c r="J46" i="13"/>
  <c r="J43" i="13"/>
  <c r="J40" i="13"/>
  <c r="J37" i="13"/>
  <c r="J36" i="13"/>
  <c r="J35" i="13"/>
  <c r="J32" i="13"/>
  <c r="J31" i="13"/>
  <c r="J30" i="13"/>
  <c r="J26" i="13"/>
  <c r="J25" i="13"/>
  <c r="J24" i="13"/>
  <c r="J23" i="13"/>
  <c r="J22" i="13"/>
  <c r="J21" i="13"/>
  <c r="J20" i="13"/>
  <c r="J16" i="13"/>
  <c r="J15" i="13"/>
  <c r="J14" i="13"/>
  <c r="J13" i="13"/>
  <c r="G202" i="12"/>
  <c r="G202" i="13" s="1"/>
  <c r="G76" i="12"/>
  <c r="G76" i="13" s="1"/>
  <c r="G70" i="12"/>
  <c r="G70" i="13" s="1"/>
  <c r="G20" i="12"/>
  <c r="G20" i="13" s="1"/>
  <c r="G30" i="12"/>
  <c r="G13" i="12"/>
  <c r="G13" i="13" s="1"/>
  <c r="I330" i="12"/>
  <c r="J303" i="12"/>
  <c r="J302" i="12"/>
  <c r="I302" i="12" s="1"/>
  <c r="J300" i="12"/>
  <c r="I300" i="12" s="1"/>
  <c r="J299" i="12"/>
  <c r="I299" i="12" s="1"/>
  <c r="J296" i="12"/>
  <c r="I296" i="12" s="1"/>
  <c r="I297" i="12" s="1"/>
  <c r="J293" i="12"/>
  <c r="I293" i="12" s="1"/>
  <c r="J292" i="12"/>
  <c r="I292" i="12" s="1"/>
  <c r="J291" i="12"/>
  <c r="I291" i="12" s="1"/>
  <c r="J290" i="12"/>
  <c r="I290" i="12" s="1"/>
  <c r="J289" i="12"/>
  <c r="I289" i="12" s="1"/>
  <c r="J288" i="12"/>
  <c r="I288" i="12" s="1"/>
  <c r="J287" i="12"/>
  <c r="I287" i="12" s="1"/>
  <c r="J286" i="12"/>
  <c r="I286" i="12" s="1"/>
  <c r="J285" i="12"/>
  <c r="I285" i="12" s="1"/>
  <c r="J284" i="12"/>
  <c r="I284" i="12" s="1"/>
  <c r="J283" i="12"/>
  <c r="I283" i="12" s="1"/>
  <c r="J282" i="12"/>
  <c r="I282" i="12" s="1"/>
  <c r="J281" i="12"/>
  <c r="I281" i="12" s="1"/>
  <c r="J280" i="12"/>
  <c r="I280" i="12" s="1"/>
  <c r="J279" i="12"/>
  <c r="I279" i="12" s="1"/>
  <c r="J278" i="12"/>
  <c r="I278" i="12" s="1"/>
  <c r="J277" i="12"/>
  <c r="I277" i="12" s="1"/>
  <c r="J274" i="12"/>
  <c r="I274" i="12" s="1"/>
  <c r="J273" i="12"/>
  <c r="I273" i="12" s="1"/>
  <c r="J272" i="12"/>
  <c r="I272" i="12" s="1"/>
  <c r="J271" i="12"/>
  <c r="I271" i="12" s="1"/>
  <c r="J268" i="12"/>
  <c r="I268" i="12" s="1"/>
  <c r="J267" i="12"/>
  <c r="I267" i="12" s="1"/>
  <c r="J266" i="12"/>
  <c r="I266" i="12" s="1"/>
  <c r="J263" i="12"/>
  <c r="I263" i="12" s="1"/>
  <c r="J262" i="12"/>
  <c r="J261" i="12"/>
  <c r="I261" i="12" s="1"/>
  <c r="J258" i="12"/>
  <c r="I258" i="12" s="1"/>
  <c r="J257" i="12"/>
  <c r="I257" i="12" s="1"/>
  <c r="J256" i="12"/>
  <c r="I256" i="12" s="1"/>
  <c r="J255" i="12"/>
  <c r="I255" i="12" s="1"/>
  <c r="J254" i="12"/>
  <c r="G262" i="12"/>
  <c r="J253" i="12"/>
  <c r="I253" i="12" s="1"/>
  <c r="J252" i="12"/>
  <c r="I252" i="12" s="1"/>
  <c r="J251" i="12"/>
  <c r="I251" i="12" s="1"/>
  <c r="J250" i="12"/>
  <c r="I250" i="12" s="1"/>
  <c r="J249" i="12"/>
  <c r="I249" i="12" s="1"/>
  <c r="J246" i="12"/>
  <c r="I246" i="12" s="1"/>
  <c r="J245" i="12"/>
  <c r="I245" i="12" s="1"/>
  <c r="J244" i="12"/>
  <c r="I244" i="12" s="1"/>
  <c r="J243" i="12"/>
  <c r="I243" i="12" s="1"/>
  <c r="J240" i="12"/>
  <c r="I240" i="12" s="1"/>
  <c r="J239" i="12"/>
  <c r="I239" i="12" s="1"/>
  <c r="J238" i="12"/>
  <c r="I238" i="12" s="1"/>
  <c r="J237" i="12"/>
  <c r="I237" i="12" s="1"/>
  <c r="J234" i="12"/>
  <c r="I234" i="12" s="1"/>
  <c r="J233" i="12"/>
  <c r="I233" i="12" s="1"/>
  <c r="J232" i="12"/>
  <c r="I232" i="12" s="1"/>
  <c r="J231" i="12"/>
  <c r="I231" i="12" s="1"/>
  <c r="J228" i="12"/>
  <c r="I228" i="12" s="1"/>
  <c r="J227" i="12"/>
  <c r="I227" i="12" s="1"/>
  <c r="J226" i="12"/>
  <c r="I226" i="12" s="1"/>
  <c r="J225" i="12"/>
  <c r="I225" i="12" s="1"/>
  <c r="J224" i="12"/>
  <c r="I224" i="12" s="1"/>
  <c r="J221" i="12"/>
  <c r="I221" i="12" s="1"/>
  <c r="J220" i="12"/>
  <c r="I220" i="12" s="1"/>
  <c r="J217" i="12"/>
  <c r="I217" i="12" s="1"/>
  <c r="J216" i="12"/>
  <c r="I216" i="12" s="1"/>
  <c r="J215" i="12"/>
  <c r="I215" i="12" s="1"/>
  <c r="J212" i="12"/>
  <c r="I212" i="12" s="1"/>
  <c r="J211" i="12"/>
  <c r="J210" i="12"/>
  <c r="J207" i="12"/>
  <c r="I207" i="12" s="1"/>
  <c r="J206" i="12"/>
  <c r="I206" i="12" s="1"/>
  <c r="J205" i="12"/>
  <c r="I205" i="12" s="1"/>
  <c r="J202" i="12"/>
  <c r="J199" i="12"/>
  <c r="I199" i="12" s="1"/>
  <c r="J196" i="12"/>
  <c r="J195" i="12"/>
  <c r="I195" i="12" s="1"/>
  <c r="J194" i="12"/>
  <c r="I194" i="12" s="1"/>
  <c r="J193" i="12"/>
  <c r="I193" i="12" s="1"/>
  <c r="J192" i="12"/>
  <c r="I192" i="12" s="1"/>
  <c r="J189" i="12"/>
  <c r="I189" i="12" s="1"/>
  <c r="J188" i="12"/>
  <c r="I188" i="12" s="1"/>
  <c r="J187" i="12"/>
  <c r="I187" i="12" s="1"/>
  <c r="J184" i="12"/>
  <c r="I184" i="12" s="1"/>
  <c r="J183" i="12"/>
  <c r="I183" i="12" s="1"/>
  <c r="J179" i="12"/>
  <c r="I179" i="12" s="1"/>
  <c r="J178" i="12"/>
  <c r="I178" i="12" s="1"/>
  <c r="J177" i="12"/>
  <c r="I177" i="12" s="1"/>
  <c r="J176" i="12"/>
  <c r="I176" i="12" s="1"/>
  <c r="J175" i="12"/>
  <c r="I175" i="12" s="1"/>
  <c r="J172" i="12"/>
  <c r="I172" i="12" s="1"/>
  <c r="I173" i="12" s="1"/>
  <c r="J169" i="12"/>
  <c r="I169" i="12" s="1"/>
  <c r="J168" i="12"/>
  <c r="I168" i="12" s="1"/>
  <c r="J167" i="12"/>
  <c r="I167" i="12" s="1"/>
  <c r="J164" i="12"/>
  <c r="I164" i="12" s="1"/>
  <c r="J163" i="12"/>
  <c r="I163" i="12" s="1"/>
  <c r="J162" i="12"/>
  <c r="I162" i="12" s="1"/>
  <c r="J161" i="12"/>
  <c r="I161" i="12" s="1"/>
  <c r="J160" i="12"/>
  <c r="I160" i="12" s="1"/>
  <c r="J157" i="12"/>
  <c r="I157" i="12" s="1"/>
  <c r="I158" i="12" s="1"/>
  <c r="J154" i="12"/>
  <c r="I154" i="12" s="1"/>
  <c r="J153" i="12"/>
  <c r="I153" i="12" s="1"/>
  <c r="J150" i="12"/>
  <c r="I150" i="12" s="1"/>
  <c r="J149" i="12"/>
  <c r="I149" i="12" s="1"/>
  <c r="J146" i="12"/>
  <c r="I146" i="12" s="1"/>
  <c r="J145" i="12"/>
  <c r="I145" i="12" s="1"/>
  <c r="J142" i="12"/>
  <c r="I142" i="12" s="1"/>
  <c r="J141" i="12"/>
  <c r="I141" i="12" s="1"/>
  <c r="J138" i="12"/>
  <c r="I138" i="12" s="1"/>
  <c r="J137" i="12"/>
  <c r="I137" i="12" s="1"/>
  <c r="J136" i="12"/>
  <c r="I136" i="12" s="1"/>
  <c r="J135" i="12"/>
  <c r="I135" i="12" s="1"/>
  <c r="J134" i="12"/>
  <c r="I134" i="12" s="1"/>
  <c r="J133" i="12"/>
  <c r="I133" i="12" s="1"/>
  <c r="J132" i="12"/>
  <c r="I132" i="12" s="1"/>
  <c r="J129" i="12"/>
  <c r="I129" i="12" s="1"/>
  <c r="J128" i="12"/>
  <c r="I128" i="12" s="1"/>
  <c r="J127" i="12"/>
  <c r="I127" i="12" s="1"/>
  <c r="J126" i="12"/>
  <c r="I126" i="12" s="1"/>
  <c r="J125" i="12"/>
  <c r="I125" i="12" s="1"/>
  <c r="J124" i="12"/>
  <c r="I124" i="12" s="1"/>
  <c r="J121" i="12"/>
  <c r="I121" i="12" s="1"/>
  <c r="J120" i="12"/>
  <c r="I120" i="12" s="1"/>
  <c r="J119" i="12"/>
  <c r="I119" i="12" s="1"/>
  <c r="J118" i="12"/>
  <c r="I118" i="12" s="1"/>
  <c r="J115" i="12"/>
  <c r="I115" i="12" s="1"/>
  <c r="J114" i="12"/>
  <c r="I114" i="12" s="1"/>
  <c r="J113" i="12"/>
  <c r="I113" i="12" s="1"/>
  <c r="J112" i="12"/>
  <c r="I112" i="12" s="1"/>
  <c r="J111" i="12"/>
  <c r="I111" i="12" s="1"/>
  <c r="J110" i="12"/>
  <c r="I110" i="12" s="1"/>
  <c r="J109" i="12"/>
  <c r="I109" i="12" s="1"/>
  <c r="J108" i="12"/>
  <c r="I108" i="12" s="1"/>
  <c r="J105" i="12"/>
  <c r="I105" i="12" s="1"/>
  <c r="J104" i="12"/>
  <c r="I104" i="12" s="1"/>
  <c r="J103" i="12"/>
  <c r="I103" i="12" s="1"/>
  <c r="J102" i="12"/>
  <c r="I102" i="12" s="1"/>
  <c r="J101" i="12"/>
  <c r="I101" i="12" s="1"/>
  <c r="J98" i="12"/>
  <c r="I98" i="12" s="1"/>
  <c r="J97" i="12"/>
  <c r="I97" i="12" s="1"/>
  <c r="J96" i="12"/>
  <c r="I96" i="12" s="1"/>
  <c r="J95" i="12"/>
  <c r="I95" i="12" s="1"/>
  <c r="J92" i="12"/>
  <c r="I92" i="12" s="1"/>
  <c r="J91" i="12"/>
  <c r="I91" i="12" s="1"/>
  <c r="J88" i="12"/>
  <c r="I88" i="12" s="1"/>
  <c r="J87" i="12"/>
  <c r="I87" i="12" s="1"/>
  <c r="J86" i="12"/>
  <c r="I86" i="12" s="1"/>
  <c r="J85" i="12"/>
  <c r="I85" i="12" s="1"/>
  <c r="J84" i="12"/>
  <c r="I84" i="12" s="1"/>
  <c r="J83" i="12"/>
  <c r="I83" i="12" s="1"/>
  <c r="J82" i="12"/>
  <c r="I82" i="12" s="1"/>
  <c r="J81" i="12"/>
  <c r="I81" i="12" s="1"/>
  <c r="J77" i="12"/>
  <c r="I77" i="12" s="1"/>
  <c r="J76" i="12"/>
  <c r="I76" i="12" s="1"/>
  <c r="J75" i="12"/>
  <c r="J74" i="12"/>
  <c r="J73" i="12"/>
  <c r="G73" i="12"/>
  <c r="J70" i="12"/>
  <c r="J69" i="12"/>
  <c r="I69" i="12" s="1"/>
  <c r="J66" i="12"/>
  <c r="I66" i="12" s="1"/>
  <c r="J65" i="12"/>
  <c r="I65" i="12" s="1"/>
  <c r="J62" i="12"/>
  <c r="I62" i="12" s="1"/>
  <c r="J61" i="12"/>
  <c r="I61" i="12" s="1"/>
  <c r="J58" i="12"/>
  <c r="I58" i="12" s="1"/>
  <c r="J57" i="12"/>
  <c r="I57" i="12" s="1"/>
  <c r="J56" i="12"/>
  <c r="I56" i="12" s="1"/>
  <c r="J55" i="12"/>
  <c r="I55" i="12" s="1"/>
  <c r="J54" i="12"/>
  <c r="I54" i="12" s="1"/>
  <c r="J53" i="12"/>
  <c r="J49" i="12"/>
  <c r="I49" i="12" s="1"/>
  <c r="J48" i="12"/>
  <c r="I48" i="12" s="1"/>
  <c r="J47" i="12"/>
  <c r="I47" i="12" s="1"/>
  <c r="J46" i="12"/>
  <c r="I46" i="12" s="1"/>
  <c r="J43" i="12"/>
  <c r="G43" i="12"/>
  <c r="J40" i="12"/>
  <c r="I40" i="12" s="1"/>
  <c r="I41" i="12" s="1"/>
  <c r="J37" i="12"/>
  <c r="I37" i="12" s="1"/>
  <c r="J36" i="12"/>
  <c r="I36" i="12" s="1"/>
  <c r="J35" i="12"/>
  <c r="I35" i="12" s="1"/>
  <c r="J32" i="12"/>
  <c r="I32" i="12" s="1"/>
  <c r="J31" i="12"/>
  <c r="I31" i="12" s="1"/>
  <c r="J30" i="12"/>
  <c r="J26" i="12"/>
  <c r="I26" i="12" s="1"/>
  <c r="J25" i="12"/>
  <c r="I25" i="12" s="1"/>
  <c r="J24" i="12"/>
  <c r="I24" i="12" s="1"/>
  <c r="J23" i="12"/>
  <c r="I23" i="12" s="1"/>
  <c r="J22" i="12"/>
  <c r="I22" i="12" s="1"/>
  <c r="J21" i="12"/>
  <c r="I21" i="12" s="1"/>
  <c r="J20" i="12"/>
  <c r="J16" i="12"/>
  <c r="I16" i="12" s="1"/>
  <c r="M15" i="12"/>
  <c r="J15" i="12"/>
  <c r="I15" i="12" s="1"/>
  <c r="J14" i="12"/>
  <c r="I14" i="12" s="1"/>
  <c r="G301" i="11"/>
  <c r="G301" i="13" s="1"/>
  <c r="J299" i="11"/>
  <c r="I299" i="11" s="1"/>
  <c r="J296" i="11"/>
  <c r="I296" i="11" s="1"/>
  <c r="J303" i="11"/>
  <c r="G254" i="11"/>
  <c r="G254" i="13" s="1"/>
  <c r="I330" i="11"/>
  <c r="J293" i="11"/>
  <c r="I293" i="11" s="1"/>
  <c r="J292" i="11"/>
  <c r="I292" i="11" s="1"/>
  <c r="J291" i="11"/>
  <c r="I291" i="11" s="1"/>
  <c r="J290" i="11"/>
  <c r="I290" i="11" s="1"/>
  <c r="J289" i="11"/>
  <c r="I289" i="11" s="1"/>
  <c r="J288" i="11"/>
  <c r="I288" i="11" s="1"/>
  <c r="J287" i="11"/>
  <c r="I287" i="11" s="1"/>
  <c r="J286" i="11"/>
  <c r="I286" i="11" s="1"/>
  <c r="J285" i="11"/>
  <c r="I285" i="11" s="1"/>
  <c r="J284" i="11"/>
  <c r="I284" i="11" s="1"/>
  <c r="J283" i="11"/>
  <c r="I283" i="11" s="1"/>
  <c r="J282" i="11"/>
  <c r="I282" i="11" s="1"/>
  <c r="J281" i="11"/>
  <c r="I281" i="11" s="1"/>
  <c r="J280" i="11"/>
  <c r="I280" i="11" s="1"/>
  <c r="J279" i="11"/>
  <c r="I279" i="11" s="1"/>
  <c r="J278" i="11"/>
  <c r="I278" i="11" s="1"/>
  <c r="J277" i="11"/>
  <c r="I277" i="11" s="1"/>
  <c r="J274" i="11"/>
  <c r="I274" i="11" s="1"/>
  <c r="J273" i="11"/>
  <c r="I273" i="11" s="1"/>
  <c r="J272" i="11"/>
  <c r="I272" i="11" s="1"/>
  <c r="J271" i="11"/>
  <c r="I271" i="11" s="1"/>
  <c r="J268" i="11"/>
  <c r="I268" i="11" s="1"/>
  <c r="J267" i="11"/>
  <c r="I267" i="11" s="1"/>
  <c r="J266" i="11"/>
  <c r="I266" i="11" s="1"/>
  <c r="J263" i="11"/>
  <c r="I263" i="11" s="1"/>
  <c r="J262" i="11"/>
  <c r="J261" i="11"/>
  <c r="I261" i="11" s="1"/>
  <c r="J258" i="11"/>
  <c r="I258" i="11" s="1"/>
  <c r="J257" i="11"/>
  <c r="I257" i="11" s="1"/>
  <c r="J256" i="11"/>
  <c r="I256" i="11" s="1"/>
  <c r="J255" i="11"/>
  <c r="I255" i="11" s="1"/>
  <c r="J254" i="11"/>
  <c r="J253" i="11"/>
  <c r="I253" i="11" s="1"/>
  <c r="J252" i="11"/>
  <c r="I252" i="11" s="1"/>
  <c r="J251" i="11"/>
  <c r="I251" i="11" s="1"/>
  <c r="J250" i="11"/>
  <c r="I250" i="11" s="1"/>
  <c r="J249" i="11"/>
  <c r="I249" i="11" s="1"/>
  <c r="J246" i="11"/>
  <c r="J245" i="11"/>
  <c r="I245" i="11" s="1"/>
  <c r="J244" i="11"/>
  <c r="I244" i="11" s="1"/>
  <c r="J243" i="11"/>
  <c r="I243" i="11" s="1"/>
  <c r="J240" i="11"/>
  <c r="I240" i="11" s="1"/>
  <c r="J239" i="11"/>
  <c r="I239" i="11" s="1"/>
  <c r="J238" i="11"/>
  <c r="I238" i="11" s="1"/>
  <c r="J237" i="11"/>
  <c r="I237" i="11" s="1"/>
  <c r="J234" i="11"/>
  <c r="I234" i="11" s="1"/>
  <c r="J233" i="11"/>
  <c r="I233" i="11" s="1"/>
  <c r="J232" i="11"/>
  <c r="I232" i="11" s="1"/>
  <c r="J231" i="11"/>
  <c r="I231" i="11" s="1"/>
  <c r="J228" i="11"/>
  <c r="I228" i="11" s="1"/>
  <c r="J227" i="11"/>
  <c r="I227" i="11" s="1"/>
  <c r="J226" i="11"/>
  <c r="I226" i="11" s="1"/>
  <c r="J225" i="11"/>
  <c r="I225" i="11" s="1"/>
  <c r="J224" i="11"/>
  <c r="I224" i="11" s="1"/>
  <c r="J221" i="11"/>
  <c r="I221" i="11" s="1"/>
  <c r="J220" i="11"/>
  <c r="I220" i="11" s="1"/>
  <c r="J217" i="11"/>
  <c r="I217" i="11" s="1"/>
  <c r="J216" i="11"/>
  <c r="J215" i="11"/>
  <c r="I215" i="11" s="1"/>
  <c r="J212" i="11"/>
  <c r="I212" i="11" s="1"/>
  <c r="J211" i="11"/>
  <c r="J210" i="11"/>
  <c r="J207" i="11"/>
  <c r="I207" i="11" s="1"/>
  <c r="J206" i="11"/>
  <c r="I206" i="11" s="1"/>
  <c r="J205" i="11"/>
  <c r="I205" i="11" s="1"/>
  <c r="J199" i="11"/>
  <c r="I199" i="11" s="1"/>
  <c r="J196" i="11"/>
  <c r="J195" i="11"/>
  <c r="I195" i="11" s="1"/>
  <c r="J194" i="11"/>
  <c r="I194" i="11" s="1"/>
  <c r="J193" i="11"/>
  <c r="I193" i="11" s="1"/>
  <c r="J192" i="11"/>
  <c r="I192" i="11" s="1"/>
  <c r="J189" i="11"/>
  <c r="I189" i="11" s="1"/>
  <c r="J188" i="11"/>
  <c r="I188" i="11" s="1"/>
  <c r="J187" i="11"/>
  <c r="I187" i="11" s="1"/>
  <c r="J184" i="11"/>
  <c r="I184" i="11" s="1"/>
  <c r="J183" i="11"/>
  <c r="I183" i="11" s="1"/>
  <c r="J179" i="11"/>
  <c r="I179" i="11" s="1"/>
  <c r="J178" i="11"/>
  <c r="I178" i="11" s="1"/>
  <c r="J177" i="11"/>
  <c r="I177" i="11" s="1"/>
  <c r="J176" i="11"/>
  <c r="I176" i="11" s="1"/>
  <c r="J175" i="11"/>
  <c r="I175" i="11" s="1"/>
  <c r="J172" i="11"/>
  <c r="I172" i="11" s="1"/>
  <c r="I173" i="11" s="1"/>
  <c r="J169" i="11"/>
  <c r="I169" i="11" s="1"/>
  <c r="J168" i="11"/>
  <c r="I168" i="11" s="1"/>
  <c r="J167" i="11"/>
  <c r="I167" i="11" s="1"/>
  <c r="J164" i="11"/>
  <c r="I164" i="11" s="1"/>
  <c r="J163" i="11"/>
  <c r="I163" i="11" s="1"/>
  <c r="J162" i="11"/>
  <c r="I162" i="11" s="1"/>
  <c r="J161" i="11"/>
  <c r="I161" i="11" s="1"/>
  <c r="J160" i="11"/>
  <c r="I160" i="11" s="1"/>
  <c r="J157" i="11"/>
  <c r="I157" i="11" s="1"/>
  <c r="I158" i="11" s="1"/>
  <c r="J154" i="11"/>
  <c r="I154" i="11" s="1"/>
  <c r="J153" i="11"/>
  <c r="I153" i="11" s="1"/>
  <c r="J150" i="11"/>
  <c r="I150" i="11" s="1"/>
  <c r="J149" i="11"/>
  <c r="I149" i="11" s="1"/>
  <c r="J146" i="11"/>
  <c r="I146" i="11" s="1"/>
  <c r="J145" i="11"/>
  <c r="I145" i="11" s="1"/>
  <c r="J142" i="11"/>
  <c r="I142" i="11" s="1"/>
  <c r="J141" i="11"/>
  <c r="I141" i="11" s="1"/>
  <c r="J138" i="11"/>
  <c r="I138" i="11" s="1"/>
  <c r="J137" i="11"/>
  <c r="I137" i="11" s="1"/>
  <c r="J136" i="11"/>
  <c r="I136" i="11" s="1"/>
  <c r="J135" i="11"/>
  <c r="I135" i="11" s="1"/>
  <c r="J134" i="11"/>
  <c r="I134" i="11" s="1"/>
  <c r="J133" i="11"/>
  <c r="I133" i="11" s="1"/>
  <c r="J132" i="11"/>
  <c r="I132" i="11" s="1"/>
  <c r="J129" i="11"/>
  <c r="I129" i="11" s="1"/>
  <c r="J128" i="11"/>
  <c r="I128" i="11" s="1"/>
  <c r="J127" i="11"/>
  <c r="I127" i="11" s="1"/>
  <c r="J126" i="11"/>
  <c r="I126" i="11" s="1"/>
  <c r="J125" i="11"/>
  <c r="I125" i="11" s="1"/>
  <c r="J124" i="11"/>
  <c r="I124" i="11" s="1"/>
  <c r="J121" i="11"/>
  <c r="I121" i="11" s="1"/>
  <c r="J120" i="11"/>
  <c r="I120" i="11" s="1"/>
  <c r="J119" i="11"/>
  <c r="I119" i="11" s="1"/>
  <c r="J118" i="11"/>
  <c r="I118" i="11" s="1"/>
  <c r="J115" i="11"/>
  <c r="I115" i="11" s="1"/>
  <c r="J114" i="11"/>
  <c r="I114" i="11" s="1"/>
  <c r="J113" i="11"/>
  <c r="I113" i="11" s="1"/>
  <c r="J112" i="11"/>
  <c r="I112" i="11" s="1"/>
  <c r="J111" i="11"/>
  <c r="I111" i="11" s="1"/>
  <c r="J110" i="11"/>
  <c r="I110" i="11" s="1"/>
  <c r="J109" i="11"/>
  <c r="I109" i="11" s="1"/>
  <c r="J108" i="11"/>
  <c r="I108" i="11" s="1"/>
  <c r="J105" i="11"/>
  <c r="I105" i="11" s="1"/>
  <c r="J104" i="11"/>
  <c r="I104" i="11" s="1"/>
  <c r="J103" i="11"/>
  <c r="I103" i="11" s="1"/>
  <c r="J102" i="11"/>
  <c r="I102" i="11" s="1"/>
  <c r="J101" i="11"/>
  <c r="I101" i="11" s="1"/>
  <c r="J98" i="11"/>
  <c r="I98" i="11" s="1"/>
  <c r="J97" i="11"/>
  <c r="I97" i="11" s="1"/>
  <c r="J96" i="11"/>
  <c r="I96" i="11" s="1"/>
  <c r="J95" i="11"/>
  <c r="I95" i="11" s="1"/>
  <c r="J92" i="11"/>
  <c r="I92" i="11" s="1"/>
  <c r="J91" i="11"/>
  <c r="I91" i="11" s="1"/>
  <c r="J88" i="11"/>
  <c r="I88" i="11" s="1"/>
  <c r="J87" i="11"/>
  <c r="I87" i="11" s="1"/>
  <c r="J86" i="11"/>
  <c r="I86" i="11" s="1"/>
  <c r="J85" i="11"/>
  <c r="I85" i="11" s="1"/>
  <c r="J84" i="11"/>
  <c r="I84" i="11" s="1"/>
  <c r="J83" i="11"/>
  <c r="I83" i="11" s="1"/>
  <c r="J82" i="11"/>
  <c r="I82" i="11" s="1"/>
  <c r="J81" i="11"/>
  <c r="I81" i="11" s="1"/>
  <c r="J77" i="11"/>
  <c r="I77" i="11" s="1"/>
  <c r="J76" i="11"/>
  <c r="I76" i="11" s="1"/>
  <c r="J75" i="11"/>
  <c r="J74" i="11"/>
  <c r="J73" i="11"/>
  <c r="G73" i="11"/>
  <c r="G74" i="11" s="1"/>
  <c r="J70" i="11"/>
  <c r="I70" i="11" s="1"/>
  <c r="J69" i="11"/>
  <c r="I69" i="11" s="1"/>
  <c r="J66" i="11"/>
  <c r="I66" i="11" s="1"/>
  <c r="J65" i="11"/>
  <c r="I65" i="11" s="1"/>
  <c r="J62" i="11"/>
  <c r="I62" i="11" s="1"/>
  <c r="J61" i="11"/>
  <c r="I61" i="11" s="1"/>
  <c r="J58" i="11"/>
  <c r="I58" i="11" s="1"/>
  <c r="J57" i="11"/>
  <c r="I57" i="11" s="1"/>
  <c r="J56" i="11"/>
  <c r="I56" i="11" s="1"/>
  <c r="J55" i="11"/>
  <c r="I55" i="11" s="1"/>
  <c r="J54" i="11"/>
  <c r="J53" i="11"/>
  <c r="J49" i="11"/>
  <c r="I49" i="11" s="1"/>
  <c r="J48" i="11"/>
  <c r="I48" i="11" s="1"/>
  <c r="J47" i="11"/>
  <c r="I47" i="11" s="1"/>
  <c r="J46" i="11"/>
  <c r="I46" i="11" s="1"/>
  <c r="J43" i="11"/>
  <c r="G43" i="11"/>
  <c r="J40" i="11"/>
  <c r="I40" i="11" s="1"/>
  <c r="I41" i="11" s="1"/>
  <c r="J37" i="11"/>
  <c r="I37" i="11" s="1"/>
  <c r="J36" i="11"/>
  <c r="I36" i="11" s="1"/>
  <c r="J35" i="11"/>
  <c r="I35" i="11" s="1"/>
  <c r="J32" i="11"/>
  <c r="I32" i="11" s="1"/>
  <c r="J31" i="11"/>
  <c r="I31" i="11" s="1"/>
  <c r="J30" i="11"/>
  <c r="J26" i="11"/>
  <c r="I26" i="11" s="1"/>
  <c r="J25" i="11"/>
  <c r="I25" i="11" s="1"/>
  <c r="J24" i="11"/>
  <c r="I24" i="11" s="1"/>
  <c r="J23" i="11"/>
  <c r="I23" i="11" s="1"/>
  <c r="J22" i="11"/>
  <c r="I22" i="11" s="1"/>
  <c r="J21" i="11"/>
  <c r="I21" i="11" s="1"/>
  <c r="J20" i="11"/>
  <c r="I20" i="11" s="1"/>
  <c r="J16" i="11"/>
  <c r="I16" i="11" s="1"/>
  <c r="M15" i="11"/>
  <c r="J15" i="11"/>
  <c r="I15" i="11" s="1"/>
  <c r="J14" i="11"/>
  <c r="I14" i="11" s="1"/>
  <c r="J13" i="11"/>
  <c r="I13" i="11" s="1"/>
  <c r="G216" i="7"/>
  <c r="G216" i="13" s="1"/>
  <c r="G83" i="13"/>
  <c r="G73" i="7"/>
  <c r="G74" i="7" s="1"/>
  <c r="G43" i="7"/>
  <c r="G88" i="13"/>
  <c r="I71" i="13" l="1"/>
  <c r="I38" i="13"/>
  <c r="I106" i="13"/>
  <c r="I203" i="13"/>
  <c r="I50" i="13"/>
  <c r="I67" i="13"/>
  <c r="I116" i="13"/>
  <c r="I122" i="13"/>
  <c r="I130" i="13"/>
  <c r="G73" i="13"/>
  <c r="G43" i="13"/>
  <c r="I44" i="13" s="1"/>
  <c r="I13" i="12"/>
  <c r="I70" i="12"/>
  <c r="I71" i="12" s="1"/>
  <c r="G25" i="7"/>
  <c r="G262" i="11"/>
  <c r="I17" i="11"/>
  <c r="G53" i="12"/>
  <c r="G210" i="12"/>
  <c r="I297" i="13"/>
  <c r="I43" i="12"/>
  <c r="I44" i="12" s="1"/>
  <c r="I294" i="12"/>
  <c r="I303" i="12"/>
  <c r="I275" i="12"/>
  <c r="I297" i="7"/>
  <c r="I20" i="12"/>
  <c r="I12" i="12"/>
  <c r="I17" i="12" s="1"/>
  <c r="I297" i="11"/>
  <c r="I99" i="12"/>
  <c r="I151" i="12"/>
  <c r="G211" i="12"/>
  <c r="I262" i="12"/>
  <c r="I264" i="12" s="1"/>
  <c r="I74" i="11"/>
  <c r="I202" i="12"/>
  <c r="I203" i="12" s="1"/>
  <c r="I254" i="11"/>
  <c r="I259" i="11" s="1"/>
  <c r="I210" i="11"/>
  <c r="I41" i="13"/>
  <c r="I158" i="13"/>
  <c r="I173" i="13"/>
  <c r="I222" i="12"/>
  <c r="G74" i="12"/>
  <c r="G74" i="13" s="1"/>
  <c r="I30" i="12"/>
  <c r="I33" i="12" s="1"/>
  <c r="I185" i="12"/>
  <c r="I211" i="11"/>
  <c r="G30" i="7"/>
  <c r="I38" i="12"/>
  <c r="I106" i="12"/>
  <c r="I139" i="12"/>
  <c r="I200" i="12"/>
  <c r="I208" i="12"/>
  <c r="I229" i="12"/>
  <c r="I122" i="12"/>
  <c r="I143" i="12"/>
  <c r="I190" i="12"/>
  <c r="I196" i="12"/>
  <c r="I269" i="12"/>
  <c r="I180" i="12"/>
  <c r="I254" i="12"/>
  <c r="I259" i="12" s="1"/>
  <c r="I116" i="12"/>
  <c r="I241" i="12"/>
  <c r="I27" i="12"/>
  <c r="I75" i="12"/>
  <c r="I50" i="12"/>
  <c r="I67" i="12"/>
  <c r="I73" i="12"/>
  <c r="I89" i="12"/>
  <c r="I93" i="12"/>
  <c r="I155" i="12"/>
  <c r="I130" i="12"/>
  <c r="I63" i="12"/>
  <c r="I147" i="12"/>
  <c r="I165" i="12"/>
  <c r="I170" i="12"/>
  <c r="I218" i="12"/>
  <c r="I235" i="12"/>
  <c r="I247" i="12"/>
  <c r="I38" i="11"/>
  <c r="I89" i="11"/>
  <c r="I139" i="11"/>
  <c r="I106" i="11"/>
  <c r="G54" i="7"/>
  <c r="G54" i="13" s="1"/>
  <c r="G58" i="7"/>
  <c r="G58" i="13" s="1"/>
  <c r="G53" i="7"/>
  <c r="I143" i="11"/>
  <c r="I301" i="11"/>
  <c r="I303" i="11" s="1"/>
  <c r="G30" i="11"/>
  <c r="I185" i="11"/>
  <c r="I222" i="11"/>
  <c r="G53" i="11"/>
  <c r="I53" i="11" s="1"/>
  <c r="I73" i="11"/>
  <c r="I170" i="11"/>
  <c r="I93" i="11"/>
  <c r="I151" i="11"/>
  <c r="I241" i="11"/>
  <c r="I147" i="11"/>
  <c r="I190" i="11"/>
  <c r="I216" i="11"/>
  <c r="I218" i="11" s="1"/>
  <c r="I54" i="11"/>
  <c r="I43" i="11"/>
  <c r="I44" i="11" s="1"/>
  <c r="I63" i="11"/>
  <c r="I116" i="11"/>
  <c r="I122" i="11"/>
  <c r="I203" i="11"/>
  <c r="I275" i="11"/>
  <c r="I67" i="11"/>
  <c r="I247" i="11"/>
  <c r="I71" i="11"/>
  <c r="I99" i="11"/>
  <c r="I130" i="11"/>
  <c r="I155" i="11"/>
  <c r="I180" i="11"/>
  <c r="I200" i="11"/>
  <c r="I208" i="11"/>
  <c r="I229" i="11"/>
  <c r="I294" i="11"/>
  <c r="I50" i="11"/>
  <c r="I235" i="11"/>
  <c r="I27" i="11"/>
  <c r="I165" i="11"/>
  <c r="I196" i="11"/>
  <c r="I269" i="11"/>
  <c r="I330" i="7"/>
  <c r="J302" i="7"/>
  <c r="I302" i="7" s="1"/>
  <c r="J301" i="7"/>
  <c r="I301" i="7" s="1"/>
  <c r="J300" i="7"/>
  <c r="I300" i="7" s="1"/>
  <c r="J299" i="7"/>
  <c r="I299" i="7" s="1"/>
  <c r="J293" i="7"/>
  <c r="I293" i="7" s="1"/>
  <c r="J292" i="7"/>
  <c r="I292" i="7" s="1"/>
  <c r="J291" i="7"/>
  <c r="I291" i="7" s="1"/>
  <c r="J290" i="7"/>
  <c r="I290" i="7" s="1"/>
  <c r="J289" i="7"/>
  <c r="I289" i="7" s="1"/>
  <c r="J288" i="7"/>
  <c r="I288" i="7" s="1"/>
  <c r="J287" i="7"/>
  <c r="I287" i="7" s="1"/>
  <c r="J286" i="7"/>
  <c r="I286" i="7" s="1"/>
  <c r="J285" i="7"/>
  <c r="I285" i="7" s="1"/>
  <c r="J284" i="7"/>
  <c r="I284" i="7" s="1"/>
  <c r="J283" i="7"/>
  <c r="I283" i="7" s="1"/>
  <c r="J282" i="7"/>
  <c r="I282" i="7" s="1"/>
  <c r="J281" i="7"/>
  <c r="I281" i="7" s="1"/>
  <c r="J280" i="7"/>
  <c r="I280" i="7" s="1"/>
  <c r="J279" i="7"/>
  <c r="I279" i="7" s="1"/>
  <c r="J278" i="7"/>
  <c r="I278" i="7" s="1"/>
  <c r="J277" i="7"/>
  <c r="I277" i="7" s="1"/>
  <c r="J274" i="7"/>
  <c r="I274" i="7" s="1"/>
  <c r="J273" i="7"/>
  <c r="I273" i="7" s="1"/>
  <c r="J272" i="7"/>
  <c r="I272" i="7" s="1"/>
  <c r="J271" i="7"/>
  <c r="I271" i="7" s="1"/>
  <c r="J268" i="7"/>
  <c r="I268" i="7" s="1"/>
  <c r="J267" i="7"/>
  <c r="I267" i="7" s="1"/>
  <c r="J266" i="7"/>
  <c r="I266" i="7" s="1"/>
  <c r="J263" i="7"/>
  <c r="I263" i="7" s="1"/>
  <c r="J262" i="7"/>
  <c r="I262" i="7" s="1"/>
  <c r="J261" i="7"/>
  <c r="I261" i="7" s="1"/>
  <c r="J258" i="7"/>
  <c r="I258" i="7" s="1"/>
  <c r="J257" i="7"/>
  <c r="I257" i="7" s="1"/>
  <c r="J256" i="7"/>
  <c r="I256" i="7" s="1"/>
  <c r="J255" i="7"/>
  <c r="I255" i="7" s="1"/>
  <c r="J254" i="7"/>
  <c r="I254" i="7" s="1"/>
  <c r="J253" i="7"/>
  <c r="I253" i="7" s="1"/>
  <c r="J252" i="7"/>
  <c r="I252" i="7" s="1"/>
  <c r="J251" i="7"/>
  <c r="I251" i="7" s="1"/>
  <c r="J250" i="7"/>
  <c r="I250" i="7" s="1"/>
  <c r="J249" i="7"/>
  <c r="I249" i="7" s="1"/>
  <c r="J246" i="7"/>
  <c r="I246" i="7" s="1"/>
  <c r="J245" i="7"/>
  <c r="I245" i="7" s="1"/>
  <c r="J244" i="7"/>
  <c r="I244" i="7" s="1"/>
  <c r="J243" i="7"/>
  <c r="I243" i="7" s="1"/>
  <c r="J240" i="7"/>
  <c r="I240" i="7" s="1"/>
  <c r="J239" i="7"/>
  <c r="I239" i="7" s="1"/>
  <c r="J238" i="7"/>
  <c r="I238" i="7" s="1"/>
  <c r="J237" i="7"/>
  <c r="I237" i="7" s="1"/>
  <c r="J234" i="7"/>
  <c r="I234" i="7" s="1"/>
  <c r="J232" i="7"/>
  <c r="I232" i="7" s="1"/>
  <c r="J233" i="7"/>
  <c r="I233" i="7" s="1"/>
  <c r="J231" i="7"/>
  <c r="I231" i="7" s="1"/>
  <c r="J228" i="7"/>
  <c r="I228" i="7" s="1"/>
  <c r="J227" i="7"/>
  <c r="I227" i="7" s="1"/>
  <c r="J226" i="7"/>
  <c r="I226" i="7" s="1"/>
  <c r="J225" i="7"/>
  <c r="I225" i="7" s="1"/>
  <c r="J224" i="7"/>
  <c r="I224" i="7" s="1"/>
  <c r="J221" i="7"/>
  <c r="I221" i="7" s="1"/>
  <c r="J220" i="7"/>
  <c r="I220" i="7" s="1"/>
  <c r="J217" i="7"/>
  <c r="I217" i="7" s="1"/>
  <c r="J216" i="7"/>
  <c r="I216" i="7" s="1"/>
  <c r="J215" i="7"/>
  <c r="I215" i="7" s="1"/>
  <c r="J212" i="7"/>
  <c r="I212" i="7" s="1"/>
  <c r="J211" i="7"/>
  <c r="I211" i="7" s="1"/>
  <c r="J210" i="7"/>
  <c r="I210" i="7" s="1"/>
  <c r="J207" i="7"/>
  <c r="I207" i="7" s="1"/>
  <c r="J206" i="7"/>
  <c r="I206" i="7" s="1"/>
  <c r="J205" i="7"/>
  <c r="I205" i="7" s="1"/>
  <c r="J202" i="7"/>
  <c r="I202" i="7" s="1"/>
  <c r="J199" i="7"/>
  <c r="I199" i="7" s="1"/>
  <c r="J196" i="7"/>
  <c r="J195" i="7"/>
  <c r="I195" i="7" s="1"/>
  <c r="J194" i="7"/>
  <c r="I194" i="7" s="1"/>
  <c r="J193" i="7"/>
  <c r="I193" i="7" s="1"/>
  <c r="J192" i="7"/>
  <c r="I192" i="7" s="1"/>
  <c r="J189" i="7"/>
  <c r="I189" i="7" s="1"/>
  <c r="J188" i="7"/>
  <c r="I188" i="7" s="1"/>
  <c r="J187" i="7"/>
  <c r="I187" i="7" s="1"/>
  <c r="J184" i="7"/>
  <c r="I184" i="7" s="1"/>
  <c r="J183" i="7"/>
  <c r="I183" i="7" s="1"/>
  <c r="J179" i="7"/>
  <c r="I179" i="7" s="1"/>
  <c r="J178" i="7"/>
  <c r="I178" i="7" s="1"/>
  <c r="J177" i="7"/>
  <c r="I177" i="7" s="1"/>
  <c r="J176" i="7"/>
  <c r="I176" i="7" s="1"/>
  <c r="J175" i="7"/>
  <c r="I175" i="7" s="1"/>
  <c r="J172" i="7"/>
  <c r="I172" i="7" s="1"/>
  <c r="I173" i="7" s="1"/>
  <c r="J169" i="7"/>
  <c r="I169" i="7" s="1"/>
  <c r="J168" i="7"/>
  <c r="I168" i="7" s="1"/>
  <c r="J167" i="7"/>
  <c r="I167" i="7" s="1"/>
  <c r="J164" i="7"/>
  <c r="I164" i="7" s="1"/>
  <c r="J163" i="7"/>
  <c r="I163" i="7" s="1"/>
  <c r="J162" i="7"/>
  <c r="I162" i="7" s="1"/>
  <c r="J161" i="7"/>
  <c r="I161" i="7" s="1"/>
  <c r="J160" i="7"/>
  <c r="I160" i="7" s="1"/>
  <c r="J157" i="7"/>
  <c r="I157" i="7" s="1"/>
  <c r="I158" i="7" s="1"/>
  <c r="J154" i="7"/>
  <c r="I154" i="7" s="1"/>
  <c r="J153" i="7"/>
  <c r="I153" i="7" s="1"/>
  <c r="J150" i="7"/>
  <c r="I150" i="7" s="1"/>
  <c r="J149" i="7"/>
  <c r="I149" i="7" s="1"/>
  <c r="J146" i="7"/>
  <c r="I146" i="7" s="1"/>
  <c r="J145" i="7"/>
  <c r="I145" i="7" s="1"/>
  <c r="J142" i="7"/>
  <c r="I142" i="7" s="1"/>
  <c r="J141" i="7"/>
  <c r="I141" i="7" s="1"/>
  <c r="J138" i="7"/>
  <c r="I138" i="7" s="1"/>
  <c r="J137" i="7"/>
  <c r="I137" i="7" s="1"/>
  <c r="J136" i="7"/>
  <c r="I136" i="7" s="1"/>
  <c r="J135" i="7"/>
  <c r="I135" i="7" s="1"/>
  <c r="J134" i="7"/>
  <c r="I134" i="7" s="1"/>
  <c r="J133" i="7"/>
  <c r="I133" i="7" s="1"/>
  <c r="J132" i="7"/>
  <c r="I132" i="7" s="1"/>
  <c r="J129" i="7"/>
  <c r="I129" i="7" s="1"/>
  <c r="J128" i="7"/>
  <c r="I128" i="7" s="1"/>
  <c r="J127" i="7"/>
  <c r="I127" i="7" s="1"/>
  <c r="J126" i="7"/>
  <c r="I126" i="7" s="1"/>
  <c r="J125" i="7"/>
  <c r="I125" i="7" s="1"/>
  <c r="J124" i="7"/>
  <c r="I124" i="7" s="1"/>
  <c r="J121" i="7"/>
  <c r="I121" i="7" s="1"/>
  <c r="J120" i="7"/>
  <c r="I120" i="7" s="1"/>
  <c r="J119" i="7"/>
  <c r="I119" i="7" s="1"/>
  <c r="J118" i="7"/>
  <c r="I118" i="7" s="1"/>
  <c r="J115" i="7"/>
  <c r="I115" i="7" s="1"/>
  <c r="J114" i="7"/>
  <c r="I114" i="7" s="1"/>
  <c r="J113" i="7"/>
  <c r="I113" i="7" s="1"/>
  <c r="J112" i="7"/>
  <c r="I112" i="7" s="1"/>
  <c r="J111" i="7"/>
  <c r="I111" i="7" s="1"/>
  <c r="J110" i="7"/>
  <c r="I110" i="7" s="1"/>
  <c r="J109" i="7"/>
  <c r="I109" i="7" s="1"/>
  <c r="J108" i="7"/>
  <c r="I108" i="7" s="1"/>
  <c r="J105" i="7"/>
  <c r="I105" i="7" s="1"/>
  <c r="J104" i="7"/>
  <c r="I104" i="7" s="1"/>
  <c r="J103" i="7"/>
  <c r="I103" i="7" s="1"/>
  <c r="J102" i="7"/>
  <c r="I102" i="7" s="1"/>
  <c r="J101" i="7"/>
  <c r="I101" i="7" s="1"/>
  <c r="J98" i="7"/>
  <c r="I98" i="7" s="1"/>
  <c r="J97" i="7"/>
  <c r="I97" i="7" s="1"/>
  <c r="J96" i="7"/>
  <c r="I96" i="7" s="1"/>
  <c r="J95" i="7"/>
  <c r="I95" i="7" s="1"/>
  <c r="J92" i="7"/>
  <c r="I92" i="7" s="1"/>
  <c r="J91" i="7"/>
  <c r="I91" i="7" s="1"/>
  <c r="J88" i="7"/>
  <c r="I88" i="7" s="1"/>
  <c r="J87" i="7"/>
  <c r="I87" i="7" s="1"/>
  <c r="J86" i="7"/>
  <c r="I86" i="7" s="1"/>
  <c r="J85" i="7"/>
  <c r="I85" i="7" s="1"/>
  <c r="J84" i="7"/>
  <c r="I84" i="7" s="1"/>
  <c r="J83" i="7"/>
  <c r="I83" i="7" s="1"/>
  <c r="J82" i="7"/>
  <c r="I82" i="7" s="1"/>
  <c r="J81" i="7"/>
  <c r="I81" i="7" s="1"/>
  <c r="J77" i="7"/>
  <c r="I77" i="7" s="1"/>
  <c r="J76" i="7"/>
  <c r="I76" i="7" s="1"/>
  <c r="J75" i="7"/>
  <c r="J74" i="7"/>
  <c r="I74" i="7" s="1"/>
  <c r="J73" i="7"/>
  <c r="I73" i="7" s="1"/>
  <c r="J70" i="7"/>
  <c r="I70" i="7" s="1"/>
  <c r="J69" i="7"/>
  <c r="I69" i="7" s="1"/>
  <c r="J66" i="7"/>
  <c r="I66" i="7" s="1"/>
  <c r="J65" i="7"/>
  <c r="I65" i="7" s="1"/>
  <c r="J62" i="7"/>
  <c r="I62" i="7" s="1"/>
  <c r="J61" i="7"/>
  <c r="I61" i="7" s="1"/>
  <c r="J58" i="7"/>
  <c r="J57" i="7"/>
  <c r="I57" i="7" s="1"/>
  <c r="J56" i="7"/>
  <c r="I56" i="7" s="1"/>
  <c r="J55" i="7"/>
  <c r="I55" i="7" s="1"/>
  <c r="J54" i="7"/>
  <c r="J53" i="7"/>
  <c r="J49" i="7"/>
  <c r="I49" i="7" s="1"/>
  <c r="J48" i="7"/>
  <c r="I48" i="7" s="1"/>
  <c r="J47" i="7"/>
  <c r="I47" i="7" s="1"/>
  <c r="J46" i="7"/>
  <c r="I46" i="7" s="1"/>
  <c r="J43" i="7"/>
  <c r="I43" i="7" s="1"/>
  <c r="I44" i="7" s="1"/>
  <c r="J40" i="7"/>
  <c r="I40" i="7" s="1"/>
  <c r="I41" i="7" s="1"/>
  <c r="J37" i="7"/>
  <c r="I37" i="7" s="1"/>
  <c r="J36" i="7"/>
  <c r="I36" i="7" s="1"/>
  <c r="J35" i="7"/>
  <c r="I35" i="7" s="1"/>
  <c r="J32" i="7"/>
  <c r="I32" i="7" s="1"/>
  <c r="J31" i="7"/>
  <c r="I31" i="7" s="1"/>
  <c r="J30" i="7"/>
  <c r="J26" i="7"/>
  <c r="I26" i="7" s="1"/>
  <c r="J25" i="7"/>
  <c r="J24" i="7"/>
  <c r="I24" i="7" s="1"/>
  <c r="J23" i="7"/>
  <c r="I23" i="7" s="1"/>
  <c r="J22" i="7"/>
  <c r="I22" i="7" s="1"/>
  <c r="J21" i="7"/>
  <c r="I21" i="7" s="1"/>
  <c r="J20" i="7"/>
  <c r="I20" i="7" s="1"/>
  <c r="J16" i="7"/>
  <c r="I16" i="7" s="1"/>
  <c r="M15" i="7"/>
  <c r="J15" i="7"/>
  <c r="I15" i="7" s="1"/>
  <c r="J14" i="7"/>
  <c r="I14" i="7" s="1"/>
  <c r="J13" i="7"/>
  <c r="I13" i="7" s="1"/>
  <c r="I17" i="7" s="1"/>
  <c r="I56" i="2"/>
  <c r="G30" i="13" l="1"/>
  <c r="I33" i="13" s="1"/>
  <c r="I25" i="7"/>
  <c r="I27" i="7" s="1"/>
  <c r="K27" i="13" s="1"/>
  <c r="I213" i="7"/>
  <c r="I67" i="7"/>
  <c r="G25" i="13"/>
  <c r="I27" i="13" s="1"/>
  <c r="I262" i="11"/>
  <c r="I264" i="11" s="1"/>
  <c r="G262" i="13"/>
  <c r="G53" i="13"/>
  <c r="I59" i="13" s="1"/>
  <c r="G211" i="13"/>
  <c r="G210" i="13"/>
  <c r="I213" i="13" s="1"/>
  <c r="I210" i="12"/>
  <c r="I247" i="7"/>
  <c r="I71" i="7"/>
  <c r="I53" i="12"/>
  <c r="I59" i="12" s="1"/>
  <c r="I241" i="7"/>
  <c r="I313" i="13"/>
  <c r="I151" i="13"/>
  <c r="I213" i="11"/>
  <c r="I190" i="7"/>
  <c r="I63" i="7"/>
  <c r="I93" i="7"/>
  <c r="I143" i="7"/>
  <c r="I155" i="7"/>
  <c r="I38" i="7"/>
  <c r="K38" i="13" s="1"/>
  <c r="I99" i="7"/>
  <c r="I147" i="7"/>
  <c r="I303" i="13"/>
  <c r="I222" i="13"/>
  <c r="I211" i="12"/>
  <c r="I93" i="13"/>
  <c r="I180" i="13"/>
  <c r="I235" i="13"/>
  <c r="I170" i="13"/>
  <c r="I294" i="13"/>
  <c r="I143" i="13"/>
  <c r="I58" i="7"/>
  <c r="I89" i="7"/>
  <c r="I151" i="7"/>
  <c r="I196" i="7"/>
  <c r="I229" i="7"/>
  <c r="G12" i="13"/>
  <c r="I12" i="13" s="1"/>
  <c r="I50" i="7"/>
  <c r="I122" i="7"/>
  <c r="I264" i="7"/>
  <c r="I139" i="7"/>
  <c r="I218" i="7"/>
  <c r="I275" i="13"/>
  <c r="I185" i="13"/>
  <c r="I170" i="7"/>
  <c r="I203" i="7"/>
  <c r="I208" i="7"/>
  <c r="I269" i="13"/>
  <c r="I89" i="13"/>
  <c r="I264" i="13"/>
  <c r="I155" i="13"/>
  <c r="I165" i="13"/>
  <c r="I294" i="7"/>
  <c r="I196" i="13"/>
  <c r="I241" i="13"/>
  <c r="I106" i="7"/>
  <c r="I180" i="7"/>
  <c r="I147" i="13"/>
  <c r="I99" i="13"/>
  <c r="I229" i="13"/>
  <c r="I259" i="13"/>
  <c r="I200" i="7"/>
  <c r="I235" i="7"/>
  <c r="I259" i="7"/>
  <c r="I247" i="13"/>
  <c r="I165" i="7"/>
  <c r="I269" i="7"/>
  <c r="I139" i="13"/>
  <c r="I190" i="13"/>
  <c r="I275" i="7"/>
  <c r="I116" i="7"/>
  <c r="I130" i="7"/>
  <c r="I185" i="7"/>
  <c r="I222" i="7"/>
  <c r="I303" i="7"/>
  <c r="I208" i="13"/>
  <c r="I200" i="13"/>
  <c r="I54" i="7"/>
  <c r="G75" i="11"/>
  <c r="G75" i="13" s="1"/>
  <c r="I30" i="7"/>
  <c r="I33" i="7" s="1"/>
  <c r="I74" i="12"/>
  <c r="I78" i="12" s="1"/>
  <c r="G75" i="7"/>
  <c r="I30" i="11"/>
  <c r="I33" i="11" s="1"/>
  <c r="I59" i="11"/>
  <c r="K17" i="13"/>
  <c r="I53" i="7"/>
  <c r="I17" i="13" l="1"/>
  <c r="I218" i="13"/>
  <c r="I213" i="12"/>
  <c r="I317" i="12" s="1"/>
  <c r="I75" i="11"/>
  <c r="I78" i="11" s="1"/>
  <c r="I317" i="11" s="1"/>
  <c r="I78" i="13"/>
  <c r="I59" i="7"/>
  <c r="I317" i="7" s="1"/>
  <c r="I75" i="7"/>
  <c r="I78" i="7" s="1"/>
  <c r="K33" i="13"/>
  <c r="I317" i="13" l="1"/>
  <c r="K317" i="13" s="1"/>
  <c r="I320" i="11"/>
  <c r="I320" i="7"/>
  <c r="I320" i="12"/>
  <c r="I318" i="12"/>
  <c r="I319" i="12"/>
  <c r="I319" i="7"/>
  <c r="I318" i="7"/>
  <c r="I318" i="11" l="1"/>
  <c r="I319" i="11"/>
  <c r="I321" i="12"/>
  <c r="I321" i="7"/>
  <c r="I321" i="11" l="1"/>
  <c r="I321"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Angelica</author>
  </authors>
  <commentList>
    <comment ref="G205" authorId="0" shapeId="0" xr:uid="{00000000-0006-0000-0100-000001000000}">
      <text>
        <r>
          <rPr>
            <b/>
            <sz val="9"/>
            <color indexed="81"/>
            <rFont val="Tahoma"/>
            <family val="2"/>
          </rPr>
          <t>Will: Caras internas y tapa TK agua potable</t>
        </r>
      </text>
    </comment>
  </commentList>
</comments>
</file>

<file path=xl/sharedStrings.xml><?xml version="1.0" encoding="utf-8"?>
<sst xmlns="http://schemas.openxmlformats.org/spreadsheetml/2006/main" count="3878" uniqueCount="571">
  <si>
    <t>Formulario 1 - Propuesta económica  - Documento tipo de licitación de obra pública de agua potable y saneamiento básico</t>
  </si>
  <si>
    <r>
      <rPr>
        <b/>
        <sz val="14"/>
        <rFont val="Calibri"/>
        <family val="2"/>
      </rPr>
      <t xml:space="preserve">ALCALDIA LOCAL DE USME </t>
    </r>
    <r>
      <rPr>
        <b/>
        <sz val="11"/>
        <rFont val="Calibri"/>
        <family val="2"/>
      </rPr>
      <t xml:space="preserve">
REALIZAR POR EL SISTEMA DE PRECIOS UNITARIOS FIJOS SIN FORMULA DE REAJUSTE Y HASTA MONTO AGOTABLE, LA CONSERVACIÓN, Y LAS OBRAS REQUERIDAS PARA LA OPTIMIZACION Y MEJORAMIENTO DE LOS ACUEDUCTOS VEREDALES EN LA LOCALIDAD DE USME</t>
    </r>
  </si>
  <si>
    <t>Código</t>
  </si>
  <si>
    <t>CCE-EICP-FM-47</t>
  </si>
  <si>
    <t>FORMULARIO 1</t>
  </si>
  <si>
    <t>PRESUPUESTO OFICIAL</t>
  </si>
  <si>
    <t>Nº</t>
  </si>
  <si>
    <t>ÍTEM DE PAGO</t>
  </si>
  <si>
    <t xml:space="preserve">ESPECIFICACIONES </t>
  </si>
  <si>
    <t>DESCRIPCIÓN</t>
  </si>
  <si>
    <t>UND.</t>
  </si>
  <si>
    <t>CANTIDAD</t>
  </si>
  <si>
    <t>VALOR UNITARIO</t>
  </si>
  <si>
    <t xml:space="preserve">VALOR TOTAL                                </t>
  </si>
  <si>
    <r>
      <rPr>
        <sz val="11"/>
        <rFont val="Calibri"/>
        <family val="2"/>
      </rPr>
      <t xml:space="preserve">VALOR UN. INC. </t>
    </r>
    <r>
      <rPr>
        <b/>
        <sz val="11"/>
        <rFont val="Calibri"/>
        <family val="2"/>
      </rPr>
      <t xml:space="preserve">A.I.U </t>
    </r>
    <r>
      <rPr>
        <sz val="11"/>
        <rFont val="Calibri"/>
        <family val="2"/>
      </rPr>
      <t>29,21%</t>
    </r>
  </si>
  <si>
    <t>GENERAL</t>
  </si>
  <si>
    <t>PARTICULAR</t>
  </si>
  <si>
    <t>OBRAS PRELIMINARES</t>
  </si>
  <si>
    <t>1.1</t>
  </si>
  <si>
    <t>ACTIVIDADES PRELIMINARES</t>
  </si>
  <si>
    <t>1.1.1</t>
  </si>
  <si>
    <t>Ref. Precio EPC</t>
  </si>
  <si>
    <t>LOCALIZACIÓN Y REPLANTEO REDES</t>
  </si>
  <si>
    <t>ML</t>
  </si>
  <si>
    <t>1.1.2</t>
  </si>
  <si>
    <t>LOCALIZACIÓN Y REPLANTEO ESTRUCTURAS</t>
  </si>
  <si>
    <t>M2</t>
  </si>
  <si>
    <t>1.1.3</t>
  </si>
  <si>
    <t>MANEJO DE AGUAS EN ZANJA, CUALQUIER ANCHO.</t>
  </si>
  <si>
    <t>1.1.4</t>
  </si>
  <si>
    <t>DESVIACIÓN DE CAUCE ENTRE 0 A 1 M</t>
  </si>
  <si>
    <t>1.1.5</t>
  </si>
  <si>
    <t>DESVIACIÓN DE CAUCE ENTRE 1 A 3 M</t>
  </si>
  <si>
    <t>Subtotal</t>
  </si>
  <si>
    <t>DEMOLICIONES, DESMONTE Y DESCAPOTE</t>
  </si>
  <si>
    <t>2.1</t>
  </si>
  <si>
    <t>DEMOLICIONES</t>
  </si>
  <si>
    <t>2.1.1</t>
  </si>
  <si>
    <t>DEMOLICIÓN DE ESTRUCTURAS EN CONCRETO</t>
  </si>
  <si>
    <t>M3</t>
  </si>
  <si>
    <t>2.1.2</t>
  </si>
  <si>
    <t>DEMOLICIÓN DE PAVIMENTO FLEXIBLE (INCLUYE CORTE A MÁQUINA 2 COSTADOS)</t>
  </si>
  <si>
    <t>2.1.3</t>
  </si>
  <si>
    <t>DEMOLICIÓN CAJAS DE INSPECCIÓN</t>
  </si>
  <si>
    <t>UN</t>
  </si>
  <si>
    <t>2.1.4</t>
  </si>
  <si>
    <t>DEMOLICIÓN DE PAVIMENTO RÍGIDO  (INCLUYE CORTE A MÁQUINA 2 COSTADOS)</t>
  </si>
  <si>
    <t>2.1.5</t>
  </si>
  <si>
    <t>DEMOLICIÓN DE ANDENES Y SARDINELES (INCLUYE CORTE A MÁQUINA 2 COSTADOS)</t>
  </si>
  <si>
    <t>DESCAPOTE MANUAL Y RETIRO  E= 0.20 M APILE A 15 M</t>
  </si>
  <si>
    <t>DESMONTE Y LIMPIEZA (CON RETIRO)</t>
  </si>
  <si>
    <t>EXCAVACIONES, NO INCLUYE CARGUE NI TRANSPORTE</t>
  </si>
  <si>
    <t>4.1</t>
  </si>
  <si>
    <t>EXCAVACIONES MANUAL EN TIERRA</t>
  </si>
  <si>
    <t>4.1.1</t>
  </si>
  <si>
    <t>EXCAVACIONES MANUAL EN TIERRA  DE 0 A 2 M DE PROFUNDIDAD</t>
  </si>
  <si>
    <t>4.1.2</t>
  </si>
  <si>
    <t>EXCAVACIONES MANUAL EN TIERRA  DE 2 A 4 M DE PROFUNDIDAD</t>
  </si>
  <si>
    <t>EXCAVACIONES MANUAL EN TIERRA A PROFUNDIDADES MAYORES DE 4 M</t>
  </si>
  <si>
    <t>4.2</t>
  </si>
  <si>
    <t>EXCAVACIONES MANUAL EN CONGLOMERADO</t>
  </si>
  <si>
    <t>4.2.1</t>
  </si>
  <si>
    <t>EXCAVACIONES MANUAL EN CONGLOMERADO  DE 0 A 2 M DE PROFUNDIDAD</t>
  </si>
  <si>
    <t>4.2.2</t>
  </si>
  <si>
    <t>EXCAVACIONES MANUAL EN CONGLOMERADO  DE 2 A 4 M DE PROFUNDIDAD</t>
  </si>
  <si>
    <t>4.2.3</t>
  </si>
  <si>
    <t>EXCAVACIONES MANUAL EN CONGLOMERADO A  PROFUNDIDADES MAYORES DE 4M</t>
  </si>
  <si>
    <t>4.3</t>
  </si>
  <si>
    <t>EXCAVACIÓN MECÁNICA A  CUALQUIER PROFUNDIDAD</t>
  </si>
  <si>
    <t>4.3.1</t>
  </si>
  <si>
    <t>4.4</t>
  </si>
  <si>
    <t>EXCAVACIÓN EN ROCA</t>
  </si>
  <si>
    <t>4.4.1</t>
  </si>
  <si>
    <t>EXCAVACIÓN MECÁNICA EN ROCA, EN SECO, SIN EXPLOSIVOS</t>
  </si>
  <si>
    <t>4.5</t>
  </si>
  <si>
    <t>ENTIBADOS</t>
  </si>
  <si>
    <t>4.5.1</t>
  </si>
  <si>
    <t>ENTIBADO TIPO 1 (APUNTALAMIENTO EN MADERA)</t>
  </si>
  <si>
    <t>4.5.2</t>
  </si>
  <si>
    <t>ENTIBADO TIPO 1A (DISCONTINUO EN MADERA)</t>
  </si>
  <si>
    <t>4.5.3</t>
  </si>
  <si>
    <t>ENTIBADO TIPO 2 (CONTINUO EN MADERA)</t>
  </si>
  <si>
    <t>4.5.4</t>
  </si>
  <si>
    <t>ENTIBADO TIPO 3 (METÁLICO)</t>
  </si>
  <si>
    <t>RELLENOS</t>
  </si>
  <si>
    <t>5.1</t>
  </si>
  <si>
    <t>5.1.1</t>
  </si>
  <si>
    <t>RELLENO CON MATERIAL SELECCIONADO PROCEDENTE DE LA EXCAVACIÓN</t>
  </si>
  <si>
    <t>5.1.2</t>
  </si>
  <si>
    <t>RECEBO COMÚN COMPACTADO MECÁNICAMENTE (RANA)</t>
  </si>
  <si>
    <t>5.1.3</t>
  </si>
  <si>
    <t>RECEBO COMÚN COMPACTADO MECÁNICAMENTE (VIBRO COMPACTADOR)</t>
  </si>
  <si>
    <t>5.1.4</t>
  </si>
  <si>
    <t>SUBBASE GRANULAR TIPO 320.1-07 (NORMA INVÍAS)</t>
  </si>
  <si>
    <t>5.1.5</t>
  </si>
  <si>
    <t>BASE GRANULAR TIPO INV 330.1-07 (NORMA INVIAS)</t>
  </si>
  <si>
    <t>ARENA DE PEÑA PARA SOPORTE DE TUBERÍA</t>
  </si>
  <si>
    <t>5.2</t>
  </si>
  <si>
    <t>GRAVILLA</t>
  </si>
  <si>
    <t>5.2.1</t>
  </si>
  <si>
    <t>GRAVA</t>
  </si>
  <si>
    <t>5.2.2</t>
  </si>
  <si>
    <t>TRITURADO</t>
  </si>
  <si>
    <t>5.3</t>
  </si>
  <si>
    <t>OBRAS DE PROTECCIÓN (SUMINISTRO Y COLOCACIÓN).</t>
  </si>
  <si>
    <t>5.3.1</t>
  </si>
  <si>
    <t>ENROCADO DE PROTECCIÓN (PIEDRA Y CONCRETO DE 17.2 MPA (2500 PSI))</t>
  </si>
  <si>
    <t>5.3.2</t>
  </si>
  <si>
    <t>GAVIONES (INCLUYE, FORMALETA, MALLA Y PIEDRA) Y MANO DE OBRA</t>
  </si>
  <si>
    <t>5.4</t>
  </si>
  <si>
    <t>TERRAPLÉN</t>
  </si>
  <si>
    <t>5.4.1</t>
  </si>
  <si>
    <t>BOLSACRETOS (INCLUYE, BOLSACRETO TIPO 1101 (1.20X2.40 1 M3), CONCRETO 13,8 MPA (2000 PSI), ANCLAJES Y M.O)</t>
  </si>
  <si>
    <t>5.4.2</t>
  </si>
  <si>
    <t>BOLSASUELOS EN POLIETILENO. CAPACIDAD 1 M3 INCLUYE LLENADO CON MATERIAL SELECCIONADO DE OBRA</t>
  </si>
  <si>
    <t>CARGUE Y RETIRO DE SOBRANTES</t>
  </si>
  <si>
    <t>6.1.1</t>
  </si>
  <si>
    <t>CARGUE Y RETIRO DE SOBRANTES (HASTA 5 KM) INCLUYE DERECHOS DE BOTADERO</t>
  </si>
  <si>
    <t>6.1.2</t>
  </si>
  <si>
    <t>TRANSPORTE DE SOBRANTES (NO INCLUYE CARGUE NI DERECHOS BOTADERO)</t>
  </si>
  <si>
    <t>M3/KM</t>
  </si>
  <si>
    <t>Ref. Precio IDU</t>
  </si>
  <si>
    <t xml:space="preserve">Transporte de petreos </t>
  </si>
  <si>
    <t>M3-KM</t>
  </si>
  <si>
    <t>11.1</t>
  </si>
  <si>
    <t xml:space="preserve">Ref. Precio INVIAS </t>
  </si>
  <si>
    <t>Transporte de tubería, prefabricados, acero y cemento</t>
  </si>
  <si>
    <t>TN-KM</t>
  </si>
  <si>
    <t>2.07.10</t>
  </si>
  <si>
    <t>Ref. Precio GB</t>
  </si>
  <si>
    <t>Transporte de carga mular hasta 4 km</t>
  </si>
  <si>
    <t>Carga</t>
  </si>
  <si>
    <t>CONDUCCIONES Y REDES DE ACUEDUCTO</t>
  </si>
  <si>
    <t>7.1</t>
  </si>
  <si>
    <t>INSTALACIÓN TUBERÍAS PVC PRESIÓN SOLDAR.</t>
  </si>
  <si>
    <t>APU FDLU</t>
  </si>
  <si>
    <t>Suministro e intalación Tuberia PVC d=1/2" RDE13.5 **</t>
  </si>
  <si>
    <t>10579</t>
  </si>
  <si>
    <t>Suministro e intalación Tuberia PVC d=3/4" RDE21 **</t>
  </si>
  <si>
    <t>Suministro e intalación Tuberia PVC. 1 " RDE 21 **</t>
  </si>
  <si>
    <t>Suministro e intalación Tuberia PVC. d=2" RDE21</t>
  </si>
  <si>
    <t>Suministro e intalación Tuberia PVC. d=2 1/2" RDE21 ***</t>
  </si>
  <si>
    <t>Suministro e intalación Tuberia PVC. d=3" RDE 21 **</t>
  </si>
  <si>
    <t>Suministro e intalación Tuberia PVC. RDE 21 d=4"  **</t>
  </si>
  <si>
    <t>Suministro e intalación Tuberia PVC. RDE 21 d=6"  **</t>
  </si>
  <si>
    <t>7.2</t>
  </si>
  <si>
    <t>INSTALACIÓN ACCESORIOS PVC PRESIÓN</t>
  </si>
  <si>
    <t>7.2.1</t>
  </si>
  <si>
    <t>INSTALACIÓN ACCESORIO PVC SOLDAR D=1/2"</t>
  </si>
  <si>
    <t>7.2.2</t>
  </si>
  <si>
    <t>INSTALACIÓN ACCESORIO PVC SOLDAR D=3/4"</t>
  </si>
  <si>
    <t>Ref. Precio IDRD</t>
  </si>
  <si>
    <t>7.3</t>
  </si>
  <si>
    <t>INSTALACIÓN TUBERÍA PVC UNIÓN MECÁNICA.</t>
  </si>
  <si>
    <t>UNIÓN CPVC TIPO U.S.Ø 1/2". SUMINISTRO E INSTALACIÓN.</t>
  </si>
  <si>
    <t>UNIÓN CPVC TIPO U.S. Ø 3/4". SUMINISTRO E INSTALACIÓN.</t>
  </si>
  <si>
    <t>COTIZACIÓN</t>
  </si>
  <si>
    <t>UNIÓN BRIDA x ACOPLE UNIVERSAL 3"(SUMINISTRO E INSTALACIÓN).</t>
  </si>
  <si>
    <t>UNIÓN BRIDA x ACOPLE UNIVERSAL 4"(SUMINISTRO E INSTALACIÓN).</t>
  </si>
  <si>
    <t>7.4</t>
  </si>
  <si>
    <t>INSTALACIÓN ACCESORIOS PVC UNIÓN MECÁNICA</t>
  </si>
  <si>
    <t>7.4.1</t>
  </si>
  <si>
    <t>INSTALACIÓN ACCESORIO PVC  UNIÓN MECÁNICA D=2"</t>
  </si>
  <si>
    <t>7.4.2</t>
  </si>
  <si>
    <t>INSTALACIÓN ACCESORIO PVC  UNIÓN MECÁNICA D=2 1/2"</t>
  </si>
  <si>
    <t>7.4.3</t>
  </si>
  <si>
    <t>INSTALACIÓN ACCESORIO PVC  UNIÓN MECÁNICA D=3"</t>
  </si>
  <si>
    <t>7.4.4</t>
  </si>
  <si>
    <t>INSTALACIÓN ACCESORIO PVC  UNIÓN MECÁNICA D=4"</t>
  </si>
  <si>
    <t>7.4.5</t>
  </si>
  <si>
    <t>INSTALACIÓN ACCESORIO PVC  UNIÓN MECÁNICA D=6"</t>
  </si>
  <si>
    <t>7.10</t>
  </si>
  <si>
    <t>INSTALACIÓN PASAMUROS HD</t>
  </si>
  <si>
    <t>7.10.1</t>
  </si>
  <si>
    <t>SUMINISTRO E INSTALACIÓN PASAMUROS HD DE D= 2" L= 0 A 0.50M BXB</t>
  </si>
  <si>
    <t>7.10.2</t>
  </si>
  <si>
    <t>SUMINISTRO E INSTALACIÓN PASAMUROS HD DE D= 3" L= 0 A 0.50M BXB</t>
  </si>
  <si>
    <t>7.10.3</t>
  </si>
  <si>
    <t>SUMINISTRO E INSTALACIÓN PASAMUROS HD DE D= 4" L= 0 A 0.50M BXB</t>
  </si>
  <si>
    <t>7.10.4</t>
  </si>
  <si>
    <t>SUMINISTRO E INSTALACIÓN PASAMUROS HD DE D= 6" L= 0 A 0.50M BXB</t>
  </si>
  <si>
    <t>7.10.6</t>
  </si>
  <si>
    <t>SUMINISTRO E INSTALACIÓN PASAMUROS HD DE D= 2" L= 0.50 A 1.00M BXB</t>
  </si>
  <si>
    <t>7.10.7</t>
  </si>
  <si>
    <t>SUMINISTRO E INSTALACIÓN PASAMUROS HD DE D= 3" L= 0.50 A 1.00M BXB</t>
  </si>
  <si>
    <t>7.10.8</t>
  </si>
  <si>
    <t>SUMINISTRO E INSTALACIÓN PASAMUROS HD DE D= 4" L= 0.50 A 1.00M BXB</t>
  </si>
  <si>
    <t>SUMINISTRO E INSTALACIÓN PASAMUROS HD DE D= 6" L= 0.50 A 1.00M BXB</t>
  </si>
  <si>
    <t>7.12</t>
  </si>
  <si>
    <t>SUMINISTRO E INSTALACIÓN DE VÁLVULAS DE COMPUERTA ELÁSTICA EXTREMOS BRIDAS VÁSTAGO NO ASCENDENTE</t>
  </si>
  <si>
    <t>7.12.1</t>
  </si>
  <si>
    <t>SUMINISTRO E INSTALACIÓN VÁLVULA DE COMPUERTA ELÁSTICA EXTREMOS BRIDAS VÁSTAGO NO ASCENDENTE 2"</t>
  </si>
  <si>
    <t>7.12.2</t>
  </si>
  <si>
    <t>SUMINISTRO E INSTALACIÓN VÁLVULA DE COMPUERTA ELÁSTICA EXTREMOS BRIDAS VÁSTAGO NO ASCENDENTE 3"</t>
  </si>
  <si>
    <t>7.12.3</t>
  </si>
  <si>
    <t>SUMINISTRO E INSTALACIÓN VÁLVULA DE COMPUERTA ELÁSTICA EXTREMOS BRIDAS VÁSTAGO NO ASCENDENTE 4"</t>
  </si>
  <si>
    <t>7.12.4</t>
  </si>
  <si>
    <t>SUMINISTRO E INSTALACIÓN VÁLVULA DE COMPUERTA ELÁSTICA EXTREMOS BRIDAS VÁSTAGO NO ASCENDENTE 6"</t>
  </si>
  <si>
    <t>7.13</t>
  </si>
  <si>
    <t>SUMINISTRO E INSTALACIÓN REGISTRO DE BOLA</t>
  </si>
  <si>
    <t>7.13.1</t>
  </si>
  <si>
    <t>SUMINISTRO E INSTALACIÓN REGISTRO PLASTICO DE BOLA DE 1/2"</t>
  </si>
  <si>
    <t>7.13.2</t>
  </si>
  <si>
    <t>SUMINISTRO E INSTALACIÓN REGISTRO PLASTICO DE BOLA DE 3/4"</t>
  </si>
  <si>
    <t>7.13.3</t>
  </si>
  <si>
    <t>SUMINISTRO E INSTALACIÓN REGISTRO PLASTICO DE BOLA DE 1"</t>
  </si>
  <si>
    <t>7.13.4</t>
  </si>
  <si>
    <t>SUMINISTRO E INSTALACIÓN REGISTRO PLASTICO DE BOLA DE 1 1/4"</t>
  </si>
  <si>
    <t>7.13.5</t>
  </si>
  <si>
    <t>SUMINISTRO E INSTALACIÓN REGISTRO PLASTICO DE BOLA DE 1 1/2"</t>
  </si>
  <si>
    <t>7.13.6</t>
  </si>
  <si>
    <t>SUMINISTRO E INSTALACIÓN REGISTRO PLASTICO DE BOLA DE 2"</t>
  </si>
  <si>
    <t>7.14</t>
  </si>
  <si>
    <t>SUMINISTRO E INSTALACIÓN VÁLVULA DE FLOTADOR</t>
  </si>
  <si>
    <t>7.14.1</t>
  </si>
  <si>
    <t>SUMINISTRO E INSTALACIÓN VÁLVULA DE FLOTADOR DE 1/2" TIPO HK COMPLETO INCLUYE BOLA COBRE</t>
  </si>
  <si>
    <t>7.14.2</t>
  </si>
  <si>
    <t>SUMINISTRO E INSTALACIÓN VÁLVULA DE FLOTADOR DE 3/4" TIPO HK COMPLETO INCLUYE BOLA COBRE</t>
  </si>
  <si>
    <t>7.14.3</t>
  </si>
  <si>
    <t>SUMINISTRO E INSTALACIÓN VÁLVULA DE FLOTADOR DE 1" TIPO HK COMPLETO INCLUYE BOLA COBRE</t>
  </si>
  <si>
    <t>7.14.4</t>
  </si>
  <si>
    <t>SUMINISTRO E INSTALACIÓN VÁLVULA DE FLOTADOR DE 1 1/4" TIPO HK COMPLETO INCLUYE BOLA COBRE</t>
  </si>
  <si>
    <t>7.14.5</t>
  </si>
  <si>
    <t>SUMINISTRO E INSTALACIÓN VÁLVULA DE FLOTADOR DE 1 1/2" TIPO HK COMPLETO INCLUYE BOLA COBRE</t>
  </si>
  <si>
    <t>7.14.6</t>
  </si>
  <si>
    <t>SUMINISTRO E INSTALACIÓN VÁLVULA DE FLOTADOR DE 2" TIPO HK COMPLETO INCLUYE BOLA COBRE</t>
  </si>
  <si>
    <t>7.14.7</t>
  </si>
  <si>
    <t>SUMINISTRO E INSTALACIÓN VÁLVULA DE FLOTADOR DE 2 1/2" TIPO HK COMPLETO INCLUYE BOLA COBRE</t>
  </si>
  <si>
    <t>7.15</t>
  </si>
  <si>
    <t>SUMINISTRO E INSTALACIÓN DE COMPUERTAS LATERALES</t>
  </si>
  <si>
    <t>7.15.1</t>
  </si>
  <si>
    <t>SUMINISTRO E INSTALACIÓN DE COMPUERTA LATERAL DESLIZANTE RECTANGULAR O CIRCULAR SELLO DE BRONCE  DE 4" VASTAGO DE 1M INCLUYE COLUMNA DE MANIOBRA, SOPORTE GUIA VASTAGO Y RUEDAS DE MANEJO O VOLANTES</t>
  </si>
  <si>
    <t>7.15.2</t>
  </si>
  <si>
    <t>SUMINISTRO E INSTALACIÓN DE COMPUERTA LATERAL DESLIZANTE RECTANGULAR O CIRCULAR SELLO DE BRONCE  DE 6" VASTAGO DE 1M INCLUYE COLUMNA DE MANIOBRA, SOPORTE GUIA VASTAGO Y RUEDAS DE MANEJO O VOLANTES</t>
  </si>
  <si>
    <t>7.16</t>
  </si>
  <si>
    <t>SUMINISTRO E INSTALACIÓN DE VÁLVULAS DE RETENCIÓN</t>
  </si>
  <si>
    <t>7.16.1</t>
  </si>
  <si>
    <t>SUMINISTRO E INSTALACIÓN DE VÁLVULAS DE RETENCIÓN DE 2"</t>
  </si>
  <si>
    <t>7.16.2</t>
  </si>
  <si>
    <t>SUMINISTRO E INSTALACIÓN DE VÁLVULAS DE RETENCIÓN DE 3"</t>
  </si>
  <si>
    <t>7.17</t>
  </si>
  <si>
    <t>SUMINISTRO E INSTALACIÓN DE VÁLVULAS REDUCTORA DE PRESIÓN</t>
  </si>
  <si>
    <t>7.17.1</t>
  </si>
  <si>
    <t>SUMINISTRO E INSTALACIÓN DE VÁLVULAS REDUCTORA DE PRESIÓN DE 2"</t>
  </si>
  <si>
    <t>7.17.2</t>
  </si>
  <si>
    <t>SUMINISTRO E INSTALACIÓN DE VÁLVULAS REDUCTORA DE PRESIÓN DE 3"</t>
  </si>
  <si>
    <t>7.18</t>
  </si>
  <si>
    <t>SUMINISTRO E INSTALACIÓN DE VÁLVULAS PIE O COLADERA</t>
  </si>
  <si>
    <t>7.18.1</t>
  </si>
  <si>
    <t>SUMINISTRO E INSTALACIÓN DE VÁLVULAS PIE O COLADERA CUERPO ALUMINO FUNDIDO CANASTILLA ALUMINIO FUNDIDO ROSCADA DE 2"</t>
  </si>
  <si>
    <t>7.18.2</t>
  </si>
  <si>
    <t>SUMINISTRO E INSTALACIÓN DE VÁLVULAS PIE O COLADERA CUERPO HIERRO CANASTILLA ACERO BRIDADA DE 3"</t>
  </si>
  <si>
    <t>7.19</t>
  </si>
  <si>
    <t>CONSTRUCCIÓN DE ANCLAJE DE TUBERÍAS  CON ATRAQUES EN CONCRETO</t>
  </si>
  <si>
    <t>7.19.1</t>
  </si>
  <si>
    <t>CONSTRUCCIÓN DE ANCLAJE DE TUBERÍAS  CON ATRAQUES EN CONCRETO 21 MPA (3000PSI) HECHO EN OBRA</t>
  </si>
  <si>
    <t>7.20</t>
  </si>
  <si>
    <t>SUMINISTRO E INSTALACIÓN DE MICROMEDIDORES</t>
  </si>
  <si>
    <t>7.20.1</t>
  </si>
  <si>
    <t>SUMINISTRO E INSTALACIÓN DE MICROMEDIDOR DE 1/2" CLASE B METALICO</t>
  </si>
  <si>
    <t>7.20.2</t>
  </si>
  <si>
    <t>SUMINISTRO E INSTALACIÓN DE MICROMEDIDOR DE 3/4"  CLASE B METALICO</t>
  </si>
  <si>
    <t>7.20.3</t>
  </si>
  <si>
    <t>SUMINISTRO E INSTALACIÓN DE MICROMEDIDOR DE 1"  CLASE B METALICO</t>
  </si>
  <si>
    <t>7.20.4</t>
  </si>
  <si>
    <t>SUMINISTRO E INSTALACIÓN TUBERÍA PF + UAD D=1/2"</t>
  </si>
  <si>
    <t>7.20.5</t>
  </si>
  <si>
    <t>SUMINISTRO E INSTALACIÓN TUBERÍA PF + UAD D=3/4"</t>
  </si>
  <si>
    <t>7.21</t>
  </si>
  <si>
    <t>SUMINISTRO E INSTALACION DE MACROMEDIDORES</t>
  </si>
  <si>
    <t>7.21.1</t>
  </si>
  <si>
    <t>SUMINISTRO E INSTALACION DE MACROMEDIDOR DE FLUJO AXIAL BRIDADO DE 2" CLASE B</t>
  </si>
  <si>
    <t>7.21.2</t>
  </si>
  <si>
    <t>SUMINISTRO E INSTALACION DE MACROMEDIDOR DE FLUJO AXIAL BRIDADO DE 3"CLASE B</t>
  </si>
  <si>
    <t>7.21.3</t>
  </si>
  <si>
    <t>SUMINISTRO E INSTALACION DE MACROMEDIDOR DE FLUJO AXIAL BRIDADO DE 4"CLASE B</t>
  </si>
  <si>
    <t>7.22</t>
  </si>
  <si>
    <t>CAJAS PARA MEDIDOR (SUMINISTRO E INSTALACIÓN)</t>
  </si>
  <si>
    <t>7.22.1</t>
  </si>
  <si>
    <t>CAJA PARA MEDIDOR EN POLIPROPILENO INCLUYE TAPA</t>
  </si>
  <si>
    <t>7.23</t>
  </si>
  <si>
    <t>CAJAS PARA VÁLVULAS BASE Y TAPA EN CONCRETO 21MPA (3000 PSI) MUROS EN MAMPOSTERÍA</t>
  </si>
  <si>
    <t>7.23.1</t>
  </si>
  <si>
    <r>
      <rPr>
        <sz val="11"/>
        <rFont val="Calibri"/>
        <family val="2"/>
      </rPr>
      <t>CONSTRUCCIÓN CAJAS DE VÁLVULAS 0.30 X0.30 M (PROFUNDIDAD 1 M)BASE EN CONCRETO 21 MPA (3000 PSI) MUROS
EN MAMPOSTERÍA TAPA METÁLICA CON ÁNGULO DE FIJACIÓN</t>
    </r>
  </si>
  <si>
    <t>7.23.2</t>
  </si>
  <si>
    <r>
      <rPr>
        <sz val="11"/>
        <rFont val="Calibri"/>
        <family val="2"/>
      </rPr>
      <t>CONSTRUCCIÓN CAJA VÁLVULAS 0,60 X 0,60 M BASE Y TAPA EN CONCRETO 21 MPA (3000 PSI) MUROS EN
MAMPOSTERÍA</t>
    </r>
  </si>
  <si>
    <t>7.23.3</t>
  </si>
  <si>
    <r>
      <rPr>
        <sz val="11"/>
        <rFont val="Calibri"/>
        <family val="2"/>
      </rPr>
      <t>CONSTRUCCIÓN CAJA VÁLVULAS 0,80 X 0,80 M BASE Y TAPA EN CONCRETO 21 MPA (3000 PSI) MUROS EN
MAMPOSTERÍA</t>
    </r>
  </si>
  <si>
    <t>7.23.4</t>
  </si>
  <si>
    <r>
      <rPr>
        <sz val="11"/>
        <rFont val="Calibri"/>
        <family val="2"/>
      </rPr>
      <t>CONSTRUCCIÓN CAJA PARA VENTOSA HASTA DE 6" DE 0,60 X 0,60 M BASE Y TAPA EN CONCRETO 21 MPA (3000 PSI)
MUROS EN MAMPOSTERÍA</t>
    </r>
  </si>
  <si>
    <t>7.23.5</t>
  </si>
  <si>
    <r>
      <rPr>
        <sz val="11"/>
        <rFont val="Calibri"/>
        <family val="2"/>
      </rPr>
      <t>CONSTRUCCIÓN CAJA PARA PURGA DE 1,00 M X 1,00 M BASE Y TAPA EN CONCRETO 21 MPA (3000 PSI) MUROS EN
MAMPOSTERÍA</t>
    </r>
  </si>
  <si>
    <t>MANEJO DE AGUAS Y DRENAJES</t>
  </si>
  <si>
    <t>8.4</t>
  </si>
  <si>
    <t>CÁMARAS DE CAÍDA</t>
  </si>
  <si>
    <t>8.4.1</t>
  </si>
  <si>
    <t>CÁMARA DE CAÍDA D=8" HASTA 1.50 M (INCLUYE SUMINISTRO E INSTALACIÓN DE TUBO, CODO, YEE)</t>
  </si>
  <si>
    <t>8.4.2</t>
  </si>
  <si>
    <t>CÁMARA DE CAÍDA D=12" HASTA 1.50 M (INCLUYE SUMINISTRO E INSTALACIÓN DE TUBO, CODO, YEE).</t>
  </si>
  <si>
    <t>8.5</t>
  </si>
  <si>
    <t>CAJAS DE INSPECCIÓN</t>
  </si>
  <si>
    <t>8.5.1</t>
  </si>
  <si>
    <t>CONSTRUCCIÓN CAJA INSPECCIÓN DE 0.60 X 0.60 M BASE EN CONCRETO 21 MPA (3000 PSI) MUROS EN MAMPOSTERÍA MARCO Y TAPA EN ÁGULO METÁLICO Y VARILLA CORRUGADA, CONCRETO 21 MPA (3000 PSI) (INCLUYE CAÑUELA)</t>
  </si>
  <si>
    <t>8.5.2</t>
  </si>
  <si>
    <t>CONSTRUCCIÓN CAJA INSPECCIÓN DE 0.80 X 0.80 M BASE EN CONCRETO 21 MPA (3000 PSI) MUROS EN MAMPOSTERÍA MARCO Y TAPA EN ÁGULO METÁLICO Y VARILLA CORRUGADA, CONCRETO 21 MPA (3000 PSI) (INCLUYE CAÑUELA)</t>
  </si>
  <si>
    <t>8.5.3</t>
  </si>
  <si>
    <t>CONSTRUCCIÓN CAJA INSPECCIÓN DE 1.00 M X 1.00 M BASE EN CONCRETO 21 MPA (3000 PSI) MUROS EN MAMPOSTERÍA MARCO Y TAPA EN ÁGULO METÁLICO Y VARILLA CORRUGADA, CONCRETO 21 MPA (3000 PSI) (INCLUYE CAÑUELA)</t>
  </si>
  <si>
    <t>8.8</t>
  </si>
  <si>
    <t>INSTALACIÓN DE TUBERÍA EN PVC PARA DRENAJES</t>
  </si>
  <si>
    <t>8.8.1</t>
  </si>
  <si>
    <t>INSTALACIÓN DE TUBERÍA DE 65 MM PARA DRENAJES</t>
  </si>
  <si>
    <t>8.8.2</t>
  </si>
  <si>
    <t>INSTALACIÓN DE TUBERÍA DE 100 MM PARA DRENAJES</t>
  </si>
  <si>
    <t>8.8.3</t>
  </si>
  <si>
    <t>INSTALACIÓN DE TUBERÍA DE 160 MM PARA DRENAJES</t>
  </si>
  <si>
    <t>8.8.4</t>
  </si>
  <si>
    <t>INSTALACIÓN DE TUBERÍA DE 200 MM PARA DRENAJES</t>
  </si>
  <si>
    <t>CONCRETOS, MORTEROS, ACERO DE REFUERZO Y ADITIVOS</t>
  </si>
  <si>
    <t>9.1</t>
  </si>
  <si>
    <t>CONCRETOS SIMPLES - SUMINISTRO</t>
  </si>
  <si>
    <t>9.1.5</t>
  </si>
  <si>
    <t>CONCRETO SIMPLE DE 21 MPA (3000 PSI) PREPARACIÓN</t>
  </si>
  <si>
    <t>9.3</t>
  </si>
  <si>
    <t>CONCRETOS REFORZADOS HECHOS EN OBRA (SUMINISTRO E INSTALACIÓN, INCLUYE FORMALETA)</t>
  </si>
  <si>
    <t>9.3.1</t>
  </si>
  <si>
    <t>CONCRETO REFORZADO HECHO EN OBRA, IMPERMEABILIZADO DE 21 MPA (3000 PSI), PARA PLACA DE PISO</t>
  </si>
  <si>
    <t>CONCRETO REFORZADO HECHO EN OBRA, IMPERMEABILIZADO DE 24 MPA (3500 PSI), PARA MUROS</t>
  </si>
  <si>
    <t>9.4</t>
  </si>
  <si>
    <t>MORTEROS - SUMINISTRO</t>
  </si>
  <si>
    <t>9.4.1</t>
  </si>
  <si>
    <t>MORTERO RESIST. 10.3 MPA (1500 PSI) PREPARACIÓN</t>
  </si>
  <si>
    <t>9.4.2</t>
  </si>
  <si>
    <t>MORTERO RESIST. 13,8 MPA (2000 PSI) PREPARACIÓN</t>
  </si>
  <si>
    <t>Ref. Precio ICCU</t>
  </si>
  <si>
    <t>IMPERMEABILIZACIÓN INTEGRAL MORTERO SIKA</t>
  </si>
  <si>
    <t>9.5</t>
  </si>
  <si>
    <t>ACERO DE REFUERZO</t>
  </si>
  <si>
    <t>ACERO DE REFUERZO 60000 PSI</t>
  </si>
  <si>
    <t>KG</t>
  </si>
  <si>
    <t>9.5.2</t>
  </si>
  <si>
    <t>ACERO DE REFUERZO 37000PSI</t>
  </si>
  <si>
    <t>9.5.3</t>
  </si>
  <si>
    <t>MALLA ELECTROSOLDADA</t>
  </si>
  <si>
    <t>9.6</t>
  </si>
  <si>
    <t>ADITIVOS</t>
  </si>
  <si>
    <t>9.6.1</t>
  </si>
  <si>
    <t>ADHESIVO EPÓXICO DE CONCRETO FRESCO A ENDURECIDO</t>
  </si>
  <si>
    <t>9.6.2</t>
  </si>
  <si>
    <t>SUMINISTRO DE IMPERMEABILIZANTE PARA CONCRETO</t>
  </si>
  <si>
    <t>9.6.3</t>
  </si>
  <si>
    <t>SUMINISTRO DE ACELERANTE PARA CONCRETO</t>
  </si>
  <si>
    <t>9.7</t>
  </si>
  <si>
    <t>JUNTAS DE CONSTRUCCIÓN  (SUMINISTRO E INSTALACIÓN)</t>
  </si>
  <si>
    <t>9.7.1</t>
  </si>
  <si>
    <t>CINTA PVC TIPO V-15</t>
  </si>
  <si>
    <t>9.7.2</t>
  </si>
  <si>
    <t>CINTA PVC O-22</t>
  </si>
  <si>
    <t>10.2</t>
  </si>
  <si>
    <t>MAMPOSTERÍA Y OBRAS DE ALBAÑILERÍA</t>
  </si>
  <si>
    <t>10.2.1</t>
  </si>
  <si>
    <t>MURO LADRILLO TOLETE COMÚN E=0.12 M</t>
  </si>
  <si>
    <t>10.2.2</t>
  </si>
  <si>
    <t>MURO EN LADRILLO TOLETE FINO LIVIANO E=0.12 M</t>
  </si>
  <si>
    <t>10.2.4</t>
  </si>
  <si>
    <t>PAÑETE LISO PARA MUROS 24 MPA (3500 PSI) E=.02 M</t>
  </si>
  <si>
    <t>10.2.5</t>
  </si>
  <si>
    <t>PAÑETE BAJO PLACA 24 MPA (3500 PSI)  E=.02 M</t>
  </si>
  <si>
    <t>10.2.6</t>
  </si>
  <si>
    <t>LADRILLO SIN PEGA LECHO DE SECADO</t>
  </si>
  <si>
    <t>10.3</t>
  </si>
  <si>
    <t>CUBIERTAS</t>
  </si>
  <si>
    <t>10.3.1</t>
  </si>
  <si>
    <t>SUMINISTRO E INSTALACIÓN TEJA ONDULADA EN F.C. (INCLUYE ELEMENTOS DE FIJACIÓN)</t>
  </si>
  <si>
    <t>10.3.2</t>
  </si>
  <si>
    <t>CUBIERTA TEJA THERMOACUSTIC (INCLUYE ELEMENTOS DE FIJACIÓN)</t>
  </si>
  <si>
    <t>10.3.3</t>
  </si>
  <si>
    <t>CUBIERTA TEJA PLÁSTICA (INCLUYE ELEMENTOS DE FIJACIÓN)</t>
  </si>
  <si>
    <t>CABALLETE CUBIERTA TERMOACÚSTICA</t>
  </si>
  <si>
    <t>10.4</t>
  </si>
  <si>
    <t>PUNTOS HIDRÁULICOS, SANITARIOS Y ELÉCTRICOS</t>
  </si>
  <si>
    <t>10.4.1</t>
  </si>
  <si>
    <t>PUNTOS ELÉCTRICOS DE 1/2" (NO INCLUYE CABLEADO)</t>
  </si>
  <si>
    <t>10.4.2</t>
  </si>
  <si>
    <t>PUNTOS HIDRÁULICOS  DE 1/2"</t>
  </si>
  <si>
    <t>10.4.3</t>
  </si>
  <si>
    <t>PUNTOS SANITARIOS DE 3"</t>
  </si>
  <si>
    <t>10.6</t>
  </si>
  <si>
    <t>ACABADOS PARA PISOS, MUROS Y MESONES EN CONCRETO</t>
  </si>
  <si>
    <t>10.6.1</t>
  </si>
  <si>
    <t>PISO EN TABLETA TIPO GRES DE 0,20 X 0,20</t>
  </si>
  <si>
    <t>10.6.2</t>
  </si>
  <si>
    <t>ENCHAPE MURO CERÁMICO BLANCO 20X20</t>
  </si>
  <si>
    <t>10.6.3</t>
  </si>
  <si>
    <t>GUARDA ESCOBA EN TABLETA TIPO GRES</t>
  </si>
  <si>
    <t>810.1</t>
  </si>
  <si>
    <t>EMPRADIZACIÓN (INCLUYE 10 CM DE TIERRA NEGRA)</t>
  </si>
  <si>
    <t>10.7</t>
  </si>
  <si>
    <t>CARPINTERÍA METÁLICA</t>
  </si>
  <si>
    <t>10.7.1</t>
  </si>
  <si>
    <t>SUMINISTRO E INSTALACIÓN ESCALERA TIPO GATO EN TUBERÍA GALVANIZADA DE 1" INCLUYE INSTALACIÓN</t>
  </si>
  <si>
    <t>10.7.2</t>
  </si>
  <si>
    <r>
      <rPr>
        <sz val="11"/>
        <rFont val="Calibri"/>
        <family val="2"/>
      </rPr>
      <t>SUMINISTRO E INSTALACIÓN DE ESCALERA METÁLICA CON ESTRUCTURA METÁLICA DE SOPORTE, ANGULO PERIMETRAL
1 1/2"X1/8" PASOS EN MALLA METÁLICA</t>
    </r>
  </si>
  <si>
    <t>10.7.3</t>
  </si>
  <si>
    <r>
      <rPr>
        <sz val="11"/>
        <rFont val="Calibri"/>
        <family val="2"/>
      </rPr>
      <t>SUMINISTRO E INSTALACIÓN DE PASARELA METÁLICA, ANGULO PERIMETRAL 1 1/2"X1/8", ESTRUCTURA DE SOPORTE Y
PISO EN LÁMINA ALFAJOR</t>
    </r>
  </si>
  <si>
    <t>10.7.4</t>
  </si>
  <si>
    <r>
      <rPr>
        <sz val="11"/>
        <rFont val="Calibri"/>
        <family val="2"/>
      </rPr>
      <t>SUMINISTRO E INSTALACIÓN DE PASARELA METÁLICA, ANGULO PERIMETRAL 1 1/2"X1/8", ESTRUCTURA DE SOPORTE Y
PISO EN MALLA METÁLICA</t>
    </r>
  </si>
  <si>
    <t>10.7.5</t>
  </si>
  <si>
    <t>SUMINISTRO E INSTALACIÓN DE BARANDA EN Ø 1 1/2" + 4 UN TUBO HORIZONTALES DE 1 1/2" EN TUBO GALVANIZADO AGUA  1 1/2" - 3MM, REFUERZO VERTICAL EN ANGULO DOBLE DE 2 X 1/8'' CADA 1,50 - ACABADO EN ESMALTE-H= 1.10 INSTALADA</t>
  </si>
  <si>
    <t>10.7.6</t>
  </si>
  <si>
    <t>SUMINISTRO E INSTALACIÓN DE BARANDAS EN Ø 1 1/4", ALTURA DE 0.90 MTS. CON TRIPLE FILA DE TUBOS HORIZONTALES Y TUBOS VERTICALES CADA 2 MTS. (INCLUYE SOLDADURA PULIDA Y PLATINAS DE 0.10 X 0.08 X 3/16" CON PERNOS EXPANSIVOS DE 3/8" PARA UNIÓN DE TUBERÍAS). INSTALADA</t>
  </si>
  <si>
    <t>10.7.7</t>
  </si>
  <si>
    <r>
      <rPr>
        <sz val="11"/>
        <rFont val="Calibri"/>
        <family val="2"/>
      </rPr>
      <t>MARCOS METÁLICOS EN LAMINAS COLD ROLLED CALIBRE 18 PARA PUERTA SENCILLA, DESARROLLO 0.25, INCLUYE
FIJACIONES, ANTICORROSIVO, BISAGRA Y ACCESORIOS</t>
    </r>
  </si>
  <si>
    <t>10.7.8</t>
  </si>
  <si>
    <t>PUERTAS METÁLICAS EN LAMINA COLD ROLLED CALIBRE 18, INCLUYE FIJACIONES, ANTICORROSIVO Y ACCESORIOS</t>
  </si>
  <si>
    <t>10.7.9</t>
  </si>
  <si>
    <r>
      <rPr>
        <sz val="11"/>
        <rFont val="Calibri"/>
        <family val="2"/>
      </rPr>
      <t>VENTANERÍA EN LAMINA COLD ROLLED CALIBRE 18, DESARROLLO .23, INCLUYE FIJACIONES, BISAGRAS, ANTICORROSIVO
Y ACCESORIOS (NO INCLUYE VIDRIO)</t>
    </r>
  </si>
  <si>
    <r>
      <rPr>
        <sz val="11"/>
        <rFont val="Calibri"/>
        <family val="2"/>
      </rPr>
      <t>SUMINISTRO E INSTALACIÓN TAPA DE INSPECCIÓN METÁLICA DE 0.70MX0.70M EN LÁMINA ALFAJOR DE 4 MM , MARCO
EN ÁNGULO DE 1 1/2"X3/16", BISAGRAS Y PASADOR PARA CANDADO</t>
    </r>
  </si>
  <si>
    <t>10.8</t>
  </si>
  <si>
    <t>PINTURAS</t>
  </si>
  <si>
    <t>10.8.1</t>
  </si>
  <si>
    <t>VINILO SOBRE PAÑETE (3 MANOS)</t>
  </si>
  <si>
    <t>10.8.2</t>
  </si>
  <si>
    <t>ESMALTE SOBRE LÁMINA LINEAL (2 MANOS)</t>
  </si>
  <si>
    <t>10.8.3</t>
  </si>
  <si>
    <t>ESMALTE SOBRE LÁMINA LLENA (2 MANOS)</t>
  </si>
  <si>
    <t>10.9</t>
  </si>
  <si>
    <t>ELEMENTOS EN POLIETILENO</t>
  </si>
  <si>
    <t>10.9.1</t>
  </si>
  <si>
    <t>SUMINISTRO E INSTALACION DE MODULO SEDIMENTADOR DE ALTA TASA</t>
  </si>
  <si>
    <t>10.9.2</t>
  </si>
  <si>
    <t>TANQUE DE ALMACENAMIENTO DE 1.000 LT</t>
  </si>
  <si>
    <t>10.9.3</t>
  </si>
  <si>
    <t>TANQUE DE ALMACENAMIENTO DE 500 LT</t>
  </si>
  <si>
    <t>10.11</t>
  </si>
  <si>
    <t>CERRAMIENTO EN MALLA ESLABONADA</t>
  </si>
  <si>
    <t>10.11.1</t>
  </si>
  <si>
    <t>SUMINISTRO E INSTALACIÓN TUBERÍA EN HIERRO GALVANIZADO 2" PARA CERRAMIENTO</t>
  </si>
  <si>
    <t>10.11.2</t>
  </si>
  <si>
    <t>ALAMBRE DE PUAS TRES HILOS CALIBRE 12</t>
  </si>
  <si>
    <t>10.11.3</t>
  </si>
  <si>
    <r>
      <rPr>
        <sz val="11"/>
        <rFont val="Calibri"/>
        <family val="2"/>
      </rPr>
      <t>MALLA ESLABONADA INCLUYE ACCESORIOS MARCO METALICO DE ANGULO DE 2" X 1/4" Y PLATINAS DIAGONALES DE
1"X1/8"</t>
    </r>
  </si>
  <si>
    <t>10.11.4</t>
  </si>
  <si>
    <t>PUERTA MALLA ESLABONADA (ANCHO 1 M X 2 M DE ALTURA)</t>
  </si>
  <si>
    <t xml:space="preserve">ACCESORIOS </t>
  </si>
  <si>
    <t>Ref. Precio idu</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</si>
  <si>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</si>
  <si>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</si>
  <si>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</si>
  <si>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</si>
  <si>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45° EXTREMO LISO PARA PVC D=2" (SUMINISTRO E INSTALACIÓN)</t>
  </si>
  <si>
    <t>CODO HD 45° EXTREMO LISO PARA PVC D=3" (SUMINISTRO E INSTALACIÓN)</t>
  </si>
  <si>
    <t>CODO HD 45° EXTREMO LISO PARA PVC D=4" (SUMINISTRO E INSTALACIÓN)</t>
  </si>
  <si>
    <t>CODO G.RAD. PVC 90º TIPO U.M. D=2 1/2" (SUMINISTRO E INSTALACIÓN)</t>
  </si>
  <si>
    <t>CODO G.RAD. PVC 90º TIPO U.M. D=3"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</si>
  <si>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</si>
  <si>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</si>
  <si>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</si>
  <si>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</si>
  <si>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</si>
  <si>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TEE PVC E.L. D= 1 1/2" (INCLUYE SUMINISTRO E INSTALACIÓN, SOLDADURA).</t>
  </si>
  <si>
    <t>TEE PVC E.L. D= 1 1/4" (INCLUYE SUMINISTRO E INSTALACIÓN, SOLDADURA).</t>
  </si>
  <si>
    <t>TEE PVC E.L. D= 1" (INCLUYE SUMINISTRO E INSTALACIÓN, SOLDADURA).</t>
  </si>
  <si>
    <t>TUBERIA POLIETILENO</t>
  </si>
  <si>
    <t>MT TUBO 25MM PN16 RDE11 (SUMINISTRO EINSTALACIÓN)</t>
  </si>
  <si>
    <t>MT TUBO 50MM POLIETILENO PN16 RDE 11 (SUMINISTRO E INSTALACIÓN)</t>
  </si>
  <si>
    <t>MT TUBO 75MM POLIETILENO PN16 RDE 11 (SUMINISTRO E INSTALACIÓN)</t>
  </si>
  <si>
    <t>MT TUBO 110MM POLIETILENO PN16 RDC 11 (SUMINISTRO E INSTALACIÓN)</t>
  </si>
  <si>
    <t>PERFORACION SIN ZANJA DIRIGIDA</t>
  </si>
  <si>
    <t>SUBTOTAL OBRAS (INCLUYE IVA)</t>
  </si>
  <si>
    <t xml:space="preserve">GESTIÓN AMBIENTAL </t>
  </si>
  <si>
    <t xml:space="preserve">GESTIÓN SOCIAL </t>
  </si>
  <si>
    <t>DIAGNOSTICOS PMT</t>
  </si>
  <si>
    <t>VALOR TOTAL</t>
  </si>
  <si>
    <r>
      <rPr>
        <b/>
        <sz val="11"/>
        <rFont val="Calibri"/>
        <family val="2"/>
      </rPr>
      <t xml:space="preserve">NOTA 1: </t>
    </r>
    <r>
      <rPr>
        <sz val="11"/>
        <rFont val="Calibri"/>
        <family val="2"/>
      </rPr>
      <t xml:space="preserve"> Se debe tener en cuenta que el PRECIO UNITARIO incluye el valor de A.I.U. </t>
    </r>
  </si>
  <si>
    <t>DESCRIPCION</t>
  </si>
  <si>
    <t>PORCENTAJE</t>
  </si>
  <si>
    <r>
      <rPr>
        <b/>
        <sz val="11"/>
        <rFont val="Calibri"/>
        <family val="2"/>
      </rPr>
      <t>NOTA 2</t>
    </r>
    <r>
      <rPr>
        <sz val="11"/>
        <rFont val="Calibri"/>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</si>
  <si>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</si>
  <si>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A=27.90%</t>
  </si>
  <si>
    <r>
      <rPr>
        <b/>
        <sz val="11"/>
        <rFont val="Calibri"/>
        <family val="2"/>
      </rPr>
      <t>NOTA 3:</t>
    </r>
    <r>
      <rPr>
        <sz val="11"/>
        <rFont val="Calibri"/>
        <family val="2"/>
      </rPr>
      <t xml:space="preserve"> El A.I.U y su discriminación deben estar en porcentaje (%). </t>
    </r>
  </si>
  <si>
    <t>IMPREVISTO</t>
  </si>
  <si>
    <t>I=1%</t>
  </si>
  <si>
    <r>
      <rPr>
        <b/>
        <sz val="11"/>
        <rFont val="Calibri"/>
        <family val="2"/>
      </rPr>
      <t>NOTA 4:</t>
    </r>
    <r>
      <rPr>
        <sz val="11"/>
        <rFont val="Calibri"/>
        <family val="2"/>
      </rPr>
      <t xml:space="preserve"> Como el proceso es a monto agotable y la propuesta debe ser por precios unitarios, la sumatoria de estos mas las gestiones será el valor de la propuesta económica del proponente. Al momento de la adjudicación, se realizará por el valor total del presupuesto oficial establecido por la entidad contratante.</t>
    </r>
  </si>
  <si>
    <t>UTILIDAD</t>
  </si>
  <si>
    <t>U=3%</t>
  </si>
  <si>
    <t>TOTAL A.I.U</t>
  </si>
  <si>
    <t>A.I.U.=31.90%</t>
  </si>
  <si>
    <t xml:space="preserve">NOMBRE DEL PROPONENTE: ______________________________________                           REPRESENTANTE LEGAL (nombre y firma):_________________________                                   FECHA:_________________________                    </t>
  </si>
  <si>
    <t>Versión</t>
  </si>
  <si>
    <t>PROPUESTA ECONÓMICA</t>
  </si>
  <si>
    <r>
      <rPr>
        <sz val="8"/>
        <rFont val="Arial"/>
        <family val="2"/>
      </rPr>
      <t xml:space="preserve">[La entidad puede utilizar este formulario de presentación de </t>
    </r>
    <r>
      <rPr>
        <b/>
        <u/>
        <sz val="8"/>
        <rFont val="Arial"/>
        <family val="2"/>
      </rPr>
      <t xml:space="preserve">propuesta económica </t>
    </r>
    <r>
      <rPr>
        <sz val="8"/>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</si>
  <si>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</si>
  <si>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SUBTOTAL OBRAS </t>
  </si>
  <si>
    <r>
      <rPr>
        <b/>
        <sz val="9"/>
        <rFont val="Arial"/>
        <family val="2"/>
      </rPr>
      <t xml:space="preserve">NOTA 1:  </t>
    </r>
    <r>
      <rPr>
        <sz val="9"/>
        <rFont val="Arial"/>
        <family val="2"/>
      </rPr>
      <t>Se debe tener en cuenta que el PRECIO UNITARIO incluye el valor de A.I.U.</t>
    </r>
    <r>
      <rPr>
        <b/>
        <sz val="9"/>
        <rFont val="Arial"/>
        <family val="2"/>
      </rPr>
      <t xml:space="preserve"> </t>
    </r>
  </si>
  <si>
    <r>
      <rPr>
        <b/>
        <sz val="9"/>
        <rFont val="Arial"/>
        <family val="2"/>
      </rPr>
      <t xml:space="preserve">NOTA 2: </t>
    </r>
    <r>
      <rPr>
        <sz val="9"/>
        <rFont val="Arial"/>
        <family val="2"/>
      </rPr>
      <t>Cuando la fracción decimal del peso sea  igual o superior a 5 se aproximará por exceso al número entero siguiente del peso y cuando la fracción decimal del peso sea inferior a 5 se aproximará por defecto al número entero del peso.</t>
    </r>
  </si>
  <si>
    <r>
      <rPr>
        <b/>
        <sz val="9"/>
        <rFont val="Arial"/>
        <family val="2"/>
      </rPr>
      <t xml:space="preserve">NOTA 3: </t>
    </r>
    <r>
      <rPr>
        <sz val="9"/>
        <rFont val="Arial"/>
        <family val="2"/>
      </rPr>
      <t xml:space="preserve">El A.I.U y su discriminación deben estar en porcentaje (%). </t>
    </r>
  </si>
  <si>
    <r>
      <rPr>
        <b/>
        <sz val="9"/>
        <rFont val="Arial"/>
        <family val="2"/>
      </rPr>
      <t xml:space="preserve">NOTA 4: </t>
    </r>
    <r>
      <rPr>
        <sz val="9"/>
        <rFont val="Arial"/>
        <family val="2"/>
      </rPr>
      <t>Como el proceso es a monto agotable y la propuesta debe ser por precios unitarios, la la sumatoria de estos será el valor de la propuesta económica del proponente. Al momento de la adjudicación, se realizará por el valor total del presupuesto oficial establecido por la entidad contratante.</t>
    </r>
  </si>
  <si>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</si>
  <si>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</si>
  <si>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</si>
  <si>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</si>
  <si>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</si>
  <si>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</si>
  <si>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</si>
  <si>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</si>
  <si>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</si>
  <si>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</si>
  <si>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</si>
  <si>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</si>
  <si>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</si>
  <si>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</si>
  <si>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</si>
  <si>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</si>
  <si>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</si>
  <si>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</si>
  <si>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</si>
  <si>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</si>
  <si>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</si>
  <si>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</si>
  <si>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</si>
  <si>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</si>
  <si>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</si>
  <si>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</si>
  <si>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</si>
  <si>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</si>
  <si>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</si>
  <si>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</si>
  <si>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rPr>
        <b/>
        <sz val="11"/>
        <rFont val="Arial"/>
        <family val="2"/>
      </rP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</si>
  <si>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</si>
  <si>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</si>
  <si>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</si>
  <si>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</si>
  <si>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</si>
  <si>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</si>
  <si>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</si>
  <si>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</si>
  <si>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</si>
  <si>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</si>
  <si>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</si>
  <si>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</si>
  <si>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</si>
  <si>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</si>
  <si>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</si>
  <si>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</si>
  <si>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</si>
  <si>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</si>
  <si>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</si>
  <si>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</si>
  <si>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</si>
  <si>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</si>
  <si>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</si>
  <si>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</si>
  <si>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BATERIA  12 V 200 HA</t>
  </si>
  <si>
    <t>7.10.5</t>
  </si>
  <si>
    <t>ENERGIA SOLAR</t>
  </si>
  <si>
    <t>MT TUBO 25MM PN16 RDE11 (SUMINISTRO E INSTALACIÓN)</t>
  </si>
  <si>
    <t>SUM E INST. PANEL SOLAR 330 W</t>
  </si>
  <si>
    <t>SUMINISTRO E INSTALACIÓN DE BATERIA GEL 12 V</t>
  </si>
  <si>
    <t>IMPERMEABILIZACIÓN TANQUE AGUA POTABLE</t>
  </si>
  <si>
    <t>IMPERMEABILIZACIÓN TANQUE AGUA POTABLE CON GEOTEXTIL Y GEOMEMBRANA</t>
  </si>
  <si>
    <t>A.I.U.=30,35</t>
  </si>
  <si>
    <t>A=26.35%</t>
  </si>
  <si>
    <t xml:space="preserve">INSTALACION TUBERIA 2" TERRENO SIN ROCA </t>
  </si>
  <si>
    <t xml:space="preserve">INSTALACION TUBERIA 3"TERRENO SIN ROCA </t>
  </si>
  <si>
    <t xml:space="preserve">INSTALACION TUBERIA 4"TERRENO SIN ROCA </t>
  </si>
  <si>
    <t xml:space="preserve">INSTALACION TUBERIA 6"TERRENO SIN ROCA </t>
  </si>
  <si>
    <t>INSTALACION TUBERIA 2"TERRENO CON ROCA</t>
  </si>
  <si>
    <t>INSTALACION TUBERIA 3"TERRENO CON ROCA</t>
  </si>
  <si>
    <t>INSTALACION TUBERIA 4"TERRENO CON ROCA</t>
  </si>
  <si>
    <t>INSTALACION TUBERIA 6"TERRENO CON ROCA</t>
  </si>
  <si>
    <r>
      <t xml:space="preserve">VALOR UN. INC. </t>
    </r>
    <r>
      <rPr>
        <b/>
        <sz val="11"/>
        <rFont val="Calibri"/>
        <family val="2"/>
      </rPr>
      <t>A.I.U 30,35</t>
    </r>
    <r>
      <rPr>
        <sz val="11"/>
        <rFont val="Calibri"/>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</si>
</sst>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2">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0.00_-;\-&quot;$&quot;* #,##0.00_-;_-&quot;$&quot;* &quot;-&quot;??_-;_-@"/>
    <numFmt numFmtId="167" formatCode="0.0000"/>
    <numFmt numFmtId="168" formatCode="_-&quot;$&quot;* #,##0_-;\-&quot;$&quot;* #,##0_-;_-&quot;$&quot;* &quot;-&quot;??_-;_-@"/>
    <numFmt numFmtId="169" formatCode="m\.d\.yy"/>
    <numFmt numFmtId="170" formatCode="_([$$-240A]\ * #,##0.00_);_([$$-240A]\ * \(#,##0.00\);_([$$-240A]\ * &quot;-&quot;??_);_(@_)"/>
    <numFmt numFmtId="171" formatCode="0.0%"/>
    <numFmt numFmtId="172" formatCode="_-[$$-240A]\ * #,##0.00_ ;_-[$$-240A]\ * \-#,##0.00\ ;_-[$$-240A]\ * &quot;-&quot;??_ ;_-@_ "/>
    <numFmt numFmtId="173" formatCode="&quot;$&quot;\ #,##0.00_);\(&quot;$&quot;\ #,##0.00\)"/>
    <numFmt numFmtId="174" formatCode="&quot;$&quot;\ #,##0.00"/>
    <numFmt numFmtId="175" formatCode="_-[$$-240A]* #,##0.00_-;\-[$$-240A]* #,##0.00_-;_-[$$-240A]* &quot;-&quot;??_-;_-@"/>
    <numFmt numFmtId="176" formatCode="_([$$-240A]\ * #,##0_);_([$$-240A]\ * \(#,##0\);_([$$-240A]\ * &quot;-&quot;??_);_(@_)"/>
    <numFmt numFmtId="177" formatCode="_ [$$-240A]\ * #,##0.00_ ;_ [$$-240A]\ * \-#,##0.00_ ;_ [$$-240A]\ * &quot;-&quot;??_ ;_ @_ "/>
    <numFmt numFmtId="178" formatCode="_ * #,##0_ ;_ * \-#,##0_ ;_ * &quot;-&quot;??_ ;_ @_ "/>
    <numFmt numFmtId="179" formatCode="_-* #,##0.00_-;\-* #,##0.00_-;_-* &quot;-&quot;??_-;_-@"/>
    <numFmt numFmtId="180" formatCode="_ * #,##0.00_ ;_ * \-#,##0.00_ ;_ * &quot;-&quot;??_ ;_ @_ "/>
    <numFmt numFmtId="181" formatCode="_-* #,##0.00\ _€_-;\-* #,##0.00\ _€_-;_-* &quot;-&quot;??\ _€_-;_-@"/>
    <numFmt numFmtId="182" formatCode="_-* #,##0.00\ &quot;Pts&quot;_-;\-* #,##0.00\ &quot;Pts&quot;_-;_-* &quot;-&quot;??\ &quot;Pts&quot;_-;_-@_-"/>
    <numFmt numFmtId="183" formatCode="0.0"/>
    <numFmt numFmtId="184" formatCode="_(&quot;$&quot;\ * #,##0_);_(&quot;$&quot;\ * \(#,##0\);_(&quot;$&quot;\ * &quot;-&quot;_);_(@_)"/>
    <numFmt numFmtId="185" formatCode="_(* #,##0.00_);_(* \(#,##0.00\);_(* \-??_);_(@_)"/>
    <numFmt numFmtId="186" formatCode="_(&quot;$ &quot;* #,##0.00_);_(&quot;$ &quot;* \(#,##0.00\);_(&quot;$ &quot;* \-??_);_(@_)"/>
    <numFmt numFmtId="187" formatCode="_-* #,##0.00&quot; €&quot;_-;\-* #,##0.00&quot; €&quot;_-;_-* \-??&quot; €&quot;_-;_-@_-"/>
    <numFmt numFmtId="188" formatCode="_-* #,##0_-;\-* #,##0_-;_-* \-_-;_-@_-"/>
    <numFmt numFmtId="189" formatCode="_-* #,##0.00_-;\-* #,##0.00_-;_-* \-??_-;_-@_-"/>
    <numFmt numFmtId="190" formatCode="_-* #,##0\ _€_-;\-* #,##0\ _€_-;_-* &quot;- &quot;_€_-;_-@_-"/>
    <numFmt numFmtId="191" formatCode="_-\$* #,##0.00_-;&quot;-$&quot;* #,##0.00_-;_-\$* \-??_-;_-@_-"/>
    <numFmt numFmtId="192" formatCode="_-&quot;$&quot;* #,##0.0_-;\-&quot;$&quot;* #,##0.0_-;_-&quot;$&quot;* &quot;-&quot;??_-;_-@"/>
  </numFmts>
  <fonts count="52" x14ac:knownFonts="1">
    <font>
      <sz val="1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name val="Calibri"/>
      <family val="2"/>
    </font>
    <font>
      <sz val="11"/>
      <name val="Calibri"/>
      <family val="2"/>
    </font>
    <font>
      <sz val="11"/>
      <name val="Calibri"/>
      <family val="2"/>
    </font>
    <font>
      <b/>
      <sz val="11"/>
      <name val="Calibri"/>
      <family val="2"/>
    </font>
    <font>
      <b/>
      <sz val="11"/>
      <name val="Calibri"/>
      <family val="2"/>
    </font>
    <font>
      <b/>
      <sz val="11"/>
      <color rgb="FF2E75B5"/>
      <name val="Calibri"/>
      <family val="2"/>
    </font>
    <font>
      <b/>
      <sz val="11"/>
      <color rgb="FF000000"/>
      <name val="Calibri"/>
      <family val="2"/>
    </font>
    <font>
      <sz val="11"/>
      <color rgb="FF000000"/>
      <name val="Calibri"/>
      <family val="2"/>
    </font>
    <font>
      <sz val="10"/>
      <name val="Calibri"/>
      <family val="2"/>
    </font>
    <font>
      <sz val="9"/>
      <name val="Arial"/>
      <family val="2"/>
    </font>
    <font>
      <b/>
      <sz val="9"/>
      <name val="Arial"/>
      <family val="2"/>
    </font>
    <font>
      <sz val="8"/>
      <name val="Arial"/>
      <family val="2"/>
    </font>
    <font>
      <b/>
      <sz val="8"/>
      <name val="Arial"/>
      <family val="2"/>
    </font>
    <font>
      <b/>
      <sz val="9"/>
      <color rgb="FFFF0000"/>
      <name val="Arial"/>
      <family val="2"/>
    </font>
    <font>
      <sz val="9"/>
      <name val="Arial"/>
      <family val="2"/>
    </font>
    <font>
      <sz val="10"/>
      <name val="Arial Narrow"/>
      <family val="2"/>
    </font>
    <font>
      <sz val="9"/>
      <name val="Calibri"/>
      <family val="2"/>
    </font>
    <font>
      <b/>
      <sz val="8"/>
      <color rgb="FF595959"/>
      <name val="Arial"/>
      <family val="2"/>
    </font>
    <font>
      <sz val="8"/>
      <color rgb="FF595959"/>
      <name val="Arial"/>
      <family val="2"/>
    </font>
    <font>
      <sz val="11"/>
      <name val="Arial"/>
      <family val="2"/>
    </font>
    <font>
      <sz val="12"/>
      <name val="Arial Narrow"/>
      <family val="2"/>
    </font>
    <font>
      <u/>
      <sz val="11"/>
      <name val="Arial"/>
      <family val="2"/>
    </font>
    <font>
      <b/>
      <sz val="11"/>
      <name val="Arial"/>
      <family val="2"/>
    </font>
    <font>
      <sz val="9"/>
      <name val="Arial Narrow"/>
      <family val="2"/>
    </font>
    <font>
      <b/>
      <sz val="8"/>
      <name val="Arial Narrow"/>
      <family val="2"/>
    </font>
    <font>
      <sz val="8"/>
      <name val="Arial Narrow"/>
      <family val="2"/>
    </font>
    <font>
      <b/>
      <sz val="10"/>
      <name val="Arial"/>
      <family val="2"/>
    </font>
    <font>
      <b/>
      <sz val="14"/>
      <name val="Calibri"/>
      <family val="2"/>
    </font>
    <font>
      <b/>
      <u/>
      <sz val="8"/>
      <name val="Arial"/>
      <family val="2"/>
    </font>
    <font>
      <b/>
      <vertAlign val="superscript"/>
      <sz val="11"/>
      <name val="Arial"/>
      <family val="2"/>
    </font>
    <font>
      <sz val="10"/>
      <name val="Arial"/>
      <family val="2"/>
    </font>
    <font>
      <sz val="10"/>
      <name val="Arial"/>
      <family val="2"/>
      <charset val="1"/>
    </font>
    <font>
      <u/>
      <sz val="10"/>
      <color indexed="12"/>
      <name val="Arial Narrow"/>
      <family val="2"/>
    </font>
    <font>
      <sz val="11"/>
      <name val="Calibri"/>
      <family val="2"/>
      <scheme val="minor"/>
    </font>
    <font>
      <sz val="11"/>
      <color rgb="FFFF0000"/>
      <name val="Calibri"/>
      <family val="2"/>
    </font>
    <font>
      <b/>
      <sz val="11"/>
      <color rgb="FFFF0000"/>
      <name val="Calibri"/>
      <family val="2"/>
    </font>
    <font>
      <sz val="11"/>
      <name val="Calibri"/>
      <family val="2"/>
    </font>
    <font>
      <b/>
      <sz val="11"/>
      <name val="Calibri"/>
      <family val="2"/>
    </font>
    <font>
      <sz val="11"/>
      <color rgb="FF00B050"/>
      <name val="Calibri"/>
      <family val="2"/>
    </font>
    <font>
      <sz val="11"/>
      <color rgb="FF00B050"/>
      <name val="Calibri"/>
      <family val="2"/>
      <scheme val="minor"/>
    </font>
    <font>
      <b/>
      <sz val="9"/>
      <color indexed="81"/>
      <name val="Tahoma"/>
      <family val="2"/>
    </font>
    <font>
      <b/>
      <sz val="11"/>
      <color theme="1"/>
      <name val="Calibri"/>
      <family val="2"/>
    </font>
    <font>
      <b/>
      <sz val="11"/>
      <color rgb="FF00B050"/>
      <name val="Calibri"/>
      <family val="2"/>
    </font>
    <font>
      <sz val="11"/>
      <color indexed="8"/>
      <name val="Calibri"/>
      <family val="2"/>
    </font>
    <font>
      <b/>
      <sz val="11"/>
      <color indexed="8"/>
      <name val="Calibri"/>
      <family val="2"/>
    </font>
    <font>
      <sz val="11"/>
      <color rgb="FF000000"/>
      <name val="Calibri"/>
      <family val="2"/>
      <charset val="1"/>
    </font>
    <font>
      <sz val="11"/>
      <color theme="1"/>
      <name val="Arial"/>
      <family val="2"/>
    </font>
    <font>
      <sz val="11"/>
      <color indexed="8"/>
      <name val="Arial"/>
      <family val="2"/>
    </font>
  </fonts>
  <fills count="19">
    <fill>
      <patternFill patternType="none"/>
    </fill>
    <fill>
      <patternFill patternType="gray125"/>
    </fill>
    <fill>
      <patternFill patternType="solid">
        <fgColor rgb="FF7F7F7F"/>
        <bgColor rgb="FF7F7F7F"/>
      </patternFill>
    </fill>
    <fill>
      <patternFill patternType="solid">
        <fgColor rgb="FFD0CECE"/>
        <bgColor rgb="FFD0CECE"/>
      </patternFill>
    </fill>
    <fill>
      <patternFill patternType="solid">
        <fgColor rgb="FFFFFF00"/>
        <bgColor rgb="FFFFFF00"/>
      </patternFill>
    </fill>
    <fill>
      <patternFill patternType="solid">
        <fgColor rgb="FFE7E6E6"/>
        <bgColor rgb="FFE7E6E6"/>
      </patternFill>
    </fill>
    <fill>
      <patternFill patternType="solid">
        <fgColor rgb="FFBFBFBF"/>
        <bgColor rgb="FFBFBFBF"/>
      </patternFill>
    </fill>
    <fill>
      <patternFill patternType="solid">
        <fgColor theme="0"/>
        <bgColor indexed="64"/>
      </patternFill>
    </fill>
    <fill>
      <patternFill patternType="solid">
        <fgColor theme="0"/>
        <bgColor rgb="FF00B0F0"/>
      </patternFill>
    </fill>
    <fill>
      <patternFill patternType="solid">
        <fgColor theme="0"/>
        <bgColor rgb="FF92D050"/>
      </patternFill>
    </fill>
    <fill>
      <patternFill patternType="solid">
        <fgColor rgb="FFFFFF00"/>
        <bgColor indexed="64"/>
      </patternFill>
    </fill>
    <fill>
      <patternFill patternType="solid">
        <fgColor rgb="FFFFC000"/>
        <bgColor indexed="64"/>
      </patternFill>
    </fill>
    <fill>
      <patternFill patternType="solid">
        <fgColor theme="9" tint="0.39997558519241921"/>
        <bgColor indexed="64"/>
      </patternFill>
    </fill>
    <fill>
      <patternFill patternType="solid">
        <fgColor theme="9" tint="0.39997558519241921"/>
        <bgColor rgb="FFFF0000"/>
      </patternFill>
    </fill>
    <fill>
      <patternFill patternType="solid">
        <fgColor rgb="FFFFC000"/>
        <bgColor rgb="FFFF0000"/>
      </patternFill>
    </fill>
    <fill>
      <patternFill patternType="solid">
        <fgColor theme="0"/>
        <bgColor rgb="FFFFFF00"/>
      </patternFill>
    </fill>
    <fill>
      <patternFill patternType="solid">
        <fgColor theme="0"/>
        <bgColor rgb="FFFF0000"/>
      </patternFill>
    </fill>
    <fill>
      <patternFill patternType="solid">
        <fgColor theme="0"/>
        <bgColor rgb="FFC5E0B3"/>
      </patternFill>
    </fill>
    <fill>
      <patternFill patternType="solid">
        <fgColor theme="0" tint="-0.499984740745262"/>
        <bgColor indexed="64"/>
      </patternFill>
    </fill>
  </fills>
  <borders count="132">
    <border>
      <left/>
      <right/>
      <top/>
      <bottom/>
      <diagonal/>
    </border>
    <border>
      <left style="medium">
        <color rgb="FF000000"/>
      </left>
      <right/>
      <top style="medium">
        <color rgb="FF000000"/>
      </top>
      <bottom style="dotted">
        <color rgb="FF000000"/>
      </bottom>
      <diagonal/>
    </border>
    <border>
      <left/>
      <right/>
      <top style="medium">
        <color rgb="FF000000"/>
      </top>
      <bottom style="dotted">
        <color rgb="FF000000"/>
      </bottom>
      <diagonal/>
    </border>
    <border>
      <left/>
      <right style="dotted">
        <color rgb="FF000000"/>
      </right>
      <top style="medium">
        <color rgb="FF000000"/>
      </top>
      <bottom style="dotted">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style="dotted">
        <color rgb="FF000000"/>
      </right>
      <top/>
      <bottom style="dotted">
        <color rgb="FF000000"/>
      </bottom>
      <diagonal/>
    </border>
    <border>
      <left style="dotted">
        <color rgb="FF000000"/>
      </left>
      <right style="dotted">
        <color rgb="FF000000"/>
      </right>
      <top/>
      <bottom style="dotted">
        <color rgb="FF000000"/>
      </bottom>
      <diagonal/>
    </border>
    <border>
      <left/>
      <right style="medium">
        <color rgb="FF000000"/>
      </right>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style="medium">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style="medium">
        <color rgb="FF000000"/>
      </left>
      <right/>
      <top style="thin">
        <color rgb="FF000000"/>
      </top>
      <bottom/>
      <diagonal/>
    </border>
    <border>
      <left/>
      <right/>
      <top style="thin">
        <color rgb="FF000000"/>
      </top>
      <bottom/>
      <diagonal/>
    </border>
    <border>
      <left/>
      <right/>
      <top/>
      <bottom/>
      <diagonal/>
    </border>
    <border>
      <left style="medium">
        <color rgb="FF000000"/>
      </left>
      <right/>
      <top/>
      <bottom style="thin">
        <color rgb="FF000000"/>
      </bottom>
      <diagonal/>
    </border>
    <border>
      <left/>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style="thin">
        <color rgb="FF000000"/>
      </top>
      <bottom style="medium">
        <color rgb="FF000000"/>
      </bottom>
      <diagonal/>
    </border>
    <border>
      <left/>
      <right style="thin">
        <color rgb="FF000000"/>
      </right>
      <top style="thin">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right/>
      <top style="medium">
        <color rgb="FF000000"/>
      </top>
      <bottom style="medium">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thin">
        <color rgb="FF000000"/>
      </bottom>
      <diagonal/>
    </border>
    <border>
      <left style="thin">
        <color rgb="FF000000"/>
      </left>
      <right/>
      <top/>
      <bottom style="thin">
        <color rgb="FF000000"/>
      </bottom>
      <diagonal/>
    </border>
    <border>
      <left style="thin">
        <color rgb="FF000000"/>
      </left>
      <right/>
      <top/>
      <bottom/>
      <diagonal/>
    </border>
    <border>
      <left/>
      <right style="thin">
        <color rgb="FF000000"/>
      </right>
      <top/>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style="medium">
        <color rgb="FF000000"/>
      </right>
      <top style="thin">
        <color rgb="FF000000"/>
      </top>
      <bottom/>
      <diagonal/>
    </border>
    <border>
      <left style="thin">
        <color rgb="FF000000"/>
      </left>
      <right/>
      <top/>
      <bottom style="medium">
        <color rgb="FF000000"/>
      </bottom>
      <diagonal/>
    </border>
    <border>
      <left/>
      <right/>
      <top style="double">
        <color rgb="FF000000"/>
      </top>
      <bottom/>
      <diagonal/>
    </border>
    <border>
      <left/>
      <right style="double">
        <color rgb="FF000000"/>
      </right>
      <top style="double">
        <color rgb="FF000000"/>
      </top>
      <bottom/>
      <diagonal/>
    </border>
    <border>
      <left style="dotted">
        <color rgb="FF000000"/>
      </left>
      <right/>
      <top style="dotted">
        <color rgb="FF000000"/>
      </top>
      <bottom style="dotted">
        <color rgb="FF000000"/>
      </bottom>
      <diagonal/>
    </border>
    <border>
      <left/>
      <right/>
      <top style="dotted">
        <color rgb="FF000000"/>
      </top>
      <bottom style="dotted">
        <color rgb="FF000000"/>
      </bottom>
      <diagonal/>
    </border>
    <border>
      <left/>
      <right style="dotted">
        <color rgb="FF000000"/>
      </right>
      <top style="dotted">
        <color rgb="FF000000"/>
      </top>
      <bottom style="dotted">
        <color rgb="FF000000"/>
      </bottom>
      <diagonal/>
    </border>
    <border>
      <left/>
      <right style="double">
        <color rgb="FF000000"/>
      </right>
      <top/>
      <bottom/>
      <diagonal/>
    </border>
    <border>
      <left/>
      <right style="double">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thin">
        <color rgb="FF000000"/>
      </right>
      <top/>
      <bottom style="medium">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medium">
        <color rgb="FF000000"/>
      </right>
      <top/>
      <bottom/>
      <diagonal/>
    </border>
    <border>
      <left style="medium">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right style="thin">
        <color rgb="FF000000"/>
      </right>
      <top/>
      <bottom/>
      <diagonal/>
    </border>
    <border>
      <left/>
      <right style="medium">
        <color rgb="FF000000"/>
      </right>
      <top style="thin">
        <color rgb="FF000000"/>
      </top>
      <bottom style="thin">
        <color rgb="FF000000"/>
      </bottom>
      <diagonal/>
    </border>
    <border>
      <left/>
      <right/>
      <top/>
      <bottom style="double">
        <color rgb="FF000000"/>
      </bottom>
      <diagonal/>
    </border>
    <border>
      <left/>
      <right style="double">
        <color rgb="FF000000"/>
      </right>
      <top/>
      <bottom style="double">
        <color rgb="FF000000"/>
      </bottom>
      <diagonal/>
    </border>
    <border>
      <left style="double">
        <color rgb="FF000000"/>
      </left>
      <right/>
      <top style="double">
        <color rgb="FF000000"/>
      </top>
      <bottom/>
      <diagonal/>
    </border>
    <border>
      <left style="double">
        <color rgb="FF000000"/>
      </left>
      <right/>
      <top/>
      <bottom/>
      <diagonal/>
    </border>
    <border>
      <left style="thin">
        <color rgb="FF000000"/>
      </left>
      <right/>
      <top style="medium">
        <color rgb="FF000000"/>
      </top>
      <bottom/>
      <diagonal/>
    </border>
    <border>
      <left/>
      <right style="thin">
        <color rgb="FF000000"/>
      </right>
      <top style="medium">
        <color rgb="FF000000"/>
      </top>
      <bottom/>
      <diagonal/>
    </border>
    <border>
      <left/>
      <right style="medium">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top style="medium">
        <color rgb="FF000000"/>
      </top>
      <bottom/>
      <diagonal/>
    </border>
    <border>
      <left style="thin">
        <color rgb="FF000000"/>
      </left>
      <right style="thin">
        <color rgb="FF000000"/>
      </right>
      <top style="medium">
        <color rgb="FF000000"/>
      </top>
      <bottom style="thin">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style="medium">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double">
        <color rgb="FF000000"/>
      </left>
      <right/>
      <top/>
      <bottom style="double">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indexed="64"/>
      </right>
      <top style="medium">
        <color rgb="FF000000"/>
      </top>
      <bottom/>
      <diagonal/>
    </border>
    <border>
      <left style="thin">
        <color rgb="FF000000"/>
      </left>
      <right style="thin">
        <color indexed="64"/>
      </right>
      <top/>
      <bottom/>
      <diagonal/>
    </border>
    <border>
      <left/>
      <right style="thin">
        <color indexed="64"/>
      </right>
      <top style="thin">
        <color rgb="FF000000"/>
      </top>
      <bottom/>
      <diagonal/>
    </border>
    <border>
      <left/>
      <right style="thin">
        <color indexed="64"/>
      </right>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bottom style="thin">
        <color rgb="FF000000"/>
      </bottom>
      <diagonal/>
    </border>
    <border>
      <left/>
      <right style="thin">
        <color indexed="64"/>
      </right>
      <top/>
      <bottom/>
      <diagonal/>
    </border>
    <border>
      <left/>
      <right style="thin">
        <color indexed="64"/>
      </right>
      <top style="thin">
        <color rgb="FF000000"/>
      </top>
      <bottom style="thin">
        <color rgb="FF000000"/>
      </bottom>
      <diagonal/>
    </border>
    <border>
      <left style="thin">
        <color rgb="FF000000"/>
      </left>
      <right style="thin">
        <color indexed="64"/>
      </right>
      <top style="thin">
        <color rgb="FF000000"/>
      </top>
      <bottom/>
      <diagonal/>
    </border>
    <border>
      <left/>
      <right style="thin">
        <color indexed="64"/>
      </right>
      <top style="thin">
        <color rgb="FF000000"/>
      </top>
      <bottom style="medium">
        <color rgb="FF000000"/>
      </bottom>
      <diagonal/>
    </border>
    <border>
      <left style="thin">
        <color rgb="FF000000"/>
      </left>
      <right style="thin">
        <color indexed="64"/>
      </right>
      <top style="medium">
        <color rgb="FF000000"/>
      </top>
      <bottom style="thin">
        <color rgb="FF000000"/>
      </bottom>
      <diagonal/>
    </border>
    <border>
      <left/>
      <right style="thin">
        <color indexed="64"/>
      </right>
      <top style="medium">
        <color rgb="FF000000"/>
      </top>
      <bottom style="medium">
        <color rgb="FF000000"/>
      </bottom>
      <diagonal/>
    </border>
  </borders>
  <cellStyleXfs count="218">
    <xf numFmtId="0" fontId="0" fillId="0" borderId="0"/>
    <xf numFmtId="0" fontId="3" fillId="0" borderId="28"/>
    <xf numFmtId="0" fontId="3" fillId="0" borderId="28"/>
    <xf numFmtId="0" fontId="3" fillId="0" borderId="28"/>
    <xf numFmtId="0" fontId="34" fillId="0" borderId="28"/>
    <xf numFmtId="0" fontId="34" fillId="0" borderId="28"/>
    <xf numFmtId="165" fontId="3" fillId="0" borderId="28" applyFont="0" applyFill="0" applyBorder="0" applyAlignment="0" applyProtection="0"/>
    <xf numFmtId="0" fontId="34" fillId="0" borderId="28"/>
    <xf numFmtId="182" fontId="34" fillId="0" borderId="28" applyFont="0" applyFill="0" applyBorder="0" applyAlignment="0" applyProtection="0"/>
    <xf numFmtId="9" fontId="3" fillId="0" borderId="28" applyFont="0" applyFill="0" applyBorder="0" applyAlignment="0" applyProtection="0"/>
    <xf numFmtId="0" fontId="34" fillId="0" borderId="28"/>
    <xf numFmtId="0" fontId="3" fillId="0" borderId="28"/>
    <xf numFmtId="0" fontId="35" fillId="0" borderId="28"/>
    <xf numFmtId="43" fontId="35" fillId="0" borderId="28" applyFont="0" applyFill="0" applyBorder="0" applyAlignment="0" applyProtection="0"/>
    <xf numFmtId="44" fontId="3" fillId="0" borderId="28" applyFont="0" applyFill="0" applyBorder="0" applyAlignment="0" applyProtection="0"/>
    <xf numFmtId="0" fontId="36" fillId="0" borderId="28" applyNumberFormat="0" applyFill="0" applyBorder="0" applyAlignment="0" applyProtection="0">
      <alignment vertical="top"/>
      <protection locked="0"/>
    </xf>
    <xf numFmtId="9" fontId="3" fillId="0" borderId="28" applyFont="0" applyFill="0" applyBorder="0" applyAlignment="0" applyProtection="0"/>
    <xf numFmtId="0" fontId="34" fillId="0" borderId="28"/>
    <xf numFmtId="0" fontId="3" fillId="0" borderId="28"/>
    <xf numFmtId="0" fontId="2" fillId="0" borderId="28"/>
    <xf numFmtId="0" fontId="2" fillId="0" borderId="28"/>
    <xf numFmtId="0" fontId="2" fillId="0" borderId="28"/>
    <xf numFmtId="165" fontId="2" fillId="0" borderId="28" applyFont="0" applyFill="0" applyBorder="0" applyAlignment="0" applyProtection="0"/>
    <xf numFmtId="9" fontId="2" fillId="0" borderId="28" applyFont="0" applyFill="0" applyBorder="0" applyAlignment="0" applyProtection="0"/>
    <xf numFmtId="0" fontId="2" fillId="0" borderId="28"/>
    <xf numFmtId="44" fontId="2" fillId="0" borderId="28" applyFont="0" applyFill="0" applyBorder="0" applyAlignment="0" applyProtection="0"/>
    <xf numFmtId="9" fontId="2" fillId="0" borderId="28" applyFont="0" applyFill="0" applyBorder="0" applyAlignment="0" applyProtection="0"/>
    <xf numFmtId="0" fontId="2" fillId="0" borderId="28"/>
    <xf numFmtId="164" fontId="37" fillId="0" borderId="0" applyFont="0" applyFill="0" applyBorder="0" applyAlignment="0" applyProtection="0"/>
    <xf numFmtId="0" fontId="47" fillId="0" borderId="28"/>
    <xf numFmtId="190" fontId="34" fillId="0" borderId="28"/>
    <xf numFmtId="0" fontId="47" fillId="0" borderId="28"/>
    <xf numFmtId="0" fontId="47" fillId="0" borderId="28">
      <alignment horizontal="left"/>
    </xf>
    <xf numFmtId="0" fontId="47" fillId="0" borderId="28"/>
    <xf numFmtId="9" fontId="47" fillId="0" borderId="28"/>
    <xf numFmtId="191" fontId="47" fillId="0" borderId="28"/>
    <xf numFmtId="0" fontId="34" fillId="0" borderId="28"/>
    <xf numFmtId="0" fontId="34" fillId="0" borderId="28"/>
    <xf numFmtId="0" fontId="47" fillId="0" borderId="28"/>
    <xf numFmtId="0" fontId="34" fillId="0" borderId="28"/>
    <xf numFmtId="9" fontId="47" fillId="0" borderId="28"/>
    <xf numFmtId="0" fontId="48" fillId="0" borderId="28"/>
    <xf numFmtId="0" fontId="48" fillId="0" borderId="28"/>
    <xf numFmtId="0" fontId="48" fillId="0" borderId="28">
      <alignment horizontal="left"/>
    </xf>
    <xf numFmtId="0" fontId="47" fillId="0" borderId="28"/>
    <xf numFmtId="188" fontId="47" fillId="0" borderId="28"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5" fontId="47" fillId="0" borderId="28" applyFill="0" applyBorder="0" applyAlignment="0" applyProtection="0"/>
    <xf numFmtId="185" fontId="47" fillId="0" borderId="28"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5" fontId="47" fillId="0" borderId="28"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5" fontId="34" fillId="0" borderId="28"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9" fontId="47" fillId="0" borderId="28"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6" fontId="47" fillId="0" borderId="28" applyFill="0" applyBorder="0" applyAlignment="0" applyProtection="0"/>
    <xf numFmtId="186" fontId="47" fillId="0" borderId="28" applyFill="0" applyBorder="0" applyAlignment="0" applyProtection="0"/>
    <xf numFmtId="187" fontId="34" fillId="0" borderId="28" applyFill="0" applyBorder="0" applyAlignment="0" applyProtection="0"/>
    <xf numFmtId="186" fontId="34" fillId="0" borderId="28" applyFill="0" applyBorder="0" applyAlignment="0" applyProtection="0"/>
    <xf numFmtId="165" fontId="47" fillId="0" borderId="28" applyFont="0" applyFill="0" applyBorder="0" applyAlignment="0" applyProtection="0"/>
    <xf numFmtId="0" fontId="34" fillId="0" borderId="28"/>
    <xf numFmtId="0" fontId="34" fillId="0" borderId="28"/>
    <xf numFmtId="0" fontId="47" fillId="0" borderId="28"/>
    <xf numFmtId="0" fontId="47" fillId="0" borderId="28"/>
    <xf numFmtId="0" fontId="47" fillId="0" borderId="28"/>
    <xf numFmtId="0" fontId="47" fillId="0" borderId="28"/>
    <xf numFmtId="0" fontId="1" fillId="0" borderId="28"/>
    <xf numFmtId="0" fontId="34" fillId="0" borderId="28"/>
    <xf numFmtId="0" fontId="34" fillId="0" borderId="28"/>
    <xf numFmtId="0" fontId="34" fillId="0" borderId="28"/>
    <xf numFmtId="9" fontId="47" fillId="0" borderId="28" applyFill="0" applyBorder="0" applyAlignment="0" applyProtection="0"/>
    <xf numFmtId="9" fontId="49" fillId="0" borderId="28" applyBorder="0" applyAlignment="0" applyProtection="0"/>
    <xf numFmtId="9" fontId="47" fillId="0" borderId="28" applyFont="0" applyFill="0" applyBorder="0" applyAlignment="0" applyProtection="0"/>
    <xf numFmtId="9" fontId="47" fillId="0" borderId="28" applyFont="0" applyFill="0" applyBorder="0" applyAlignment="0" applyProtection="0"/>
    <xf numFmtId="9" fontId="47" fillId="0" borderId="28"/>
    <xf numFmtId="0" fontId="48" fillId="0" borderId="28"/>
    <xf numFmtId="189" fontId="49" fillId="0" borderId="28"/>
    <xf numFmtId="0" fontId="34" fillId="0" borderId="28"/>
    <xf numFmtId="0" fontId="34" fillId="0" borderId="28"/>
    <xf numFmtId="0" fontId="1" fillId="0" borderId="28"/>
    <xf numFmtId="9" fontId="1"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80" fontId="47" fillId="0" borderId="28" applyFont="0" applyFill="0" applyBorder="0" applyAlignment="0" applyProtection="0"/>
    <xf numFmtId="165" fontId="47" fillId="0" borderId="28" applyFont="0" applyFill="0" applyBorder="0" applyAlignment="0" applyProtection="0"/>
    <xf numFmtId="0" fontId="1" fillId="0" borderId="28"/>
    <xf numFmtId="0" fontId="1" fillId="0" borderId="28"/>
    <xf numFmtId="9" fontId="1" fillId="0" borderId="28" applyFont="0" applyFill="0" applyBorder="0" applyAlignment="0" applyProtection="0"/>
    <xf numFmtId="41" fontId="47" fillId="0" borderId="28" applyFont="0" applyFill="0" applyBorder="0" applyAlignment="0" applyProtection="0"/>
    <xf numFmtId="0" fontId="1" fillId="0" borderId="28"/>
    <xf numFmtId="0" fontId="50" fillId="0" borderId="28"/>
    <xf numFmtId="0" fontId="1" fillId="0" borderId="28"/>
    <xf numFmtId="0" fontId="47" fillId="0" borderId="28"/>
    <xf numFmtId="184" fontId="47" fillId="0" borderId="28" applyFont="0" applyFill="0" applyBorder="0" applyAlignment="0" applyProtection="0"/>
    <xf numFmtId="165" fontId="47" fillId="0" borderId="28" applyFont="0" applyFill="0" applyBorder="0" applyAlignment="0" applyProtection="0"/>
    <xf numFmtId="0" fontId="1" fillId="0" borderId="28"/>
    <xf numFmtId="9" fontId="47" fillId="0" borderId="28" applyFill="0" applyBorder="0" applyAlignment="0" applyProtection="0"/>
    <xf numFmtId="0" fontId="1" fillId="0" borderId="28"/>
    <xf numFmtId="9" fontId="1" fillId="0" borderId="28" applyFont="0" applyFill="0" applyBorder="0" applyAlignment="0" applyProtection="0"/>
    <xf numFmtId="41" fontId="47" fillId="0" borderId="28" applyFont="0" applyFill="0" applyBorder="0" applyAlignment="0" applyProtection="0"/>
    <xf numFmtId="165" fontId="47" fillId="0" borderId="28" applyFont="0" applyFill="0" applyBorder="0" applyAlignment="0" applyProtection="0"/>
    <xf numFmtId="0" fontId="1" fillId="0" borderId="28"/>
    <xf numFmtId="0" fontId="1" fillId="0" borderId="28"/>
    <xf numFmtId="9" fontId="1" fillId="0" borderId="28" applyFont="0" applyFill="0" applyBorder="0" applyAlignment="0" applyProtection="0"/>
    <xf numFmtId="41" fontId="47" fillId="0" borderId="28" applyFont="0" applyFill="0" applyBorder="0" applyAlignment="0" applyProtection="0"/>
    <xf numFmtId="0" fontId="1" fillId="0" borderId="28"/>
    <xf numFmtId="43" fontId="47" fillId="0" borderId="28" applyFont="0" applyFill="0" applyBorder="0" applyAlignment="0" applyProtection="0"/>
    <xf numFmtId="44" fontId="47" fillId="0" borderId="28" applyFont="0" applyFill="0" applyBorder="0" applyAlignment="0" applyProtection="0"/>
    <xf numFmtId="9" fontId="47" fillId="0" borderId="28" applyFont="0" applyFill="0" applyBorder="0" applyAlignment="0" applyProtection="0"/>
  </cellStyleXfs>
  <cellXfs count="697">
    <xf numFmtId="0" fontId="0" fillId="0" borderId="0" xfId="0"/>
    <xf numFmtId="0" fontId="4" fillId="0" borderId="0" xfId="0" applyFont="1" applyAlignment="1">
      <alignment horizontal="center" vertical="center"/>
    </xf>
    <xf numFmtId="0" fontId="4" fillId="0" borderId="0" xfId="0" applyFont="1" applyAlignment="1">
      <alignment horizontal="left" vertical="center"/>
    </xf>
    <xf numFmtId="166" fontId="4" fillId="0" borderId="0" xfId="0" applyNumberFormat="1" applyFont="1" applyAlignment="1">
      <alignment vertical="center"/>
    </xf>
    <xf numFmtId="0" fontId="4" fillId="0" borderId="0" xfId="0" applyFont="1" applyAlignment="1">
      <alignment vertical="center"/>
    </xf>
    <xf numFmtId="0" fontId="8" fillId="0" borderId="6" xfId="0" applyFont="1" applyBorder="1" applyAlignment="1">
      <alignment horizontal="center" vertical="center"/>
    </xf>
    <xf numFmtId="0" fontId="5" fillId="0" borderId="7" xfId="0" applyFont="1" applyBorder="1" applyAlignment="1">
      <alignment horizontal="center" vertical="center"/>
    </xf>
    <xf numFmtId="0" fontId="7" fillId="0" borderId="9" xfId="0" applyFont="1" applyBorder="1" applyAlignment="1">
      <alignment vertical="center" wrapText="1"/>
    </xf>
    <xf numFmtId="0" fontId="7" fillId="0" borderId="0" xfId="0" applyFont="1" applyAlignment="1">
      <alignment horizontal="center" vertical="center" wrapText="1"/>
    </xf>
    <xf numFmtId="0" fontId="7" fillId="0" borderId="0" xfId="0" applyFont="1" applyAlignment="1">
      <alignment vertical="center" wrapText="1"/>
    </xf>
    <xf numFmtId="0" fontId="7" fillId="2" borderId="13" xfId="0" applyFont="1" applyFill="1" applyBorder="1" applyAlignment="1">
      <alignment vertical="center" wrapText="1"/>
    </xf>
    <xf numFmtId="0" fontId="7" fillId="2" borderId="14" xfId="0" applyFont="1" applyFill="1" applyBorder="1" applyAlignment="1">
      <alignment horizontal="center" vertical="center" wrapText="1"/>
    </xf>
    <xf numFmtId="0" fontId="7" fillId="2" borderId="14" xfId="0" applyFont="1" applyFill="1" applyBorder="1" applyAlignment="1">
      <alignment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wrapText="1"/>
    </xf>
    <xf numFmtId="167" fontId="9" fillId="0" borderId="0" xfId="0" applyNumberFormat="1" applyFont="1" applyAlignment="1">
      <alignment horizontal="center" vertical="center" wrapText="1"/>
    </xf>
    <xf numFmtId="0" fontId="4" fillId="2" borderId="26" xfId="0" applyFont="1" applyFill="1" applyBorder="1" applyAlignment="1">
      <alignment horizontal="center" vertical="center"/>
    </xf>
    <xf numFmtId="1" fontId="10" fillId="2" borderId="27" xfId="0" applyNumberFormat="1" applyFont="1" applyFill="1" applyBorder="1" applyAlignment="1">
      <alignment horizontal="center" vertical="center" shrinkToFit="1"/>
    </xf>
    <xf numFmtId="0" fontId="4" fillId="2" borderId="27" xfId="0" applyFont="1" applyFill="1" applyBorder="1" applyAlignment="1">
      <alignment horizontal="left" vertical="center"/>
    </xf>
    <xf numFmtId="0" fontId="4" fillId="2" borderId="27" xfId="0" applyFont="1" applyFill="1" applyBorder="1" applyAlignment="1">
      <alignment horizontal="center" vertical="center"/>
    </xf>
    <xf numFmtId="0" fontId="8" fillId="2" borderId="27" xfId="0" applyFont="1" applyFill="1" applyBorder="1" applyAlignment="1">
      <alignment horizontal="left" vertical="center" wrapText="1"/>
    </xf>
    <xf numFmtId="0" fontId="4" fillId="2" borderId="27" xfId="0" applyFont="1" applyFill="1" applyBorder="1" applyAlignment="1">
      <alignment horizontal="center" vertical="center" wrapText="1"/>
    </xf>
    <xf numFmtId="0" fontId="11" fillId="2" borderId="27" xfId="0" applyFont="1" applyFill="1" applyBorder="1" applyAlignment="1">
      <alignment horizontal="center" vertical="center" wrapText="1"/>
    </xf>
    <xf numFmtId="166" fontId="4" fillId="3" borderId="28" xfId="0" applyNumberFormat="1" applyFont="1" applyFill="1" applyBorder="1" applyAlignment="1">
      <alignment vertical="center"/>
    </xf>
    <xf numFmtId="0" fontId="4" fillId="2" borderId="29" xfId="0" applyFont="1" applyFill="1" applyBorder="1" applyAlignment="1">
      <alignment horizontal="center" vertical="center"/>
    </xf>
    <xf numFmtId="0" fontId="8" fillId="2" borderId="30" xfId="0" applyFont="1" applyFill="1" applyBorder="1" applyAlignment="1">
      <alignment horizontal="center" vertical="center" wrapText="1"/>
    </xf>
    <xf numFmtId="0" fontId="4" fillId="2" borderId="30" xfId="0" applyFont="1" applyFill="1" applyBorder="1" applyAlignment="1">
      <alignment horizontal="left" vertical="center"/>
    </xf>
    <xf numFmtId="0" fontId="4" fillId="2" borderId="30" xfId="0" applyFont="1" applyFill="1" applyBorder="1" applyAlignment="1">
      <alignment horizontal="center" vertical="center"/>
    </xf>
    <xf numFmtId="0" fontId="8" fillId="2" borderId="30" xfId="0" applyFont="1" applyFill="1" applyBorder="1" applyAlignment="1">
      <alignment horizontal="left" vertical="center" wrapText="1"/>
    </xf>
    <xf numFmtId="0" fontId="4" fillId="2" borderId="30" xfId="0" applyFont="1" applyFill="1" applyBorder="1" applyAlignment="1">
      <alignment horizontal="center" vertical="center" wrapText="1"/>
    </xf>
    <xf numFmtId="0" fontId="11" fillId="2" borderId="30" xfId="0" applyFont="1" applyFill="1" applyBorder="1" applyAlignment="1">
      <alignment horizontal="center" vertical="center" wrapText="1"/>
    </xf>
    <xf numFmtId="0" fontId="4" fillId="0" borderId="31" xfId="0" applyFont="1" applyBorder="1" applyAlignment="1">
      <alignment horizontal="center" vertical="center"/>
    </xf>
    <xf numFmtId="0" fontId="5" fillId="0" borderId="32" xfId="0" applyFont="1" applyBorder="1" applyAlignment="1">
      <alignment horizontal="center" vertical="center" wrapText="1"/>
    </xf>
    <xf numFmtId="0" fontId="4" fillId="0" borderId="32" xfId="0" applyFont="1" applyBorder="1" applyAlignment="1">
      <alignment horizontal="center" vertical="center"/>
    </xf>
    <xf numFmtId="0" fontId="5" fillId="0" borderId="32" xfId="0" applyFont="1" applyBorder="1" applyAlignment="1">
      <alignment horizontal="left" vertical="center" wrapText="1"/>
    </xf>
    <xf numFmtId="168" fontId="4" fillId="0" borderId="32" xfId="0" applyNumberFormat="1" applyFont="1" applyBorder="1" applyAlignment="1">
      <alignment horizontal="center" vertical="center"/>
    </xf>
    <xf numFmtId="0" fontId="7" fillId="0" borderId="34" xfId="0" applyFont="1" applyBorder="1" applyAlignment="1">
      <alignment horizontal="center" vertical="center"/>
    </xf>
    <xf numFmtId="0" fontId="5" fillId="0" borderId="35" xfId="0" applyFont="1" applyBorder="1" applyAlignment="1">
      <alignment horizontal="center" vertical="center" wrapText="1"/>
    </xf>
    <xf numFmtId="0" fontId="4" fillId="0" borderId="35" xfId="0" applyFont="1" applyBorder="1" applyAlignment="1">
      <alignment horizontal="center" vertical="center"/>
    </xf>
    <xf numFmtId="0" fontId="5" fillId="0" borderId="35" xfId="0" applyFont="1" applyBorder="1" applyAlignment="1">
      <alignment horizontal="left" vertical="center" wrapText="1"/>
    </xf>
    <xf numFmtId="168" fontId="4" fillId="0" borderId="0" xfId="0" applyNumberFormat="1" applyFont="1" applyAlignment="1">
      <alignment horizontal="center" vertical="center"/>
    </xf>
    <xf numFmtId="168" fontId="7" fillId="0" borderId="35" xfId="0" applyNumberFormat="1" applyFont="1" applyBorder="1" applyAlignment="1">
      <alignment horizontal="center" vertical="center"/>
    </xf>
    <xf numFmtId="166" fontId="7" fillId="0" borderId="0" xfId="0" applyNumberFormat="1" applyFont="1" applyAlignment="1">
      <alignment vertical="center"/>
    </xf>
    <xf numFmtId="168" fontId="4" fillId="2" borderId="27" xfId="0" applyNumberFormat="1" applyFont="1" applyFill="1" applyBorder="1" applyAlignment="1">
      <alignment horizontal="center" vertical="center"/>
    </xf>
    <xf numFmtId="168" fontId="7" fillId="2" borderId="27" xfId="0" applyNumberFormat="1" applyFont="1" applyFill="1" applyBorder="1" applyAlignment="1">
      <alignment horizontal="center" vertical="center"/>
    </xf>
    <xf numFmtId="168" fontId="4" fillId="2" borderId="28" xfId="0" applyNumberFormat="1" applyFont="1" applyFill="1" applyBorder="1" applyAlignment="1">
      <alignment horizontal="center" vertical="center"/>
    </xf>
    <xf numFmtId="168" fontId="7" fillId="2" borderId="30" xfId="0" applyNumberFormat="1" applyFont="1" applyFill="1" applyBorder="1" applyAlignment="1">
      <alignment horizontal="center" vertical="center"/>
    </xf>
    <xf numFmtId="0" fontId="5" fillId="0" borderId="36" xfId="0" applyFont="1" applyBorder="1" applyAlignment="1">
      <alignment horizontal="left" vertical="center" wrapText="1"/>
    </xf>
    <xf numFmtId="0" fontId="5" fillId="0" borderId="36" xfId="0" applyFont="1" applyBorder="1" applyAlignment="1">
      <alignment horizontal="center" vertical="center" wrapText="1"/>
    </xf>
    <xf numFmtId="0" fontId="4" fillId="0" borderId="36" xfId="0" applyFont="1" applyBorder="1" applyAlignment="1">
      <alignment horizontal="center" vertical="center"/>
    </xf>
    <xf numFmtId="0" fontId="5" fillId="0" borderId="23" xfId="0" applyFont="1" applyBorder="1" applyAlignment="1">
      <alignment horizontal="left" vertical="center" wrapText="1"/>
    </xf>
    <xf numFmtId="0" fontId="5" fillId="0" borderId="23" xfId="0" applyFont="1" applyBorder="1" applyAlignment="1">
      <alignment horizontal="center" vertical="center" wrapText="1"/>
    </xf>
    <xf numFmtId="0" fontId="4" fillId="0" borderId="23" xfId="0" applyFont="1" applyBorder="1" applyAlignment="1">
      <alignment horizontal="center" vertical="center"/>
    </xf>
    <xf numFmtId="0" fontId="7" fillId="0" borderId="38" xfId="0" applyFont="1" applyBorder="1" applyAlignment="1">
      <alignment horizontal="center" vertical="center"/>
    </xf>
    <xf numFmtId="0" fontId="5" fillId="0" borderId="39" xfId="0" applyFont="1" applyBorder="1" applyAlignment="1">
      <alignment horizontal="center" vertical="center" wrapText="1"/>
    </xf>
    <xf numFmtId="0" fontId="4" fillId="0" borderId="39" xfId="0" applyFont="1" applyBorder="1" applyAlignment="1">
      <alignment horizontal="center" vertical="center"/>
    </xf>
    <xf numFmtId="0" fontId="5" fillId="0" borderId="39" xfId="0" applyFont="1" applyBorder="1" applyAlignment="1">
      <alignment horizontal="left" vertical="center" wrapText="1"/>
    </xf>
    <xf numFmtId="168" fontId="4" fillId="0" borderId="39" xfId="0" applyNumberFormat="1" applyFont="1" applyBorder="1" applyAlignment="1">
      <alignment horizontal="center" vertical="center"/>
    </xf>
    <xf numFmtId="168" fontId="4" fillId="2" borderId="30" xfId="0" applyNumberFormat="1" applyFont="1" applyFill="1" applyBorder="1" applyAlignment="1">
      <alignment horizontal="center" vertical="center"/>
    </xf>
    <xf numFmtId="168" fontId="4" fillId="0" borderId="41" xfId="0" applyNumberFormat="1" applyFont="1" applyBorder="1" applyAlignment="1">
      <alignment horizontal="center" vertical="center"/>
    </xf>
    <xf numFmtId="168" fontId="4" fillId="0" borderId="42" xfId="0" applyNumberFormat="1" applyFont="1" applyBorder="1" applyAlignment="1">
      <alignment horizontal="center" vertical="center"/>
    </xf>
    <xf numFmtId="168" fontId="4" fillId="0" borderId="27" xfId="0" applyNumberFormat="1" applyFont="1" applyBorder="1" applyAlignment="1">
      <alignment horizontal="center" vertical="center"/>
    </xf>
    <xf numFmtId="168" fontId="7" fillId="0" borderId="30" xfId="0" applyNumberFormat="1" applyFont="1" applyBorder="1" applyAlignment="1">
      <alignment horizontal="center" vertical="center"/>
    </xf>
    <xf numFmtId="0" fontId="4" fillId="2" borderId="43" xfId="0" applyFont="1" applyFill="1" applyBorder="1" applyAlignment="1">
      <alignment horizontal="center" vertical="center"/>
    </xf>
    <xf numFmtId="0" fontId="8" fillId="2" borderId="44" xfId="0" applyFont="1" applyFill="1" applyBorder="1" applyAlignment="1">
      <alignment horizontal="center" vertical="center" wrapText="1"/>
    </xf>
    <xf numFmtId="0" fontId="4" fillId="2" borderId="44" xfId="0" applyFont="1" applyFill="1" applyBorder="1" applyAlignment="1">
      <alignment horizontal="center" vertical="center"/>
    </xf>
    <xf numFmtId="0" fontId="8" fillId="2" borderId="44" xfId="0" applyFont="1" applyFill="1" applyBorder="1" applyAlignment="1">
      <alignment horizontal="left" vertical="center" wrapText="1"/>
    </xf>
    <xf numFmtId="0" fontId="4" fillId="2" borderId="44" xfId="0" applyFont="1" applyFill="1" applyBorder="1" applyAlignment="1">
      <alignment horizontal="center" vertical="center" wrapText="1"/>
    </xf>
    <xf numFmtId="168" fontId="4" fillId="2" borderId="44" xfId="0" applyNumberFormat="1" applyFont="1" applyFill="1" applyBorder="1" applyAlignment="1">
      <alignment horizontal="center" vertical="center"/>
    </xf>
    <xf numFmtId="168" fontId="7" fillId="2" borderId="44" xfId="0" applyNumberFormat="1" applyFont="1" applyFill="1" applyBorder="1" applyAlignment="1">
      <alignment horizontal="center" vertical="center"/>
    </xf>
    <xf numFmtId="168" fontId="7" fillId="0" borderId="45" xfId="0" applyNumberFormat="1" applyFont="1" applyBorder="1" applyAlignment="1">
      <alignment horizontal="center" vertical="center"/>
    </xf>
    <xf numFmtId="0" fontId="4" fillId="0" borderId="9" xfId="0" applyFont="1" applyBorder="1" applyAlignment="1">
      <alignment horizontal="center" vertical="center"/>
    </xf>
    <xf numFmtId="0" fontId="5" fillId="0" borderId="31" xfId="0" applyFont="1" applyBorder="1" applyAlignment="1">
      <alignment horizontal="center" vertical="center" wrapText="1"/>
    </xf>
    <xf numFmtId="168" fontId="7" fillId="0" borderId="46" xfId="0" applyNumberFormat="1" applyFont="1" applyBorder="1" applyAlignment="1">
      <alignment horizontal="center" vertical="center"/>
    </xf>
    <xf numFmtId="0" fontId="4" fillId="0" borderId="36" xfId="0" applyFont="1" applyBorder="1" applyAlignment="1">
      <alignment horizontal="center" vertical="center" wrapText="1"/>
    </xf>
    <xf numFmtId="0" fontId="12" fillId="0" borderId="41" xfId="0" applyFont="1" applyBorder="1" applyAlignment="1">
      <alignment horizontal="center" vertical="center" wrapText="1"/>
    </xf>
    <xf numFmtId="0" fontId="4" fillId="0" borderId="48" xfId="0" applyFont="1" applyBorder="1" applyAlignment="1">
      <alignment horizontal="left" vertical="center"/>
    </xf>
    <xf numFmtId="0" fontId="4" fillId="0" borderId="33" xfId="0" applyFont="1" applyBorder="1" applyAlignment="1">
      <alignment horizontal="center" vertical="center"/>
    </xf>
    <xf numFmtId="168" fontId="4" fillId="0" borderId="48" xfId="0" applyNumberFormat="1" applyFont="1" applyBorder="1" applyAlignment="1">
      <alignment vertical="center"/>
    </xf>
    <xf numFmtId="0" fontId="4" fillId="0" borderId="41" xfId="0" applyFont="1" applyBorder="1" applyAlignment="1">
      <alignment horizontal="center" vertical="center" wrapText="1"/>
    </xf>
    <xf numFmtId="0" fontId="4" fillId="0" borderId="49" xfId="0" applyFont="1" applyBorder="1" applyAlignment="1">
      <alignment horizontal="left" vertical="center" wrapText="1"/>
    </xf>
    <xf numFmtId="0" fontId="4" fillId="0" borderId="37" xfId="0" applyFont="1" applyBorder="1" applyAlignment="1">
      <alignment horizontal="center" vertical="center" wrapText="1"/>
    </xf>
    <xf numFmtId="168" fontId="4" fillId="0" borderId="49" xfId="0" applyNumberFormat="1" applyFont="1" applyBorder="1" applyAlignment="1">
      <alignment vertical="center" wrapText="1"/>
    </xf>
    <xf numFmtId="0" fontId="4" fillId="0" borderId="41" xfId="0" applyFont="1" applyBorder="1" applyAlignment="1">
      <alignment horizontal="left" vertical="center" wrapText="1"/>
    </xf>
    <xf numFmtId="0" fontId="4" fillId="0" borderId="32" xfId="0" applyFont="1" applyBorder="1" applyAlignment="1">
      <alignment horizontal="left" vertical="center" wrapText="1"/>
    </xf>
    <xf numFmtId="166" fontId="4" fillId="0" borderId="32" xfId="0" applyNumberFormat="1" applyFont="1" applyBorder="1" applyAlignment="1">
      <alignment vertical="center"/>
    </xf>
    <xf numFmtId="168" fontId="4" fillId="0" borderId="0" xfId="0" applyNumberFormat="1" applyFont="1" applyAlignment="1">
      <alignment vertical="center"/>
    </xf>
    <xf numFmtId="0" fontId="5" fillId="0" borderId="0" xfId="0" applyFont="1" applyAlignment="1">
      <alignment horizontal="center" vertical="center" wrapText="1"/>
    </xf>
    <xf numFmtId="0" fontId="4" fillId="0" borderId="39" xfId="0" applyFont="1" applyBorder="1" applyAlignment="1">
      <alignment horizontal="left" vertical="center" wrapText="1"/>
    </xf>
    <xf numFmtId="0" fontId="5" fillId="2" borderId="28" xfId="0" applyFont="1" applyFill="1" applyBorder="1" applyAlignment="1">
      <alignment horizontal="center" vertical="center" wrapText="1"/>
    </xf>
    <xf numFmtId="0" fontId="4" fillId="2" borderId="27" xfId="0" applyFont="1" applyFill="1" applyBorder="1" applyAlignment="1">
      <alignment horizontal="left" vertical="center" wrapText="1"/>
    </xf>
    <xf numFmtId="0" fontId="5" fillId="2" borderId="27" xfId="0" applyFont="1" applyFill="1" applyBorder="1" applyAlignment="1">
      <alignment horizontal="center" vertical="center" wrapText="1"/>
    </xf>
    <xf numFmtId="168" fontId="4" fillId="3" borderId="28" xfId="0" applyNumberFormat="1" applyFont="1" applyFill="1" applyBorder="1" applyAlignment="1">
      <alignment vertical="center"/>
    </xf>
    <xf numFmtId="0" fontId="4" fillId="0" borderId="38" xfId="0" applyFont="1" applyBorder="1" applyAlignment="1">
      <alignment horizontal="center" vertical="center"/>
    </xf>
    <xf numFmtId="169" fontId="11" fillId="0" borderId="32" xfId="0" applyNumberFormat="1" applyFont="1" applyBorder="1" applyAlignment="1">
      <alignment horizontal="center" vertical="center" shrinkToFit="1"/>
    </xf>
    <xf numFmtId="168" fontId="4" fillId="5" borderId="28" xfId="0" applyNumberFormat="1" applyFont="1" applyFill="1" applyBorder="1" applyAlignment="1">
      <alignment vertical="center"/>
    </xf>
    <xf numFmtId="0" fontId="4" fillId="0" borderId="32" xfId="0" applyFont="1" applyBorder="1" applyAlignment="1">
      <alignment horizontal="center" vertical="center" wrapText="1"/>
    </xf>
    <xf numFmtId="0" fontId="7" fillId="2" borderId="44" xfId="0" applyFont="1" applyFill="1" applyBorder="1" applyAlignment="1">
      <alignment horizontal="center" vertical="center"/>
    </xf>
    <xf numFmtId="168" fontId="4" fillId="0" borderId="28" xfId="0" applyNumberFormat="1" applyFont="1" applyBorder="1" applyAlignment="1">
      <alignment vertical="center"/>
    </xf>
    <xf numFmtId="0" fontId="7" fillId="0" borderId="0" xfId="0" applyFont="1" applyAlignment="1">
      <alignment vertical="center"/>
    </xf>
    <xf numFmtId="0" fontId="4" fillId="0" borderId="39" xfId="0" applyFont="1" applyBorder="1" applyAlignment="1">
      <alignment horizontal="left" vertical="center"/>
    </xf>
    <xf numFmtId="0" fontId="5" fillId="0" borderId="50" xfId="0" applyFont="1" applyBorder="1" applyAlignment="1">
      <alignment horizontal="center" vertical="center" wrapText="1"/>
    </xf>
    <xf numFmtId="0" fontId="4" fillId="0" borderId="50" xfId="0" applyFont="1" applyBorder="1" applyAlignment="1">
      <alignment horizontal="left" vertical="center"/>
    </xf>
    <xf numFmtId="0" fontId="4" fillId="0" borderId="50" xfId="0" applyFont="1" applyBorder="1" applyAlignment="1">
      <alignment horizontal="center" vertical="center"/>
    </xf>
    <xf numFmtId="0" fontId="5" fillId="0" borderId="50" xfId="0" applyFont="1" applyBorder="1" applyAlignment="1">
      <alignment horizontal="left" vertical="center" wrapText="1"/>
    </xf>
    <xf numFmtId="168" fontId="7" fillId="0" borderId="50" xfId="0" applyNumberFormat="1" applyFont="1" applyBorder="1" applyAlignment="1">
      <alignment horizontal="center" vertical="center"/>
    </xf>
    <xf numFmtId="0" fontId="8" fillId="0" borderId="38" xfId="0" applyFont="1" applyBorder="1" applyAlignment="1">
      <alignment horizontal="left" vertical="center"/>
    </xf>
    <xf numFmtId="9" fontId="5" fillId="0" borderId="39" xfId="0" applyNumberFormat="1" applyFont="1" applyBorder="1" applyAlignment="1">
      <alignment horizontal="center" vertical="center"/>
    </xf>
    <xf numFmtId="170" fontId="5" fillId="0" borderId="39" xfId="0" applyNumberFormat="1" applyFont="1" applyBorder="1" applyAlignment="1">
      <alignment vertical="center"/>
    </xf>
    <xf numFmtId="168" fontId="5" fillId="0" borderId="51" xfId="0" applyNumberFormat="1" applyFont="1" applyBorder="1" applyAlignment="1">
      <alignment vertical="center"/>
    </xf>
    <xf numFmtId="168" fontId="8" fillId="0" borderId="46" xfId="0" applyNumberFormat="1" applyFont="1" applyBorder="1" applyAlignment="1">
      <alignment vertical="center"/>
    </xf>
    <xf numFmtId="1" fontId="4" fillId="0" borderId="17" xfId="0" applyNumberFormat="1" applyFont="1" applyBorder="1" applyAlignment="1">
      <alignment vertical="center" wrapText="1"/>
    </xf>
    <xf numFmtId="1" fontId="4" fillId="0" borderId="52" xfId="0" applyNumberFormat="1" applyFont="1" applyBorder="1" applyAlignment="1">
      <alignment vertical="center" wrapText="1"/>
    </xf>
    <xf numFmtId="171" fontId="4" fillId="0" borderId="53" xfId="0" applyNumberFormat="1" applyFont="1" applyBorder="1" applyAlignment="1">
      <alignment vertical="center" wrapText="1"/>
    </xf>
    <xf numFmtId="168" fontId="5" fillId="0" borderId="17" xfId="0" applyNumberFormat="1" applyFont="1" applyBorder="1" applyAlignment="1">
      <alignment vertical="center"/>
    </xf>
    <xf numFmtId="1" fontId="4" fillId="0" borderId="54" xfId="0" applyNumberFormat="1" applyFont="1" applyBorder="1" applyAlignment="1">
      <alignment vertical="center" wrapText="1"/>
    </xf>
    <xf numFmtId="168" fontId="5" fillId="0" borderId="46" xfId="0" applyNumberFormat="1" applyFont="1" applyBorder="1" applyAlignment="1">
      <alignment vertical="center"/>
    </xf>
    <xf numFmtId="0" fontId="8" fillId="0" borderId="55" xfId="0" applyFont="1" applyBorder="1" applyAlignment="1">
      <alignment horizontal="left" vertical="center"/>
    </xf>
    <xf numFmtId="9" fontId="5" fillId="0" borderId="50" xfId="0" applyNumberFormat="1" applyFont="1" applyBorder="1" applyAlignment="1">
      <alignment horizontal="center" vertical="center"/>
    </xf>
    <xf numFmtId="170" fontId="8" fillId="0" borderId="50" xfId="0" applyNumberFormat="1" applyFont="1" applyBorder="1" applyAlignment="1">
      <alignment vertical="center"/>
    </xf>
    <xf numFmtId="168" fontId="5" fillId="0" borderId="56" xfId="0" applyNumberFormat="1" applyFont="1" applyBorder="1" applyAlignment="1">
      <alignment vertical="center"/>
    </xf>
    <xf numFmtId="168" fontId="8" fillId="2" borderId="57" xfId="0" applyNumberFormat="1" applyFont="1" applyFill="1" applyBorder="1" applyAlignment="1">
      <alignment vertical="center"/>
    </xf>
    <xf numFmtId="0" fontId="8" fillId="0" borderId="58" xfId="0" applyFont="1" applyBorder="1" applyAlignment="1">
      <alignment horizontal="center" vertical="center"/>
    </xf>
    <xf numFmtId="0" fontId="5" fillId="0" borderId="52" xfId="0" applyFont="1" applyBorder="1" applyAlignment="1">
      <alignment vertical="center"/>
    </xf>
    <xf numFmtId="172" fontId="8" fillId="0" borderId="59" xfId="0" applyNumberFormat="1" applyFont="1" applyBorder="1" applyAlignment="1">
      <alignment horizontal="center" vertical="center"/>
    </xf>
    <xf numFmtId="10" fontId="7" fillId="0" borderId="60" xfId="0" applyNumberFormat="1" applyFont="1" applyBorder="1" applyAlignment="1">
      <alignment horizontal="center" vertical="center"/>
    </xf>
    <xf numFmtId="10" fontId="8" fillId="6" borderId="33" xfId="0" applyNumberFormat="1" applyFont="1" applyFill="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vertical="center"/>
    </xf>
    <xf numFmtId="0" fontId="13" fillId="0" borderId="0" xfId="0" applyFont="1"/>
    <xf numFmtId="0" fontId="13" fillId="0" borderId="0" xfId="0" applyFont="1" applyAlignment="1">
      <alignment horizontal="center"/>
    </xf>
    <xf numFmtId="0" fontId="13" fillId="0" borderId="67" xfId="0" applyFont="1" applyBorder="1"/>
    <xf numFmtId="0" fontId="13" fillId="0" borderId="67" xfId="0" applyFont="1" applyBorder="1" applyAlignment="1">
      <alignment horizontal="center"/>
    </xf>
    <xf numFmtId="0" fontId="13" fillId="0" borderId="68" xfId="0" applyFont="1" applyBorder="1"/>
    <xf numFmtId="0" fontId="13" fillId="0" borderId="72" xfId="0" applyFont="1" applyBorder="1"/>
    <xf numFmtId="0" fontId="14" fillId="0" borderId="7" xfId="0" applyFont="1" applyBorder="1" applyAlignment="1">
      <alignment horizontal="left" vertical="center"/>
    </xf>
    <xf numFmtId="0" fontId="13" fillId="0" borderId="7" xfId="0" applyFont="1" applyBorder="1" applyAlignment="1">
      <alignment horizontal="left" vertical="center"/>
    </xf>
    <xf numFmtId="0" fontId="13" fillId="0" borderId="73" xfId="0" applyFont="1" applyBorder="1"/>
    <xf numFmtId="0" fontId="13" fillId="0" borderId="28" xfId="0" applyFont="1" applyBorder="1"/>
    <xf numFmtId="0" fontId="16" fillId="0" borderId="80" xfId="0" applyFont="1" applyBorder="1" applyAlignment="1">
      <alignment horizontal="center" vertical="center" wrapText="1"/>
    </xf>
    <xf numFmtId="0" fontId="14" fillId="2" borderId="82" xfId="0" applyFont="1" applyFill="1" applyBorder="1" applyAlignment="1">
      <alignment vertical="center"/>
    </xf>
    <xf numFmtId="0" fontId="14" fillId="2" borderId="57" xfId="0" applyFont="1" applyFill="1" applyBorder="1" applyAlignment="1">
      <alignment vertical="center"/>
    </xf>
    <xf numFmtId="0" fontId="14" fillId="2" borderId="83" xfId="0" applyFont="1" applyFill="1" applyBorder="1" applyAlignment="1">
      <alignment vertical="center"/>
    </xf>
    <xf numFmtId="0" fontId="13" fillId="0" borderId="84" xfId="0" applyFont="1" applyBorder="1" applyAlignment="1">
      <alignment horizontal="center" vertical="center"/>
    </xf>
    <xf numFmtId="0" fontId="13" fillId="0" borderId="32" xfId="0" applyFont="1" applyBorder="1" applyAlignment="1">
      <alignment horizontal="center" vertical="center"/>
    </xf>
    <xf numFmtId="0" fontId="13" fillId="0" borderId="32" xfId="0" applyFont="1" applyBorder="1" applyAlignment="1">
      <alignment horizontal="left" vertical="center" wrapText="1"/>
    </xf>
    <xf numFmtId="4" fontId="13" fillId="0" borderId="32" xfId="0" applyNumberFormat="1" applyFont="1" applyBorder="1" applyAlignment="1">
      <alignment vertical="center" wrapText="1"/>
    </xf>
    <xf numFmtId="173" fontId="13" fillId="0" borderId="32" xfId="0" applyNumberFormat="1" applyFont="1" applyBorder="1" applyAlignment="1">
      <alignment horizontal="right" vertical="center" wrapText="1"/>
    </xf>
    <xf numFmtId="173" fontId="13" fillId="0" borderId="85" xfId="0" applyNumberFormat="1" applyFont="1" applyBorder="1" applyAlignment="1">
      <alignment horizontal="right" vertical="center" wrapText="1"/>
    </xf>
    <xf numFmtId="0" fontId="13" fillId="0" borderId="10" xfId="0" applyFont="1" applyBorder="1" applyAlignment="1">
      <alignment horizontal="left" vertical="center"/>
    </xf>
    <xf numFmtId="0" fontId="13" fillId="0" borderId="11" xfId="0" applyFont="1" applyBorder="1" applyAlignment="1">
      <alignment horizontal="center" vertical="center"/>
    </xf>
    <xf numFmtId="0" fontId="13" fillId="0" borderId="11" xfId="0" applyFont="1" applyBorder="1" applyAlignment="1">
      <alignment horizontal="left" vertical="center" wrapText="1"/>
    </xf>
    <xf numFmtId="173" fontId="13" fillId="0" borderId="86" xfId="0" applyNumberFormat="1" applyFont="1" applyBorder="1" applyAlignment="1">
      <alignment horizontal="right" vertical="center" wrapText="1"/>
    </xf>
    <xf numFmtId="174" fontId="14" fillId="0" borderId="81" xfId="0" applyNumberFormat="1" applyFont="1" applyBorder="1" applyAlignment="1">
      <alignment horizontal="right" vertical="center"/>
    </xf>
    <xf numFmtId="0" fontId="13" fillId="0" borderId="32" xfId="0" applyFont="1" applyBorder="1" applyAlignment="1">
      <alignment horizontal="left" vertical="center"/>
    </xf>
    <xf numFmtId="173" fontId="13" fillId="0" borderId="87" xfId="0" applyNumberFormat="1" applyFont="1" applyBorder="1" applyAlignment="1">
      <alignment horizontal="right" vertical="center" wrapText="1"/>
    </xf>
    <xf numFmtId="0" fontId="13" fillId="0" borderId="11" xfId="0" applyFont="1" applyBorder="1"/>
    <xf numFmtId="0" fontId="13" fillId="0" borderId="11" xfId="0" applyFont="1" applyBorder="1" applyAlignment="1">
      <alignment horizontal="center"/>
    </xf>
    <xf numFmtId="0" fontId="13" fillId="0" borderId="32" xfId="0" applyFont="1" applyBorder="1" applyAlignment="1">
      <alignment horizontal="center" vertical="center" wrapText="1"/>
    </xf>
    <xf numFmtId="0" fontId="13" fillId="0" borderId="88" xfId="0" applyFont="1" applyBorder="1" applyAlignment="1">
      <alignment horizontal="left" vertical="center"/>
    </xf>
    <xf numFmtId="0" fontId="13" fillId="0" borderId="0" xfId="0" applyFont="1" applyAlignment="1">
      <alignment horizontal="center" vertical="center"/>
    </xf>
    <xf numFmtId="0" fontId="13" fillId="0" borderId="0" xfId="0" applyFont="1" applyAlignment="1">
      <alignment horizontal="left" vertical="center" wrapText="1"/>
    </xf>
    <xf numFmtId="173" fontId="13" fillId="0" borderId="61" xfId="0" applyNumberFormat="1" applyFont="1" applyBorder="1" applyAlignment="1">
      <alignment horizontal="right" vertical="center" wrapText="1"/>
    </xf>
    <xf numFmtId="174" fontId="14" fillId="0" borderId="89" xfId="0" applyNumberFormat="1" applyFont="1" applyBorder="1" applyAlignment="1">
      <alignment horizontal="right" vertical="center"/>
    </xf>
    <xf numFmtId="0" fontId="13" fillId="0" borderId="31" xfId="0" applyFont="1" applyBorder="1" applyAlignment="1">
      <alignment horizontal="center" vertical="center"/>
    </xf>
    <xf numFmtId="2" fontId="13" fillId="0" borderId="11" xfId="0" applyNumberFormat="1" applyFont="1" applyBorder="1" applyAlignment="1">
      <alignment horizontal="center" vertical="center"/>
    </xf>
    <xf numFmtId="0" fontId="13" fillId="0" borderId="11" xfId="0" applyFont="1" applyBorder="1" applyAlignment="1">
      <alignment horizontal="left" vertical="center"/>
    </xf>
    <xf numFmtId="175" fontId="14" fillId="2" borderId="83" xfId="0" applyNumberFormat="1" applyFont="1" applyFill="1" applyBorder="1" applyAlignment="1">
      <alignment vertical="center"/>
    </xf>
    <xf numFmtId="49" fontId="14" fillId="0" borderId="0" xfId="0" applyNumberFormat="1" applyFont="1" applyAlignment="1">
      <alignment horizontal="right" vertical="center"/>
    </xf>
    <xf numFmtId="172" fontId="14" fillId="0" borderId="0" xfId="0" applyNumberFormat="1" applyFont="1" applyAlignment="1">
      <alignment vertical="center"/>
    </xf>
    <xf numFmtId="0" fontId="17" fillId="0" borderId="53" xfId="0" applyFont="1" applyBorder="1" applyAlignment="1">
      <alignment horizontal="right" vertical="center"/>
    </xf>
    <xf numFmtId="170" fontId="13" fillId="0" borderId="92" xfId="0" applyNumberFormat="1" applyFont="1" applyBorder="1" applyAlignment="1">
      <alignment vertical="center"/>
    </xf>
    <xf numFmtId="0" fontId="13" fillId="0" borderId="38" xfId="0" applyFont="1" applyBorder="1" applyAlignment="1">
      <alignment horizontal="left" vertical="center"/>
    </xf>
    <xf numFmtId="171" fontId="13" fillId="0" borderId="39" xfId="0" applyNumberFormat="1" applyFont="1" applyBorder="1" applyAlignment="1">
      <alignment horizontal="center" vertical="center"/>
    </xf>
    <xf numFmtId="0" fontId="14" fillId="0" borderId="39" xfId="0" applyFont="1" applyBorder="1" applyAlignment="1">
      <alignment vertical="center"/>
    </xf>
    <xf numFmtId="0" fontId="14" fillId="0" borderId="51" xfId="0" applyFont="1" applyBorder="1" applyAlignment="1">
      <alignment horizontal="right" vertical="center"/>
    </xf>
    <xf numFmtId="170" fontId="13" fillId="0" borderId="87" xfId="0" applyNumberFormat="1" applyFont="1" applyBorder="1" applyAlignment="1">
      <alignment vertical="center"/>
    </xf>
    <xf numFmtId="9" fontId="13" fillId="0" borderId="39" xfId="0" applyNumberFormat="1" applyFont="1" applyBorder="1" applyAlignment="1">
      <alignment horizontal="center" vertical="center"/>
    </xf>
    <xf numFmtId="170" fontId="13" fillId="0" borderId="39" xfId="0" applyNumberFormat="1" applyFont="1" applyBorder="1" applyAlignment="1">
      <alignment vertical="center"/>
    </xf>
    <xf numFmtId="0" fontId="13" fillId="0" borderId="51" xfId="0" applyFont="1" applyBorder="1" applyAlignment="1">
      <alignment vertical="center"/>
    </xf>
    <xf numFmtId="0" fontId="14" fillId="0" borderId="38" xfId="0" applyFont="1" applyBorder="1" applyAlignment="1">
      <alignment horizontal="left" vertical="center"/>
    </xf>
    <xf numFmtId="170" fontId="14" fillId="0" borderId="87" xfId="0" applyNumberFormat="1" applyFont="1" applyBorder="1" applyAlignment="1">
      <alignment vertical="center"/>
    </xf>
    <xf numFmtId="0" fontId="13" fillId="0" borderId="38" xfId="0" applyFont="1" applyBorder="1" applyAlignment="1">
      <alignment horizontal="left" vertical="center" wrapText="1"/>
    </xf>
    <xf numFmtId="0" fontId="13" fillId="0" borderId="51" xfId="0" applyFont="1" applyBorder="1" applyAlignment="1">
      <alignment horizontal="right" vertical="center"/>
    </xf>
    <xf numFmtId="0" fontId="14" fillId="0" borderId="38" xfId="0" applyFont="1" applyBorder="1" applyAlignment="1">
      <alignment horizontal="left" vertical="center" wrapText="1"/>
    </xf>
    <xf numFmtId="0" fontId="14" fillId="0" borderId="55" xfId="0" applyFont="1" applyBorder="1" applyAlignment="1">
      <alignment horizontal="left" vertical="center"/>
    </xf>
    <xf numFmtId="9" fontId="13" fillId="0" borderId="50" xfId="0" applyNumberFormat="1" applyFont="1" applyBorder="1" applyAlignment="1">
      <alignment horizontal="center" vertical="center"/>
    </xf>
    <xf numFmtId="170" fontId="14" fillId="0" borderId="50" xfId="0" applyNumberFormat="1" applyFont="1" applyBorder="1" applyAlignment="1">
      <alignment vertical="center"/>
    </xf>
    <xf numFmtId="0" fontId="13" fillId="0" borderId="56" xfId="0" applyFont="1" applyBorder="1" applyAlignment="1">
      <alignment vertical="center"/>
    </xf>
    <xf numFmtId="2" fontId="13" fillId="0" borderId="0" xfId="0" applyNumberFormat="1" applyFont="1"/>
    <xf numFmtId="170" fontId="13" fillId="0" borderId="0" xfId="0" applyNumberFormat="1" applyFont="1"/>
    <xf numFmtId="39" fontId="14" fillId="0" borderId="0" xfId="0" applyNumberFormat="1" applyFont="1" applyAlignment="1">
      <alignment vertical="center"/>
    </xf>
    <xf numFmtId="0" fontId="14" fillId="0" borderId="58" xfId="0" applyFont="1" applyBorder="1" applyAlignment="1">
      <alignment vertical="center"/>
    </xf>
    <xf numFmtId="176" fontId="13" fillId="0" borderId="72" xfId="0" applyNumberFormat="1" applyFont="1" applyBorder="1"/>
    <xf numFmtId="172" fontId="14" fillId="0" borderId="85" xfId="0" applyNumberFormat="1" applyFont="1" applyBorder="1" applyAlignment="1">
      <alignment horizontal="center" vertical="center"/>
    </xf>
    <xf numFmtId="177" fontId="13" fillId="0" borderId="72" xfId="0" applyNumberFormat="1" applyFont="1" applyBorder="1"/>
    <xf numFmtId="172" fontId="5" fillId="0" borderId="32" xfId="0" applyNumberFormat="1" applyFont="1" applyBorder="1" applyAlignment="1">
      <alignment horizontal="center" vertical="center"/>
    </xf>
    <xf numFmtId="10" fontId="7" fillId="0" borderId="89" xfId="0" applyNumberFormat="1" applyFont="1" applyBorder="1" applyAlignment="1">
      <alignment horizontal="center" vertical="center"/>
    </xf>
    <xf numFmtId="0" fontId="13" fillId="0" borderId="40" xfId="0" applyFont="1" applyBorder="1" applyAlignment="1">
      <alignment vertical="center" wrapText="1"/>
    </xf>
    <xf numFmtId="0" fontId="13" fillId="0" borderId="28" xfId="0" applyFont="1" applyBorder="1" applyAlignment="1">
      <alignment vertical="center" wrapText="1"/>
    </xf>
    <xf numFmtId="0" fontId="13" fillId="0" borderId="93" xfId="0" applyFont="1" applyBorder="1" applyAlignment="1">
      <alignment vertical="center" wrapText="1"/>
    </xf>
    <xf numFmtId="10" fontId="8" fillId="0" borderId="87" xfId="0" applyNumberFormat="1" applyFont="1" applyBorder="1" applyAlignment="1">
      <alignment horizontal="center" vertical="center"/>
    </xf>
    <xf numFmtId="0" fontId="13" fillId="0" borderId="29" xfId="0" applyFont="1" applyBorder="1" applyAlignment="1">
      <alignment vertical="center" wrapText="1"/>
    </xf>
    <xf numFmtId="0" fontId="13" fillId="0" borderId="30" xfId="0" applyFont="1" applyBorder="1" applyAlignment="1">
      <alignment vertical="center" wrapText="1"/>
    </xf>
    <xf numFmtId="0" fontId="13" fillId="0" borderId="49" xfId="0" applyFont="1" applyBorder="1" applyAlignment="1">
      <alignment vertical="center" wrapText="1"/>
    </xf>
    <xf numFmtId="0" fontId="13" fillId="0" borderId="28" xfId="0" applyFont="1" applyBorder="1" applyAlignment="1">
      <alignment horizontal="center" vertical="center" wrapText="1"/>
    </xf>
    <xf numFmtId="0" fontId="14" fillId="0" borderId="27" xfId="0" applyFont="1" applyBorder="1" applyAlignment="1">
      <alignment horizontal="center" vertical="center" wrapText="1"/>
    </xf>
    <xf numFmtId="0" fontId="13" fillId="0" borderId="95" xfId="0" applyFont="1" applyBorder="1"/>
    <xf numFmtId="0" fontId="13" fillId="0" borderId="95" xfId="0" applyFont="1" applyBorder="1" applyAlignment="1">
      <alignment horizontal="center"/>
    </xf>
    <xf numFmtId="178" fontId="13" fillId="0" borderId="95" xfId="0" applyNumberFormat="1" applyFont="1" applyBorder="1"/>
    <xf numFmtId="0" fontId="13" fillId="0" borderId="96" xfId="0" applyFont="1" applyBorder="1"/>
    <xf numFmtId="0" fontId="18" fillId="0" borderId="0" xfId="0" applyFont="1"/>
    <xf numFmtId="0" fontId="19" fillId="0" borderId="0" xfId="0" applyFont="1"/>
    <xf numFmtId="0" fontId="19" fillId="0" borderId="97" xfId="0" applyFont="1" applyBorder="1"/>
    <xf numFmtId="0" fontId="19" fillId="0" borderId="67" xfId="0" applyFont="1" applyBorder="1"/>
    <xf numFmtId="0" fontId="19" fillId="0" borderId="68" xfId="0" applyFont="1" applyBorder="1"/>
    <xf numFmtId="0" fontId="19" fillId="0" borderId="98" xfId="0" applyFont="1" applyBorder="1"/>
    <xf numFmtId="0" fontId="19" fillId="0" borderId="72" xfId="0" applyFont="1" applyBorder="1"/>
    <xf numFmtId="0" fontId="16" fillId="0" borderId="7" xfId="0" applyFont="1" applyBorder="1" applyAlignment="1">
      <alignment horizontal="left" vertical="center"/>
    </xf>
    <xf numFmtId="0" fontId="15" fillId="0" borderId="7" xfId="0" applyFont="1" applyBorder="1" applyAlignment="1">
      <alignment horizontal="left" vertical="center"/>
    </xf>
    <xf numFmtId="0" fontId="21" fillId="0" borderId="0" xfId="0" applyFont="1"/>
    <xf numFmtId="0" fontId="22" fillId="0" borderId="0" xfId="0" applyFont="1"/>
    <xf numFmtId="0" fontId="24" fillId="0" borderId="72" xfId="0" applyFont="1" applyBorder="1" applyAlignment="1">
      <alignment horizontal="center" wrapText="1"/>
    </xf>
    <xf numFmtId="0" fontId="23" fillId="0" borderId="0" xfId="0" applyFont="1"/>
    <xf numFmtId="0" fontId="27" fillId="0" borderId="72" xfId="0" applyFont="1" applyBorder="1" applyAlignment="1">
      <alignment horizontal="center" vertical="center"/>
    </xf>
    <xf numFmtId="0" fontId="23" fillId="0" borderId="34" xfId="0" applyFont="1" applyBorder="1" applyAlignment="1">
      <alignment horizontal="center"/>
    </xf>
    <xf numFmtId="0" fontId="26" fillId="0" borderId="35" xfId="0" applyFont="1" applyBorder="1" applyAlignment="1">
      <alignment horizontal="center"/>
    </xf>
    <xf numFmtId="0" fontId="23" fillId="0" borderId="35" xfId="0" applyFont="1" applyBorder="1" applyAlignment="1">
      <alignment vertical="center"/>
    </xf>
    <xf numFmtId="0" fontId="23" fillId="0" borderId="65" xfId="0" applyFont="1" applyBorder="1" applyAlignment="1">
      <alignment vertical="center"/>
    </xf>
    <xf numFmtId="0" fontId="27" fillId="0" borderId="72" xfId="0" applyFont="1" applyBorder="1" applyAlignment="1">
      <alignment vertical="center"/>
    </xf>
    <xf numFmtId="0" fontId="23" fillId="0" borderId="103" xfId="0" applyFont="1" applyBorder="1" applyAlignment="1">
      <alignment horizontal="center"/>
    </xf>
    <xf numFmtId="0" fontId="26" fillId="0" borderId="4" xfId="0" applyFont="1" applyBorder="1" applyAlignment="1">
      <alignment horizontal="center"/>
    </xf>
    <xf numFmtId="0" fontId="23" fillId="0" borderId="4" xfId="0" applyFont="1" applyBorder="1" applyAlignment="1">
      <alignment horizontal="right" vertical="center"/>
    </xf>
    <xf numFmtId="0" fontId="23" fillId="0" borderId="104" xfId="0" applyFont="1" applyBorder="1" applyAlignment="1">
      <alignment horizontal="center" vertical="center"/>
    </xf>
    <xf numFmtId="0" fontId="23" fillId="0" borderId="92" xfId="0" applyFont="1" applyBorder="1" applyAlignment="1">
      <alignment horizontal="center" vertical="center"/>
    </xf>
    <xf numFmtId="0" fontId="23" fillId="0" borderId="9" xfId="0" applyFont="1" applyBorder="1" applyAlignment="1">
      <alignment horizontal="center"/>
    </xf>
    <xf numFmtId="0" fontId="26" fillId="0" borderId="0" xfId="0" applyFont="1" applyAlignment="1">
      <alignment horizontal="center"/>
    </xf>
    <xf numFmtId="0" fontId="23" fillId="0" borderId="0" xfId="0" applyFont="1" applyAlignment="1">
      <alignment horizontal="right" vertical="center"/>
    </xf>
    <xf numFmtId="1" fontId="23" fillId="0" borderId="32" xfId="0" applyNumberFormat="1" applyFont="1" applyBorder="1" applyAlignment="1">
      <alignment horizontal="center" vertical="center"/>
    </xf>
    <xf numFmtId="1" fontId="23" fillId="0" borderId="87" xfId="0" applyNumberFormat="1" applyFont="1" applyBorder="1" applyAlignment="1">
      <alignment horizontal="center" vertical="center"/>
    </xf>
    <xf numFmtId="1" fontId="27" fillId="0" borderId="72" xfId="0" applyNumberFormat="1" applyFont="1" applyBorder="1" applyAlignment="1">
      <alignment horizontal="center" vertical="center"/>
    </xf>
    <xf numFmtId="1" fontId="23" fillId="0" borderId="8" xfId="0" applyNumberFormat="1" applyFont="1" applyBorder="1" applyAlignment="1">
      <alignment horizontal="center" vertical="center"/>
    </xf>
    <xf numFmtId="0" fontId="23" fillId="0" borderId="62" xfId="0" applyFont="1" applyBorder="1" applyAlignment="1">
      <alignment horizontal="left"/>
    </xf>
    <xf numFmtId="0" fontId="23" fillId="0" borderId="45" xfId="0" applyFont="1" applyBorder="1" applyAlignment="1">
      <alignment horizontal="center"/>
    </xf>
    <xf numFmtId="0" fontId="23" fillId="0" borderId="101" xfId="0" applyFont="1" applyBorder="1" applyAlignment="1">
      <alignment horizontal="center"/>
    </xf>
    <xf numFmtId="0" fontId="27" fillId="0" borderId="72" xfId="0" applyFont="1" applyBorder="1" applyAlignment="1">
      <alignment horizontal="center"/>
    </xf>
    <xf numFmtId="0" fontId="23" fillId="0" borderId="55" xfId="0" applyFont="1" applyBorder="1"/>
    <xf numFmtId="0" fontId="23" fillId="0" borderId="50" xfId="0" applyFont="1" applyBorder="1"/>
    <xf numFmtId="0" fontId="23" fillId="0" borderId="105" xfId="0" applyFont="1" applyBorder="1"/>
    <xf numFmtId="0" fontId="23" fillId="0" borderId="103" xfId="0" applyFont="1" applyBorder="1"/>
    <xf numFmtId="0" fontId="23" fillId="0" borderId="4" xfId="0" applyFont="1" applyBorder="1"/>
    <xf numFmtId="0" fontId="23" fillId="0" borderId="5" xfId="0" applyFont="1" applyBorder="1"/>
    <xf numFmtId="0" fontId="28" fillId="0" borderId="72" xfId="0" applyFont="1" applyBorder="1" applyAlignment="1">
      <alignment horizontal="center"/>
    </xf>
    <xf numFmtId="0" fontId="23" fillId="0" borderId="9" xfId="0" applyFont="1" applyBorder="1"/>
    <xf numFmtId="0" fontId="23" fillId="0" borderId="8" xfId="0" applyFont="1" applyBorder="1"/>
    <xf numFmtId="0" fontId="26" fillId="2" borderId="106" xfId="0" applyFont="1" applyFill="1" applyBorder="1" applyAlignment="1">
      <alignment horizontal="center" vertical="center"/>
    </xf>
    <xf numFmtId="0" fontId="28" fillId="0" borderId="72" xfId="0" applyFont="1" applyBorder="1" applyAlignment="1">
      <alignment horizontal="center" vertical="center"/>
    </xf>
    <xf numFmtId="0" fontId="23" fillId="2" borderId="107" xfId="0" applyFont="1" applyFill="1" applyBorder="1" applyAlignment="1">
      <alignment horizontal="center" vertical="center"/>
    </xf>
    <xf numFmtId="4" fontId="23" fillId="2" borderId="107" xfId="0" applyNumberFormat="1" applyFont="1" applyFill="1" applyBorder="1" applyAlignment="1">
      <alignment horizontal="center" vertical="center"/>
    </xf>
    <xf numFmtId="4" fontId="19" fillId="0" borderId="72" xfId="0" applyNumberFormat="1" applyFont="1" applyBorder="1" applyAlignment="1">
      <alignment horizontal="center" vertical="center"/>
    </xf>
    <xf numFmtId="0" fontId="28" fillId="0" borderId="72" xfId="0" applyFont="1" applyBorder="1" applyAlignment="1">
      <alignment horizontal="left" vertical="center"/>
    </xf>
    <xf numFmtId="0" fontId="26" fillId="2" borderId="104" xfId="0" applyFont="1" applyFill="1" applyBorder="1" applyAlignment="1">
      <alignment horizontal="center"/>
    </xf>
    <xf numFmtId="0" fontId="26" fillId="2" borderId="92" xfId="0" applyFont="1" applyFill="1" applyBorder="1" applyAlignment="1">
      <alignment horizontal="center"/>
    </xf>
    <xf numFmtId="179" fontId="23" fillId="0" borderId="32" xfId="0" applyNumberFormat="1" applyFont="1" applyBorder="1"/>
    <xf numFmtId="179" fontId="23" fillId="0" borderId="87" xfId="0" applyNumberFormat="1" applyFont="1" applyBorder="1"/>
    <xf numFmtId="179" fontId="19" fillId="0" borderId="72" xfId="0" applyNumberFormat="1" applyFont="1" applyBorder="1"/>
    <xf numFmtId="0" fontId="23" fillId="0" borderId="34" xfId="0" applyFont="1" applyBorder="1"/>
    <xf numFmtId="0" fontId="23" fillId="0" borderId="35" xfId="0" applyFont="1" applyBorder="1"/>
    <xf numFmtId="0" fontId="23" fillId="0" borderId="22" xfId="0" applyFont="1" applyBorder="1"/>
    <xf numFmtId="0" fontId="23" fillId="0" borderId="64" xfId="0" applyFont="1" applyBorder="1"/>
    <xf numFmtId="179" fontId="23" fillId="0" borderId="79" xfId="0" applyNumberFormat="1" applyFont="1" applyBorder="1"/>
    <xf numFmtId="180" fontId="23" fillId="0" borderId="113" xfId="0" applyNumberFormat="1" applyFont="1" applyBorder="1"/>
    <xf numFmtId="180" fontId="19" fillId="0" borderId="72" xfId="0" applyNumberFormat="1" applyFont="1" applyBorder="1"/>
    <xf numFmtId="0" fontId="26" fillId="2" borderId="114" xfId="0" applyFont="1" applyFill="1" applyBorder="1" applyAlignment="1">
      <alignment horizontal="center"/>
    </xf>
    <xf numFmtId="0" fontId="23" fillId="0" borderId="39" xfId="0" applyFont="1" applyBorder="1" applyAlignment="1">
      <alignment horizontal="center"/>
    </xf>
    <xf numFmtId="2" fontId="23" fillId="0" borderId="32" xfId="0" applyNumberFormat="1" applyFont="1" applyBorder="1"/>
    <xf numFmtId="0" fontId="23" fillId="0" borderId="80" xfId="0" applyFont="1" applyBorder="1"/>
    <xf numFmtId="179" fontId="23" fillId="0" borderId="115" xfId="0" applyNumberFormat="1" applyFont="1" applyBorder="1"/>
    <xf numFmtId="179" fontId="23" fillId="0" borderId="113" xfId="0" applyNumberFormat="1" applyFont="1" applyBorder="1"/>
    <xf numFmtId="0" fontId="26" fillId="2" borderId="116" xfId="0" applyFont="1" applyFill="1" applyBorder="1" applyAlignment="1">
      <alignment horizontal="center"/>
    </xf>
    <xf numFmtId="0" fontId="26" fillId="2" borderId="104" xfId="0" applyFont="1" applyFill="1" applyBorder="1"/>
    <xf numFmtId="2" fontId="23" fillId="0" borderId="32" xfId="0" applyNumberFormat="1" applyFont="1" applyBorder="1" applyAlignment="1">
      <alignment horizontal="center"/>
    </xf>
    <xf numFmtId="2" fontId="23" fillId="0" borderId="39" xfId="0" applyNumberFormat="1" applyFont="1" applyBorder="1" applyAlignment="1">
      <alignment horizontal="center"/>
    </xf>
    <xf numFmtId="0" fontId="23" fillId="0" borderId="79" xfId="0" applyFont="1" applyBorder="1"/>
    <xf numFmtId="0" fontId="23" fillId="0" borderId="11" xfId="0" applyFont="1" applyBorder="1"/>
    <xf numFmtId="179" fontId="23" fillId="0" borderId="81" xfId="0" applyNumberFormat="1" applyFont="1" applyBorder="1"/>
    <xf numFmtId="0" fontId="26" fillId="2" borderId="116" xfId="0" applyFont="1" applyFill="1" applyBorder="1" applyAlignment="1">
      <alignment horizontal="center" wrapText="1"/>
    </xf>
    <xf numFmtId="0" fontId="26" fillId="2" borderId="104" xfId="0" applyFont="1" applyFill="1" applyBorder="1" applyAlignment="1">
      <alignment horizontal="center" wrapText="1"/>
    </xf>
    <xf numFmtId="0" fontId="26" fillId="2" borderId="92" xfId="0" applyFont="1" applyFill="1" applyBorder="1" applyAlignment="1">
      <alignment horizontal="center" wrapText="1"/>
    </xf>
    <xf numFmtId="0" fontId="28" fillId="0" borderId="72" xfId="0" applyFont="1" applyBorder="1" applyAlignment="1">
      <alignment horizontal="center" wrapText="1"/>
    </xf>
    <xf numFmtId="0" fontId="23" fillId="0" borderId="38" xfId="0" applyFont="1" applyBorder="1" applyAlignment="1">
      <alignment horizontal="left"/>
    </xf>
    <xf numFmtId="0" fontId="23" fillId="0" borderId="39" xfId="0" applyFont="1" applyBorder="1" applyAlignment="1">
      <alignment horizontal="left"/>
    </xf>
    <xf numFmtId="179" fontId="23" fillId="0" borderId="32" xfId="0" applyNumberFormat="1" applyFont="1" applyBorder="1" applyAlignment="1">
      <alignment horizontal="center"/>
    </xf>
    <xf numFmtId="181" fontId="23" fillId="0" borderId="36" xfId="0" applyNumberFormat="1" applyFont="1" applyBorder="1" applyAlignment="1">
      <alignment horizontal="center" wrapText="1"/>
    </xf>
    <xf numFmtId="179" fontId="23" fillId="0" borderId="85" xfId="0" applyNumberFormat="1" applyFont="1" applyBorder="1" applyAlignment="1">
      <alignment horizontal="center" wrapText="1"/>
    </xf>
    <xf numFmtId="179" fontId="19" fillId="0" borderId="72" xfId="0" applyNumberFormat="1" applyFont="1" applyBorder="1" applyAlignment="1">
      <alignment horizontal="center" wrapText="1"/>
    </xf>
    <xf numFmtId="181" fontId="23" fillId="2" borderId="113" xfId="0" applyNumberFormat="1" applyFont="1" applyFill="1" applyBorder="1"/>
    <xf numFmtId="181" fontId="19" fillId="0" borderId="72" xfId="0" applyNumberFormat="1" applyFont="1" applyBorder="1"/>
    <xf numFmtId="0" fontId="26" fillId="2" borderId="117" xfId="0" applyFont="1" applyFill="1" applyBorder="1" applyAlignment="1">
      <alignment horizontal="center" wrapText="1"/>
    </xf>
    <xf numFmtId="179" fontId="23" fillId="0" borderId="39" xfId="0" applyNumberFormat="1" applyFont="1" applyBorder="1"/>
    <xf numFmtId="9" fontId="23" fillId="0" borderId="51" xfId="0" applyNumberFormat="1" applyFont="1" applyBorder="1"/>
    <xf numFmtId="9" fontId="23" fillId="0" borderId="32" xfId="0" applyNumberFormat="1" applyFont="1" applyBorder="1" applyAlignment="1">
      <alignment horizontal="center"/>
    </xf>
    <xf numFmtId="179" fontId="23" fillId="0" borderId="50" xfId="0" applyNumberFormat="1" applyFont="1" applyBorder="1"/>
    <xf numFmtId="9" fontId="23" fillId="0" borderId="56" xfId="0" applyNumberFormat="1" applyFont="1" applyBorder="1"/>
    <xf numFmtId="179" fontId="23" fillId="2" borderId="113" xfId="0" applyNumberFormat="1" applyFont="1" applyFill="1" applyBorder="1"/>
    <xf numFmtId="0" fontId="23" fillId="0" borderId="45" xfId="0" applyFont="1" applyBorder="1"/>
    <xf numFmtId="0" fontId="29" fillId="0" borderId="72" xfId="0" applyFont="1" applyBorder="1"/>
    <xf numFmtId="0" fontId="23" fillId="0" borderId="0" xfId="0" applyFont="1" applyAlignment="1">
      <alignment horizontal="center"/>
    </xf>
    <xf numFmtId="0" fontId="23" fillId="0" borderId="8" xfId="0" applyFont="1" applyBorder="1" applyAlignment="1">
      <alignment horizontal="center"/>
    </xf>
    <xf numFmtId="0" fontId="19" fillId="0" borderId="72" xfId="0" applyFont="1" applyBorder="1" applyAlignment="1">
      <alignment horizontal="center"/>
    </xf>
    <xf numFmtId="0" fontId="26" fillId="0" borderId="38" xfId="0" applyFont="1" applyBorder="1"/>
    <xf numFmtId="0" fontId="23" fillId="0" borderId="39" xfId="0" applyFont="1" applyBorder="1"/>
    <xf numFmtId="0" fontId="23" fillId="0" borderId="94" xfId="0" applyFont="1" applyBorder="1"/>
    <xf numFmtId="0" fontId="26" fillId="0" borderId="9" xfId="0" applyFont="1" applyBorder="1" applyAlignment="1">
      <alignment horizontal="left"/>
    </xf>
    <xf numFmtId="0" fontId="30" fillId="0" borderId="72" xfId="0" applyFont="1" applyBorder="1" applyAlignment="1">
      <alignment wrapText="1"/>
    </xf>
    <xf numFmtId="0" fontId="23" fillId="0" borderId="0" xfId="0" applyFont="1" applyAlignment="1">
      <alignment horizontal="left"/>
    </xf>
    <xf numFmtId="0" fontId="23" fillId="0" borderId="9" xfId="0" applyFont="1" applyBorder="1" applyAlignment="1">
      <alignment horizontal="left"/>
    </xf>
    <xf numFmtId="0" fontId="24" fillId="0" borderId="72" xfId="0" applyFont="1" applyBorder="1" applyAlignment="1">
      <alignment horizontal="right"/>
    </xf>
    <xf numFmtId="0" fontId="19" fillId="0" borderId="118" xfId="0" applyFont="1" applyBorder="1"/>
    <xf numFmtId="0" fontId="19" fillId="0" borderId="95" xfId="0" applyFont="1" applyBorder="1"/>
    <xf numFmtId="0" fontId="19" fillId="0" borderId="96" xfId="0" applyFont="1" applyBorder="1"/>
    <xf numFmtId="0" fontId="4" fillId="0" borderId="31" xfId="0" applyFont="1" applyBorder="1" applyAlignment="1">
      <alignment horizontal="center" vertical="center" wrapText="1"/>
    </xf>
    <xf numFmtId="0" fontId="4" fillId="0" borderId="0" xfId="0" applyFont="1" applyAlignment="1">
      <alignment horizontal="center" vertical="center" wrapText="1"/>
    </xf>
    <xf numFmtId="168" fontId="4" fillId="0" borderId="32" xfId="0" applyNumberFormat="1" applyFont="1" applyBorder="1" applyAlignment="1">
      <alignment horizontal="center" vertical="center" wrapText="1"/>
    </xf>
    <xf numFmtId="166" fontId="4" fillId="0" borderId="0" xfId="0" applyNumberFormat="1" applyFont="1" applyAlignment="1">
      <alignment vertical="center" wrapText="1"/>
    </xf>
    <xf numFmtId="0" fontId="4" fillId="0" borderId="0" xfId="0" applyFont="1" applyAlignment="1">
      <alignment vertical="center" wrapText="1"/>
    </xf>
    <xf numFmtId="0" fontId="0" fillId="0" borderId="0" xfId="0" applyAlignment="1">
      <alignment wrapText="1"/>
    </xf>
    <xf numFmtId="0" fontId="4" fillId="7" borderId="32" xfId="0" applyFont="1" applyFill="1" applyBorder="1" applyAlignment="1">
      <alignment horizontal="center" vertical="center"/>
    </xf>
    <xf numFmtId="168" fontId="4" fillId="8" borderId="32" xfId="0" applyNumberFormat="1" applyFont="1" applyFill="1" applyBorder="1" applyAlignment="1">
      <alignment horizontal="center" vertical="center"/>
    </xf>
    <xf numFmtId="0" fontId="4" fillId="9" borderId="32" xfId="0" applyFont="1" applyFill="1" applyBorder="1" applyAlignment="1">
      <alignment horizontal="center" vertical="center" wrapText="1"/>
    </xf>
    <xf numFmtId="0" fontId="4" fillId="9" borderId="41" xfId="0" applyFont="1" applyFill="1" applyBorder="1" applyAlignment="1">
      <alignment horizontal="center" vertical="center" wrapText="1"/>
    </xf>
    <xf numFmtId="0" fontId="5" fillId="9" borderId="32" xfId="0" applyFont="1" applyFill="1" applyBorder="1" applyAlignment="1">
      <alignment horizontal="center" vertical="center" wrapText="1"/>
    </xf>
    <xf numFmtId="0" fontId="5" fillId="7" borderId="32" xfId="0" applyFont="1" applyFill="1" applyBorder="1" applyAlignment="1">
      <alignment horizontal="left" vertical="center" wrapText="1"/>
    </xf>
    <xf numFmtId="0" fontId="7" fillId="2" borderId="30" xfId="0" applyFont="1" applyFill="1" applyBorder="1" applyAlignment="1">
      <alignment horizontal="left" vertical="center" wrapText="1"/>
    </xf>
    <xf numFmtId="168" fontId="4" fillId="0" borderId="44" xfId="0" applyNumberFormat="1" applyFont="1" applyBorder="1" applyAlignment="1">
      <alignment horizontal="center" vertical="center"/>
    </xf>
    <xf numFmtId="0" fontId="40" fillId="0" borderId="32" xfId="0" applyFont="1" applyBorder="1" applyAlignment="1">
      <alignment horizontal="center" vertical="center"/>
    </xf>
    <xf numFmtId="0" fontId="5" fillId="0" borderId="110" xfId="0" applyFont="1" applyBorder="1" applyAlignment="1">
      <alignment horizontal="center" vertical="center" wrapText="1"/>
    </xf>
    <xf numFmtId="0" fontId="5" fillId="0" borderId="51" xfId="0" applyFont="1" applyBorder="1" applyAlignment="1">
      <alignment horizontal="center" vertical="center" wrapText="1"/>
    </xf>
    <xf numFmtId="0" fontId="5" fillId="0" borderId="22" xfId="0" applyFont="1" applyBorder="1" applyAlignment="1">
      <alignment horizontal="center" vertical="center" wrapText="1"/>
    </xf>
    <xf numFmtId="0" fontId="7" fillId="2" borderId="35" xfId="0" applyFont="1" applyFill="1" applyBorder="1" applyAlignment="1">
      <alignment horizontal="left" vertical="center" wrapText="1"/>
    </xf>
    <xf numFmtId="0" fontId="5" fillId="0" borderId="45" xfId="0" applyFont="1" applyBorder="1" applyAlignment="1">
      <alignment horizontal="left" vertical="center" wrapText="1"/>
    </xf>
    <xf numFmtId="0" fontId="4" fillId="0" borderId="119" xfId="0" applyFont="1" applyBorder="1" applyAlignment="1">
      <alignment horizontal="left" vertical="center"/>
    </xf>
    <xf numFmtId="0" fontId="5" fillId="11" borderId="36" xfId="0" applyFont="1" applyFill="1" applyBorder="1" applyAlignment="1">
      <alignment horizontal="left" vertical="center" wrapText="1"/>
    </xf>
    <xf numFmtId="0" fontId="5" fillId="11" borderId="36" xfId="0" applyFont="1" applyFill="1" applyBorder="1" applyAlignment="1">
      <alignment horizontal="center" vertical="center" wrapText="1"/>
    </xf>
    <xf numFmtId="0" fontId="4" fillId="11" borderId="36" xfId="0" applyFont="1" applyFill="1" applyBorder="1" applyAlignment="1">
      <alignment horizontal="center" vertical="center"/>
    </xf>
    <xf numFmtId="168" fontId="4" fillId="11" borderId="32" xfId="0" applyNumberFormat="1" applyFont="1" applyFill="1" applyBorder="1" applyAlignment="1">
      <alignment horizontal="center" vertical="center"/>
    </xf>
    <xf numFmtId="0" fontId="5" fillId="11" borderId="32" xfId="0" applyFont="1" applyFill="1" applyBorder="1" applyAlignment="1">
      <alignment horizontal="left" vertical="center" wrapText="1"/>
    </xf>
    <xf numFmtId="0" fontId="5" fillId="11" borderId="32" xfId="0" applyFont="1" applyFill="1" applyBorder="1" applyAlignment="1">
      <alignment horizontal="center" vertical="center" wrapText="1"/>
    </xf>
    <xf numFmtId="0" fontId="4" fillId="11" borderId="32" xfId="0" applyFont="1" applyFill="1" applyBorder="1" applyAlignment="1">
      <alignment horizontal="center" vertical="center"/>
    </xf>
    <xf numFmtId="0" fontId="5" fillId="11" borderId="23" xfId="0" applyFont="1" applyFill="1" applyBorder="1" applyAlignment="1">
      <alignment horizontal="left" vertical="center" wrapText="1"/>
    </xf>
    <xf numFmtId="0" fontId="5" fillId="11" borderId="23" xfId="0" applyFont="1" applyFill="1" applyBorder="1" applyAlignment="1">
      <alignment horizontal="center" vertical="center" wrapText="1"/>
    </xf>
    <xf numFmtId="0" fontId="4" fillId="11" borderId="23" xfId="0" applyFont="1" applyFill="1" applyBorder="1" applyAlignment="1">
      <alignment horizontal="center" vertical="center"/>
    </xf>
    <xf numFmtId="0" fontId="4" fillId="0" borderId="23" xfId="0" applyFont="1" applyBorder="1" applyAlignment="1">
      <alignment horizontal="left" vertical="center" wrapText="1"/>
    </xf>
    <xf numFmtId="0" fontId="5" fillId="12" borderId="32" xfId="0" applyFont="1" applyFill="1" applyBorder="1" applyAlignment="1">
      <alignment horizontal="left" vertical="center" wrapText="1"/>
    </xf>
    <xf numFmtId="0" fontId="5" fillId="12" borderId="32" xfId="0" applyFont="1" applyFill="1" applyBorder="1" applyAlignment="1">
      <alignment horizontal="center" vertical="center" wrapText="1"/>
    </xf>
    <xf numFmtId="0" fontId="4" fillId="12" borderId="32" xfId="0" applyFont="1" applyFill="1" applyBorder="1" applyAlignment="1">
      <alignment horizontal="center" vertical="center"/>
    </xf>
    <xf numFmtId="168" fontId="4" fillId="12" borderId="32" xfId="0" applyNumberFormat="1" applyFont="1" applyFill="1" applyBorder="1" applyAlignment="1">
      <alignment horizontal="center" vertical="center"/>
    </xf>
    <xf numFmtId="0" fontId="4" fillId="12" borderId="32" xfId="0" applyFont="1" applyFill="1" applyBorder="1" applyAlignment="1">
      <alignment horizontal="left" vertical="center" wrapText="1"/>
    </xf>
    <xf numFmtId="172" fontId="38" fillId="0" borderId="32" xfId="0" applyNumberFormat="1" applyFont="1" applyBorder="1" applyAlignment="1">
      <alignment horizontal="left" vertical="center"/>
    </xf>
    <xf numFmtId="172" fontId="39" fillId="0" borderId="32" xfId="0" applyNumberFormat="1" applyFont="1" applyBorder="1" applyAlignment="1">
      <alignment horizontal="left" vertical="center"/>
    </xf>
    <xf numFmtId="0" fontId="40" fillId="12" borderId="32" xfId="0" applyFont="1" applyFill="1" applyBorder="1" applyAlignment="1">
      <alignment horizontal="left" vertical="center" wrapText="1"/>
    </xf>
    <xf numFmtId="0" fontId="39" fillId="2" borderId="44" xfId="0" applyFont="1" applyFill="1" applyBorder="1" applyAlignment="1">
      <alignment horizontal="center" vertical="center"/>
    </xf>
    <xf numFmtId="0" fontId="41" fillId="2" borderId="35" xfId="0" applyFont="1" applyFill="1" applyBorder="1" applyAlignment="1">
      <alignment horizontal="left" vertical="center" wrapText="1"/>
    </xf>
    <xf numFmtId="0" fontId="40" fillId="0" borderId="119" xfId="0" applyFont="1" applyBorder="1" applyAlignment="1">
      <alignment horizontal="left" vertical="center"/>
    </xf>
    <xf numFmtId="0" fontId="40" fillId="0" borderId="110" xfId="0" applyFont="1" applyBorder="1" applyAlignment="1">
      <alignment horizontal="center" vertical="center" wrapText="1"/>
    </xf>
    <xf numFmtId="0" fontId="4" fillId="12" borderId="119" xfId="0" applyFont="1" applyFill="1" applyBorder="1" applyAlignment="1">
      <alignment horizontal="left" vertical="center"/>
    </xf>
    <xf numFmtId="0" fontId="5" fillId="12" borderId="51" xfId="0" applyFont="1" applyFill="1" applyBorder="1" applyAlignment="1">
      <alignment horizontal="center" vertical="center" wrapText="1"/>
    </xf>
    <xf numFmtId="168" fontId="4" fillId="12" borderId="28" xfId="0" applyNumberFormat="1" applyFont="1" applyFill="1" applyBorder="1" applyAlignment="1">
      <alignment vertical="center"/>
    </xf>
    <xf numFmtId="0" fontId="5" fillId="12" borderId="110" xfId="0" applyFont="1" applyFill="1" applyBorder="1" applyAlignment="1">
      <alignment horizontal="center" vertical="center" wrapText="1"/>
    </xf>
    <xf numFmtId="0" fontId="4" fillId="12" borderId="36" xfId="0" applyFont="1" applyFill="1" applyBorder="1" applyAlignment="1">
      <alignment horizontal="center" vertical="center"/>
    </xf>
    <xf numFmtId="0" fontId="40" fillId="12" borderId="119" xfId="0" applyFont="1" applyFill="1" applyBorder="1" applyAlignment="1">
      <alignment horizontal="left" vertical="center"/>
    </xf>
    <xf numFmtId="183" fontId="4" fillId="12" borderId="32" xfId="0" applyNumberFormat="1" applyFont="1" applyFill="1" applyBorder="1" applyAlignment="1">
      <alignment horizontal="center" vertical="center"/>
    </xf>
    <xf numFmtId="0" fontId="5" fillId="12" borderId="36" xfId="0" applyFont="1" applyFill="1" applyBorder="1" applyAlignment="1">
      <alignment horizontal="left" vertical="center" wrapText="1"/>
    </xf>
    <xf numFmtId="0" fontId="5" fillId="12" borderId="36" xfId="0" applyFont="1" applyFill="1" applyBorder="1" applyAlignment="1">
      <alignment horizontal="center" vertical="center" wrapText="1"/>
    </xf>
    <xf numFmtId="168" fontId="4" fillId="12" borderId="41" xfId="0" applyNumberFormat="1" applyFont="1" applyFill="1" applyBorder="1" applyAlignment="1">
      <alignment horizontal="center" vertical="center"/>
    </xf>
    <xf numFmtId="168" fontId="4" fillId="11" borderId="42" xfId="0" applyNumberFormat="1" applyFont="1" applyFill="1" applyBorder="1" applyAlignment="1">
      <alignment horizontal="center" vertical="center"/>
    </xf>
    <xf numFmtId="168" fontId="4" fillId="13" borderId="32" xfId="0" applyNumberFormat="1" applyFont="1" applyFill="1" applyBorder="1" applyAlignment="1">
      <alignment horizontal="center" vertical="center"/>
    </xf>
    <xf numFmtId="0" fontId="4" fillId="11" borderId="32" xfId="0" applyFont="1" applyFill="1" applyBorder="1" applyAlignment="1">
      <alignment horizontal="left" vertical="center" wrapText="1"/>
    </xf>
    <xf numFmtId="0" fontId="4" fillId="11" borderId="23" xfId="0" applyFont="1" applyFill="1" applyBorder="1" applyAlignment="1">
      <alignment horizontal="left" vertical="center" wrapText="1"/>
    </xf>
    <xf numFmtId="0" fontId="4" fillId="12" borderId="23" xfId="0" applyFont="1" applyFill="1" applyBorder="1" applyAlignment="1">
      <alignment horizontal="left" vertical="center" wrapText="1"/>
    </xf>
    <xf numFmtId="0" fontId="5" fillId="12" borderId="23" xfId="0" applyFont="1" applyFill="1" applyBorder="1" applyAlignment="1">
      <alignment horizontal="center" vertical="center" wrapText="1"/>
    </xf>
    <xf numFmtId="172" fontId="38" fillId="10" borderId="32" xfId="0" applyNumberFormat="1" applyFont="1" applyFill="1" applyBorder="1" applyAlignment="1">
      <alignment horizontal="left" vertical="center"/>
    </xf>
    <xf numFmtId="0" fontId="8" fillId="2" borderId="35" xfId="0" applyFont="1" applyFill="1" applyBorder="1" applyAlignment="1">
      <alignment horizontal="left" vertical="center" wrapText="1"/>
    </xf>
    <xf numFmtId="0" fontId="5" fillId="0" borderId="75" xfId="0" applyFont="1" applyBorder="1" applyAlignment="1">
      <alignment horizontal="left" vertical="center" wrapText="1"/>
    </xf>
    <xf numFmtId="168" fontId="40" fillId="0" borderId="32" xfId="0" applyNumberFormat="1" applyFont="1" applyBorder="1" applyAlignment="1">
      <alignment horizontal="center" vertical="center"/>
    </xf>
    <xf numFmtId="0" fontId="40" fillId="12" borderId="32" xfId="0" applyFont="1" applyFill="1" applyBorder="1" applyAlignment="1">
      <alignment horizontal="center" vertical="center"/>
    </xf>
    <xf numFmtId="168" fontId="40" fillId="11" borderId="32" xfId="0" applyNumberFormat="1" applyFont="1" applyFill="1" applyBorder="1" applyAlignment="1">
      <alignment horizontal="center" vertical="center"/>
    </xf>
    <xf numFmtId="183" fontId="4" fillId="11" borderId="32" xfId="0" applyNumberFormat="1" applyFont="1" applyFill="1" applyBorder="1" applyAlignment="1">
      <alignment horizontal="center" vertical="center"/>
    </xf>
    <xf numFmtId="168" fontId="4" fillId="11" borderId="41" xfId="0" applyNumberFormat="1" applyFont="1" applyFill="1" applyBorder="1" applyAlignment="1">
      <alignment horizontal="center" vertical="center"/>
    </xf>
    <xf numFmtId="168" fontId="4" fillId="14" borderId="32" xfId="0" applyNumberFormat="1" applyFont="1" applyFill="1" applyBorder="1" applyAlignment="1">
      <alignment horizontal="center" vertical="center"/>
    </xf>
    <xf numFmtId="0" fontId="40" fillId="11" borderId="32" xfId="0" applyFont="1" applyFill="1" applyBorder="1" applyAlignment="1">
      <alignment horizontal="center" vertical="center"/>
    </xf>
    <xf numFmtId="0" fontId="40" fillId="11" borderId="32" xfId="0" applyFont="1" applyFill="1" applyBorder="1" applyAlignment="1">
      <alignment horizontal="left" vertical="center" wrapText="1"/>
    </xf>
    <xf numFmtId="0" fontId="40" fillId="0" borderId="32" xfId="0" applyFont="1" applyBorder="1" applyAlignment="1">
      <alignment horizontal="center" vertical="center" wrapText="1"/>
    </xf>
    <xf numFmtId="0" fontId="40" fillId="0" borderId="0" xfId="0" applyFont="1" applyAlignment="1">
      <alignment horizontal="center" vertical="center"/>
    </xf>
    <xf numFmtId="0" fontId="40" fillId="11" borderId="119" xfId="0" applyFont="1" applyFill="1" applyBorder="1" applyAlignment="1">
      <alignment horizontal="left" vertical="center"/>
    </xf>
    <xf numFmtId="0" fontId="5" fillId="11" borderId="110" xfId="0" applyFont="1" applyFill="1" applyBorder="1" applyAlignment="1">
      <alignment horizontal="center" vertical="center" wrapText="1"/>
    </xf>
    <xf numFmtId="0" fontId="4" fillId="11" borderId="119" xfId="0" applyFont="1" applyFill="1" applyBorder="1" applyAlignment="1">
      <alignment horizontal="left" vertical="center"/>
    </xf>
    <xf numFmtId="0" fontId="5" fillId="11" borderId="51" xfId="0" applyFont="1" applyFill="1" applyBorder="1" applyAlignment="1">
      <alignment horizontal="center" vertical="center" wrapText="1"/>
    </xf>
    <xf numFmtId="164" fontId="42" fillId="0" borderId="0" xfId="28" applyFont="1" applyAlignment="1">
      <alignment vertical="center"/>
    </xf>
    <xf numFmtId="164" fontId="42" fillId="0" borderId="0" xfId="28" applyFont="1" applyAlignment="1">
      <alignment vertical="center" wrapText="1"/>
    </xf>
    <xf numFmtId="164" fontId="43" fillId="0" borderId="0" xfId="28" applyFont="1"/>
    <xf numFmtId="0" fontId="4" fillId="0" borderId="110" xfId="0" applyFont="1" applyBorder="1" applyAlignment="1">
      <alignment horizontal="center" vertical="center" wrapText="1"/>
    </xf>
    <xf numFmtId="0" fontId="4" fillId="2" borderId="35" xfId="0" applyFont="1" applyFill="1" applyBorder="1" applyAlignment="1">
      <alignment horizontal="center" vertical="center"/>
    </xf>
    <xf numFmtId="168" fontId="4" fillId="2" borderId="35" xfId="0" applyNumberFormat="1" applyFont="1" applyFill="1" applyBorder="1" applyAlignment="1">
      <alignment horizontal="center" vertical="center"/>
    </xf>
    <xf numFmtId="0" fontId="4" fillId="0" borderId="119" xfId="0" applyFont="1" applyBorder="1" applyAlignment="1">
      <alignment horizontal="center" vertical="center"/>
    </xf>
    <xf numFmtId="0" fontId="4" fillId="0" borderId="119" xfId="0" applyFont="1" applyBorder="1" applyAlignment="1">
      <alignment vertical="center"/>
    </xf>
    <xf numFmtId="172" fontId="4" fillId="0" borderId="32" xfId="0" applyNumberFormat="1" applyFont="1" applyBorder="1" applyAlignment="1">
      <alignment horizontal="left" vertical="center"/>
    </xf>
    <xf numFmtId="0" fontId="4" fillId="7" borderId="32" xfId="0" applyFont="1" applyFill="1" applyBorder="1" applyAlignment="1">
      <alignment horizontal="left" vertical="center" wrapText="1"/>
    </xf>
    <xf numFmtId="0" fontId="5" fillId="7" borderId="32" xfId="0" applyFont="1" applyFill="1" applyBorder="1" applyAlignment="1">
      <alignment horizontal="center" vertical="center" wrapText="1"/>
    </xf>
    <xf numFmtId="168" fontId="4" fillId="7" borderId="32" xfId="0" applyNumberFormat="1" applyFont="1" applyFill="1" applyBorder="1" applyAlignment="1">
      <alignment horizontal="center" vertical="center"/>
    </xf>
    <xf numFmtId="0" fontId="40" fillId="7" borderId="32" xfId="0" applyFont="1" applyFill="1" applyBorder="1" applyAlignment="1">
      <alignment horizontal="left" vertical="center" wrapText="1"/>
    </xf>
    <xf numFmtId="168" fontId="4" fillId="7" borderId="41" xfId="0" applyNumberFormat="1" applyFont="1" applyFill="1" applyBorder="1" applyAlignment="1">
      <alignment horizontal="center" vertical="center"/>
    </xf>
    <xf numFmtId="168" fontId="4" fillId="7" borderId="42" xfId="0" applyNumberFormat="1" applyFont="1" applyFill="1" applyBorder="1" applyAlignment="1">
      <alignment horizontal="center" vertical="center"/>
    </xf>
    <xf numFmtId="0" fontId="4" fillId="7" borderId="41" xfId="0" applyFont="1" applyFill="1" applyBorder="1" applyAlignment="1">
      <alignment horizontal="left" vertical="center" wrapText="1"/>
    </xf>
    <xf numFmtId="168" fontId="4" fillId="16" borderId="32" xfId="0" applyNumberFormat="1" applyFont="1" applyFill="1" applyBorder="1" applyAlignment="1">
      <alignment horizontal="center" vertical="center"/>
    </xf>
    <xf numFmtId="168" fontId="40" fillId="7" borderId="32" xfId="0" applyNumberFormat="1" applyFont="1" applyFill="1" applyBorder="1" applyAlignment="1">
      <alignment horizontal="center" vertical="center"/>
    </xf>
    <xf numFmtId="0" fontId="8" fillId="0" borderId="42" xfId="0" applyFont="1" applyBorder="1" applyAlignment="1">
      <alignment horizontal="center" vertical="center" wrapText="1"/>
    </xf>
    <xf numFmtId="0" fontId="4" fillId="2" borderId="34" xfId="0" applyFont="1" applyFill="1" applyBorder="1" applyAlignment="1">
      <alignment horizontal="center" vertical="center"/>
    </xf>
    <xf numFmtId="1" fontId="10" fillId="2" borderId="35" xfId="0" applyNumberFormat="1" applyFont="1" applyFill="1" applyBorder="1" applyAlignment="1">
      <alignment horizontal="center" vertical="center" shrinkToFit="1"/>
    </xf>
    <xf numFmtId="0" fontId="4" fillId="2" borderId="35" xfId="0" applyFont="1" applyFill="1" applyBorder="1" applyAlignment="1">
      <alignment horizontal="left" vertical="center"/>
    </xf>
    <xf numFmtId="0" fontId="4" fillId="2" borderId="35" xfId="0" applyFont="1" applyFill="1" applyBorder="1" applyAlignment="1">
      <alignment horizontal="center" vertical="center" wrapText="1"/>
    </xf>
    <xf numFmtId="0" fontId="11" fillId="2" borderId="35" xfId="0" applyFont="1" applyFill="1" applyBorder="1" applyAlignment="1">
      <alignment horizontal="center" vertical="center" wrapText="1"/>
    </xf>
    <xf numFmtId="0" fontId="4" fillId="2" borderId="122" xfId="0" applyFont="1" applyFill="1" applyBorder="1" applyAlignment="1">
      <alignment horizontal="center" vertical="center"/>
    </xf>
    <xf numFmtId="0" fontId="4" fillId="2" borderId="62" xfId="0" applyFont="1" applyFill="1" applyBorder="1" applyAlignment="1">
      <alignment horizontal="center" vertical="center"/>
    </xf>
    <xf numFmtId="0" fontId="8" fillId="2" borderId="45" xfId="0" applyFont="1" applyFill="1" applyBorder="1" applyAlignment="1">
      <alignment horizontal="center" vertical="center" wrapText="1"/>
    </xf>
    <xf numFmtId="0" fontId="4" fillId="2" borderId="45" xfId="0" applyFont="1" applyFill="1" applyBorder="1" applyAlignment="1">
      <alignment horizontal="left" vertical="center"/>
    </xf>
    <xf numFmtId="0" fontId="4" fillId="2" borderId="45" xfId="0" applyFont="1" applyFill="1" applyBorder="1" applyAlignment="1">
      <alignment horizontal="center" vertical="center"/>
    </xf>
    <xf numFmtId="0" fontId="8" fillId="2" borderId="45" xfId="0" applyFont="1" applyFill="1" applyBorder="1" applyAlignment="1">
      <alignment horizontal="left" vertical="center" wrapText="1"/>
    </xf>
    <xf numFmtId="0" fontId="4" fillId="2" borderId="45" xfId="0" applyFont="1" applyFill="1" applyBorder="1" applyAlignment="1">
      <alignment horizontal="center" vertical="center" wrapText="1"/>
    </xf>
    <xf numFmtId="0" fontId="11" fillId="2" borderId="45" xfId="0" applyFont="1" applyFill="1" applyBorder="1" applyAlignment="1">
      <alignment horizontal="center" vertical="center" wrapText="1"/>
    </xf>
    <xf numFmtId="0" fontId="4" fillId="2" borderId="123" xfId="0" applyFont="1" applyFill="1" applyBorder="1" applyAlignment="1">
      <alignment horizontal="center" vertical="center"/>
    </xf>
    <xf numFmtId="168" fontId="4" fillId="15" borderId="124" xfId="0" applyNumberFormat="1" applyFont="1" applyFill="1" applyBorder="1" applyAlignment="1">
      <alignment horizontal="center" vertical="center"/>
    </xf>
    <xf numFmtId="168" fontId="4" fillId="0" borderId="28" xfId="0" applyNumberFormat="1" applyFont="1" applyBorder="1" applyAlignment="1">
      <alignment horizontal="center" vertical="center"/>
    </xf>
    <xf numFmtId="168" fontId="7" fillId="0" borderId="122" xfId="0" applyNumberFormat="1" applyFont="1" applyBorder="1" applyAlignment="1">
      <alignment horizontal="center" vertical="center"/>
    </xf>
    <xf numFmtId="168" fontId="7" fillId="2" borderId="122" xfId="0" applyNumberFormat="1" applyFont="1" applyFill="1" applyBorder="1" applyAlignment="1">
      <alignment horizontal="center" vertical="center"/>
    </xf>
    <xf numFmtId="168" fontId="7" fillId="2" borderId="123" xfId="0" applyNumberFormat="1" applyFont="1" applyFill="1" applyBorder="1" applyAlignment="1">
      <alignment horizontal="center" vertical="center"/>
    </xf>
    <xf numFmtId="0" fontId="4" fillId="0" borderId="28" xfId="0" applyFont="1" applyBorder="1" applyAlignment="1">
      <alignment horizontal="center" vertical="center"/>
    </xf>
    <xf numFmtId="0" fontId="5" fillId="7" borderId="41" xfId="0" applyFont="1" applyFill="1" applyBorder="1" applyAlignment="1">
      <alignment horizontal="left" vertical="center" wrapText="1"/>
    </xf>
    <xf numFmtId="0" fontId="5" fillId="7" borderId="41" xfId="0" applyFont="1" applyFill="1" applyBorder="1" applyAlignment="1">
      <alignment horizontal="center" vertical="center" wrapText="1"/>
    </xf>
    <xf numFmtId="0" fontId="4" fillId="7" borderId="41" xfId="0" applyFont="1" applyFill="1" applyBorder="1" applyAlignment="1">
      <alignment horizontal="center" vertical="center"/>
    </xf>
    <xf numFmtId="168" fontId="4" fillId="15" borderId="125" xfId="0" applyNumberFormat="1" applyFont="1" applyFill="1" applyBorder="1" applyAlignment="1">
      <alignment horizontal="center" vertical="center"/>
    </xf>
    <xf numFmtId="0" fontId="5" fillId="7" borderId="42" xfId="0" applyFont="1" applyFill="1" applyBorder="1" applyAlignment="1">
      <alignment horizontal="left" vertical="center" wrapText="1"/>
    </xf>
    <xf numFmtId="0" fontId="5" fillId="7" borderId="42" xfId="0" applyFont="1" applyFill="1" applyBorder="1" applyAlignment="1">
      <alignment horizontal="center" vertical="center" wrapText="1"/>
    </xf>
    <xf numFmtId="0" fontId="4" fillId="7" borderId="42" xfId="0" applyFont="1" applyFill="1" applyBorder="1" applyAlignment="1">
      <alignment horizontal="center" vertical="center"/>
    </xf>
    <xf numFmtId="0" fontId="7" fillId="0" borderId="43" xfId="0" applyFont="1" applyBorder="1" applyAlignment="1">
      <alignment horizontal="center" vertical="center"/>
    </xf>
    <xf numFmtId="0" fontId="5" fillId="0" borderId="44" xfId="0" applyFont="1" applyBorder="1" applyAlignment="1">
      <alignment horizontal="center" vertical="center" wrapText="1"/>
    </xf>
    <xf numFmtId="0" fontId="4" fillId="0" borderId="44" xfId="0" applyFont="1" applyBorder="1" applyAlignment="1">
      <alignment horizontal="center" vertical="center"/>
    </xf>
    <xf numFmtId="0" fontId="5" fillId="0" borderId="44" xfId="0" applyFont="1" applyBorder="1" applyAlignment="1">
      <alignment horizontal="left" vertical="center" wrapText="1"/>
    </xf>
    <xf numFmtId="168" fontId="4" fillId="2" borderId="45" xfId="0" applyNumberFormat="1" applyFont="1" applyFill="1" applyBorder="1" applyAlignment="1">
      <alignment horizontal="center" vertical="center"/>
    </xf>
    <xf numFmtId="0" fontId="4" fillId="0" borderId="41" xfId="0" applyFont="1" applyBorder="1" applyAlignment="1">
      <alignment horizontal="center" vertical="center"/>
    </xf>
    <xf numFmtId="168" fontId="4" fillId="0" borderId="35" xfId="0" applyNumberFormat="1" applyFont="1" applyBorder="1" applyAlignment="1">
      <alignment horizontal="center" vertical="center"/>
    </xf>
    <xf numFmtId="168" fontId="7" fillId="0" borderId="123" xfId="0" applyNumberFormat="1" applyFont="1" applyBorder="1" applyAlignment="1">
      <alignment horizontal="center" vertical="center"/>
    </xf>
    <xf numFmtId="168" fontId="7" fillId="2" borderId="127" xfId="0" applyNumberFormat="1" applyFont="1" applyFill="1" applyBorder="1" applyAlignment="1">
      <alignment horizontal="center" vertical="center"/>
    </xf>
    <xf numFmtId="0" fontId="5" fillId="0" borderId="41" xfId="0" applyFont="1" applyBorder="1" applyAlignment="1">
      <alignment horizontal="left" vertical="center" wrapText="1"/>
    </xf>
    <xf numFmtId="0" fontId="5" fillId="0" borderId="41" xfId="0" applyFont="1" applyBorder="1" applyAlignment="1">
      <alignment horizontal="center" vertical="center" wrapText="1"/>
    </xf>
    <xf numFmtId="0" fontId="4" fillId="0" borderId="40" xfId="0" applyFont="1" applyBorder="1" applyAlignment="1">
      <alignment horizontal="center" vertical="center"/>
    </xf>
    <xf numFmtId="168" fontId="7" fillId="0" borderId="124" xfId="0" applyNumberFormat="1" applyFont="1" applyBorder="1" applyAlignment="1">
      <alignment horizontal="center" vertical="center"/>
    </xf>
    <xf numFmtId="0" fontId="5" fillId="0" borderId="42" xfId="0" applyFont="1" applyBorder="1" applyAlignment="1">
      <alignment horizontal="left" vertical="center" wrapText="1"/>
    </xf>
    <xf numFmtId="0" fontId="5" fillId="0" borderId="42" xfId="0" applyFont="1" applyBorder="1" applyAlignment="1">
      <alignment horizontal="center" vertical="center" wrapText="1"/>
    </xf>
    <xf numFmtId="0" fontId="4" fillId="0" borderId="42" xfId="0" applyFont="1" applyBorder="1" applyAlignment="1">
      <alignment horizontal="center" vertical="center"/>
    </xf>
    <xf numFmtId="168" fontId="4" fillId="15" borderId="128" xfId="0" applyNumberFormat="1" applyFont="1" applyFill="1" applyBorder="1" applyAlignment="1">
      <alignment horizontal="center" vertical="center"/>
    </xf>
    <xf numFmtId="0" fontId="7" fillId="2" borderId="45" xfId="0" applyFont="1" applyFill="1" applyBorder="1" applyAlignment="1">
      <alignment horizontal="left" vertical="center" wrapText="1"/>
    </xf>
    <xf numFmtId="0" fontId="4" fillId="7" borderId="51" xfId="0" applyFont="1" applyFill="1" applyBorder="1" applyAlignment="1">
      <alignment horizontal="left" vertical="center"/>
    </xf>
    <xf numFmtId="0" fontId="4" fillId="7" borderId="46" xfId="0" applyFont="1" applyFill="1" applyBorder="1" applyAlignment="1">
      <alignment horizontal="center" vertical="center"/>
    </xf>
    <xf numFmtId="168" fontId="4" fillId="7" borderId="51" xfId="0" applyNumberFormat="1" applyFont="1" applyFill="1" applyBorder="1" applyAlignment="1">
      <alignment vertical="center"/>
    </xf>
    <xf numFmtId="168" fontId="4" fillId="15" borderId="125" xfId="0" applyNumberFormat="1" applyFont="1" applyFill="1" applyBorder="1" applyAlignment="1">
      <alignment horizontal="center" vertical="center" wrapText="1"/>
    </xf>
    <xf numFmtId="0" fontId="4" fillId="7" borderId="110" xfId="0" applyFont="1" applyFill="1" applyBorder="1" applyAlignment="1">
      <alignment horizontal="left" vertical="center" wrapText="1"/>
    </xf>
    <xf numFmtId="0" fontId="4" fillId="7" borderId="109" xfId="0" applyFont="1" applyFill="1" applyBorder="1" applyAlignment="1">
      <alignment horizontal="center" vertical="center" wrapText="1"/>
    </xf>
    <xf numFmtId="168" fontId="4" fillId="7" borderId="110" xfId="0" applyNumberFormat="1" applyFont="1" applyFill="1" applyBorder="1" applyAlignment="1">
      <alignment vertical="center" wrapText="1"/>
    </xf>
    <xf numFmtId="168" fontId="4" fillId="15" borderId="125" xfId="0" applyNumberFormat="1" applyFont="1" applyFill="1" applyBorder="1" applyAlignment="1">
      <alignment vertical="center" wrapText="1"/>
    </xf>
    <xf numFmtId="166" fontId="4" fillId="15" borderId="124" xfId="0" applyNumberFormat="1" applyFont="1" applyFill="1" applyBorder="1" applyAlignment="1">
      <alignment vertical="center"/>
    </xf>
    <xf numFmtId="0" fontId="4" fillId="0" borderId="28" xfId="0" applyFont="1" applyBorder="1" applyAlignment="1">
      <alignment horizontal="center" vertical="center" wrapText="1"/>
    </xf>
    <xf numFmtId="168" fontId="4" fillId="15" borderId="124" xfId="0" applyNumberFormat="1" applyFont="1" applyFill="1" applyBorder="1" applyAlignment="1">
      <alignment horizontal="center" vertical="center" wrapText="1"/>
    </xf>
    <xf numFmtId="0" fontId="4" fillId="7" borderId="42" xfId="0" applyFont="1" applyFill="1" applyBorder="1" applyAlignment="1">
      <alignment horizontal="left" vertical="center" wrapText="1"/>
    </xf>
    <xf numFmtId="0" fontId="5" fillId="0" borderId="28" xfId="0" applyFont="1" applyBorder="1" applyAlignment="1">
      <alignment horizontal="center" vertical="center" wrapText="1"/>
    </xf>
    <xf numFmtId="0" fontId="4" fillId="0" borderId="44" xfId="0" applyFont="1" applyBorder="1" applyAlignment="1">
      <alignment horizontal="left" vertical="center" wrapText="1"/>
    </xf>
    <xf numFmtId="168" fontId="7" fillId="0" borderId="127" xfId="0" applyNumberFormat="1" applyFont="1" applyBorder="1" applyAlignment="1">
      <alignment horizontal="center" vertical="center"/>
    </xf>
    <xf numFmtId="0" fontId="4" fillId="2" borderId="35" xfId="0" applyFont="1" applyFill="1" applyBorder="1" applyAlignment="1">
      <alignment horizontal="left" vertical="center" wrapText="1"/>
    </xf>
    <xf numFmtId="0" fontId="5" fillId="2" borderId="35" xfId="0" applyFont="1" applyFill="1" applyBorder="1" applyAlignment="1">
      <alignment horizontal="center" vertical="center" wrapText="1"/>
    </xf>
    <xf numFmtId="0" fontId="4" fillId="0" borderId="43" xfId="0" applyFont="1" applyBorder="1" applyAlignment="1">
      <alignment horizontal="center" vertical="center"/>
    </xf>
    <xf numFmtId="0" fontId="40" fillId="0" borderId="28" xfId="0" applyFont="1" applyBorder="1" applyAlignment="1">
      <alignment horizontal="center" vertical="center"/>
    </xf>
    <xf numFmtId="0" fontId="4" fillId="0" borderId="44" xfId="0" applyFont="1" applyBorder="1" applyAlignment="1">
      <alignment horizontal="left" vertical="center"/>
    </xf>
    <xf numFmtId="0" fontId="4" fillId="0" borderId="28" xfId="0" applyFont="1" applyBorder="1" applyAlignment="1">
      <alignment vertical="center"/>
    </xf>
    <xf numFmtId="168" fontId="7" fillId="0" borderId="129" xfId="0" applyNumberFormat="1" applyFont="1" applyBorder="1" applyAlignment="1">
      <alignment horizontal="center" vertical="center"/>
    </xf>
    <xf numFmtId="0" fontId="4" fillId="0" borderId="28" xfId="0" applyFont="1" applyBorder="1" applyAlignment="1">
      <alignment horizontal="left" vertical="center"/>
    </xf>
    <xf numFmtId="0" fontId="8" fillId="0" borderId="43" xfId="0" applyFont="1" applyBorder="1" applyAlignment="1">
      <alignment horizontal="left" vertical="center"/>
    </xf>
    <xf numFmtId="9" fontId="5" fillId="0" borderId="44" xfId="0" applyNumberFormat="1" applyFont="1" applyBorder="1" applyAlignment="1">
      <alignment horizontal="center" vertical="center"/>
    </xf>
    <xf numFmtId="170" fontId="5" fillId="0" borderId="44" xfId="0" applyNumberFormat="1" applyFont="1" applyBorder="1" applyAlignment="1">
      <alignment vertical="center"/>
    </xf>
    <xf numFmtId="168" fontId="8" fillId="0" borderId="124" xfId="0" applyNumberFormat="1" applyFont="1" applyBorder="1" applyAlignment="1">
      <alignment vertical="center"/>
    </xf>
    <xf numFmtId="1" fontId="4" fillId="0" borderId="114" xfId="0" applyNumberFormat="1" applyFont="1" applyBorder="1" applyAlignment="1">
      <alignment vertical="center" wrapText="1"/>
    </xf>
    <xf numFmtId="1" fontId="4" fillId="0" borderId="116" xfId="0" applyNumberFormat="1" applyFont="1" applyBorder="1" applyAlignment="1">
      <alignment vertical="center" wrapText="1"/>
    </xf>
    <xf numFmtId="171" fontId="4" fillId="0" borderId="117" xfId="0" applyNumberFormat="1" applyFont="1" applyBorder="1" applyAlignment="1">
      <alignment vertical="center" wrapText="1"/>
    </xf>
    <xf numFmtId="168" fontId="5" fillId="0" borderId="130" xfId="0" applyNumberFormat="1" applyFont="1" applyBorder="1" applyAlignment="1">
      <alignment vertical="center"/>
    </xf>
    <xf numFmtId="1" fontId="4" fillId="0" borderId="57" xfId="0" applyNumberFormat="1" applyFont="1" applyBorder="1" applyAlignment="1">
      <alignment vertical="center" wrapText="1"/>
    </xf>
    <xf numFmtId="168" fontId="5" fillId="0" borderId="124" xfId="0" applyNumberFormat="1" applyFont="1" applyBorder="1" applyAlignment="1">
      <alignment vertical="center"/>
    </xf>
    <xf numFmtId="168" fontId="8" fillId="2" borderId="131" xfId="0" applyNumberFormat="1" applyFont="1" applyFill="1" applyBorder="1" applyAlignment="1">
      <alignment vertical="center"/>
    </xf>
    <xf numFmtId="0" fontId="40" fillId="7" borderId="32" xfId="0" applyFont="1" applyFill="1" applyBorder="1" applyAlignment="1">
      <alignment horizontal="center" vertical="center"/>
    </xf>
    <xf numFmtId="0" fontId="4" fillId="7" borderId="32" xfId="0" applyFont="1" applyFill="1" applyBorder="1" applyAlignment="1">
      <alignment horizontal="center" vertical="center" wrapText="1"/>
    </xf>
    <xf numFmtId="0" fontId="4" fillId="7" borderId="44" xfId="0" applyFont="1" applyFill="1" applyBorder="1" applyAlignment="1">
      <alignment horizontal="left" vertical="center" wrapText="1"/>
    </xf>
    <xf numFmtId="0" fontId="5" fillId="7" borderId="44" xfId="0" applyFont="1" applyFill="1" applyBorder="1" applyAlignment="1">
      <alignment horizontal="center" vertical="center" wrapText="1"/>
    </xf>
    <xf numFmtId="0" fontId="4" fillId="7" borderId="44" xfId="0" applyFont="1" applyFill="1" applyBorder="1" applyAlignment="1">
      <alignment horizontal="center" vertical="center"/>
    </xf>
    <xf numFmtId="168" fontId="4" fillId="7" borderId="44" xfId="0" applyNumberFormat="1" applyFont="1" applyFill="1" applyBorder="1" applyAlignment="1">
      <alignment horizontal="center" vertical="center"/>
    </xf>
    <xf numFmtId="168" fontId="7" fillId="7" borderId="127" xfId="0" applyNumberFormat="1" applyFont="1" applyFill="1" applyBorder="1" applyAlignment="1">
      <alignment horizontal="center" vertical="center"/>
    </xf>
    <xf numFmtId="0" fontId="40" fillId="7" borderId="119" xfId="0" applyFont="1" applyFill="1" applyBorder="1" applyAlignment="1">
      <alignment horizontal="left" vertical="center"/>
    </xf>
    <xf numFmtId="0" fontId="40" fillId="7" borderId="110" xfId="0" applyFont="1" applyFill="1" applyBorder="1" applyAlignment="1">
      <alignment horizontal="center" vertical="center" wrapText="1"/>
    </xf>
    <xf numFmtId="168" fontId="40" fillId="17" borderId="124" xfId="0" applyNumberFormat="1" applyFont="1" applyFill="1" applyBorder="1" applyAlignment="1">
      <alignment horizontal="center" vertical="center"/>
    </xf>
    <xf numFmtId="0" fontId="4" fillId="7" borderId="119" xfId="0" applyFont="1" applyFill="1" applyBorder="1" applyAlignment="1">
      <alignment horizontal="left" vertical="center"/>
    </xf>
    <xf numFmtId="0" fontId="5" fillId="7" borderId="51" xfId="0" applyFont="1" applyFill="1" applyBorder="1" applyAlignment="1">
      <alignment horizontal="center" vertical="center" wrapText="1"/>
    </xf>
    <xf numFmtId="0" fontId="5" fillId="7" borderId="110" xfId="0" applyFont="1" applyFill="1" applyBorder="1" applyAlignment="1">
      <alignment horizontal="center" vertical="center" wrapText="1"/>
    </xf>
    <xf numFmtId="168" fontId="4" fillId="7" borderId="28" xfId="0" applyNumberFormat="1" applyFont="1" applyFill="1" applyBorder="1" applyAlignment="1">
      <alignment vertical="center"/>
    </xf>
    <xf numFmtId="0" fontId="5" fillId="7" borderId="22" xfId="0" applyFont="1" applyFill="1" applyBorder="1" applyAlignment="1">
      <alignment horizontal="center" vertical="center" wrapText="1"/>
    </xf>
    <xf numFmtId="0" fontId="4" fillId="7" borderId="110" xfId="0" applyFont="1" applyFill="1" applyBorder="1" applyAlignment="1">
      <alignment horizontal="center" vertical="center" wrapText="1"/>
    </xf>
    <xf numFmtId="0" fontId="7" fillId="2" borderId="45" xfId="0" applyFont="1" applyFill="1" applyBorder="1" applyAlignment="1">
      <alignment horizontal="center" vertical="center" wrapText="1"/>
    </xf>
    <xf numFmtId="0" fontId="7" fillId="2" borderId="44" xfId="0" applyFont="1" applyFill="1" applyBorder="1" applyAlignment="1">
      <alignment horizontal="center" vertical="center" wrapText="1"/>
    </xf>
    <xf numFmtId="0" fontId="45" fillId="2" borderId="44" xfId="0" applyFont="1" applyFill="1" applyBorder="1" applyAlignment="1">
      <alignment horizontal="center" vertical="center"/>
    </xf>
    <xf numFmtId="171" fontId="4" fillId="7" borderId="53" xfId="0" applyNumberFormat="1" applyFont="1" applyFill="1" applyBorder="1" applyAlignment="1">
      <alignment vertical="center" wrapText="1"/>
    </xf>
    <xf numFmtId="0" fontId="4" fillId="0" borderId="46" xfId="0" applyFont="1" applyBorder="1" applyAlignment="1">
      <alignment horizontal="center" vertical="center"/>
    </xf>
    <xf numFmtId="0" fontId="4" fillId="0" borderId="75" xfId="0" applyFont="1" applyBorder="1" applyAlignment="1">
      <alignment horizontal="center" vertical="center"/>
    </xf>
    <xf numFmtId="168" fontId="7" fillId="0" borderId="126" xfId="0" applyNumberFormat="1" applyFont="1" applyBorder="1" applyAlignment="1">
      <alignment vertical="center"/>
    </xf>
    <xf numFmtId="172" fontId="4" fillId="10" borderId="32" xfId="0" applyNumberFormat="1" applyFont="1" applyFill="1" applyBorder="1" applyAlignment="1">
      <alignment horizontal="left" vertical="center"/>
    </xf>
    <xf numFmtId="0" fontId="4" fillId="0" borderId="110" xfId="0" applyFont="1" applyBorder="1" applyAlignment="1">
      <alignment horizontal="center" vertical="center"/>
    </xf>
    <xf numFmtId="0" fontId="5" fillId="0" borderId="93" xfId="0" applyFont="1" applyBorder="1" applyAlignment="1">
      <alignment horizontal="center" vertical="center" wrapText="1"/>
    </xf>
    <xf numFmtId="0" fontId="5" fillId="0" borderId="119" xfId="0" applyFont="1" applyBorder="1" applyAlignment="1">
      <alignment horizontal="center" vertical="center" wrapText="1"/>
    </xf>
    <xf numFmtId="168" fontId="7" fillId="0" borderId="33" xfId="0" applyNumberFormat="1" applyFont="1" applyBorder="1" applyAlignment="1">
      <alignment horizontal="center" vertical="center"/>
    </xf>
    <xf numFmtId="168" fontId="40" fillId="0" borderId="33" xfId="0" applyNumberFormat="1" applyFont="1" applyBorder="1" applyAlignment="1">
      <alignment horizontal="center" vertical="center"/>
    </xf>
    <xf numFmtId="168" fontId="4" fillId="0" borderId="33" xfId="0" applyNumberFormat="1" applyFont="1" applyBorder="1" applyAlignment="1">
      <alignment horizontal="center" vertical="center"/>
    </xf>
    <xf numFmtId="168" fontId="4" fillId="0" borderId="32" xfId="0" applyNumberFormat="1" applyFont="1" applyBorder="1" applyAlignment="1">
      <alignment vertical="center"/>
    </xf>
    <xf numFmtId="168" fontId="4" fillId="0" borderId="37" xfId="0" applyNumberFormat="1" applyFont="1" applyBorder="1" applyAlignment="1">
      <alignment horizontal="center" vertical="center"/>
    </xf>
    <xf numFmtId="168" fontId="4" fillId="0" borderId="47" xfId="0" applyNumberFormat="1" applyFont="1" applyBorder="1" applyAlignment="1">
      <alignment horizontal="center" vertical="center"/>
    </xf>
    <xf numFmtId="168" fontId="4" fillId="0" borderId="41" xfId="0" applyNumberFormat="1" applyFont="1" applyBorder="1" applyAlignment="1">
      <alignment horizontal="center" vertical="center" wrapText="1"/>
    </xf>
    <xf numFmtId="168" fontId="4" fillId="0" borderId="41" xfId="0" applyNumberFormat="1" applyFont="1" applyBorder="1" applyAlignment="1">
      <alignment vertical="center" wrapText="1"/>
    </xf>
    <xf numFmtId="168" fontId="7" fillId="0" borderId="44" xfId="0" applyNumberFormat="1" applyFont="1" applyBorder="1" applyAlignment="1">
      <alignment horizontal="center" vertical="center"/>
    </xf>
    <xf numFmtId="168" fontId="4" fillId="0" borderId="33" xfId="0" applyNumberFormat="1" applyFont="1" applyBorder="1" applyAlignment="1">
      <alignment horizontal="center" vertical="center" wrapText="1"/>
    </xf>
    <xf numFmtId="168" fontId="7" fillId="0" borderId="39" xfId="0" applyNumberFormat="1" applyFont="1" applyBorder="1" applyAlignment="1">
      <alignment horizontal="center" vertical="center"/>
    </xf>
    <xf numFmtId="168" fontId="7" fillId="18" borderId="44" xfId="0" applyNumberFormat="1" applyFont="1" applyFill="1" applyBorder="1" applyAlignment="1">
      <alignment horizontal="center" vertical="center"/>
    </xf>
    <xf numFmtId="168" fontId="7" fillId="18" borderId="27" xfId="0" applyNumberFormat="1" applyFont="1" applyFill="1" applyBorder="1" applyAlignment="1">
      <alignment horizontal="center" vertical="center"/>
    </xf>
    <xf numFmtId="168" fontId="7" fillId="18" borderId="30" xfId="0" applyNumberFormat="1" applyFont="1" applyFill="1" applyBorder="1" applyAlignment="1">
      <alignment horizontal="center" vertical="center"/>
    </xf>
    <xf numFmtId="168" fontId="40" fillId="12" borderId="46" xfId="0" applyNumberFormat="1" applyFont="1" applyFill="1" applyBorder="1" applyAlignment="1">
      <alignment horizontal="center" vertical="center"/>
    </xf>
    <xf numFmtId="0" fontId="4" fillId="2" borderId="28" xfId="0" applyFont="1" applyFill="1" applyBorder="1" applyAlignment="1">
      <alignment horizontal="center" vertical="center"/>
    </xf>
    <xf numFmtId="168" fontId="4" fillId="0" borderId="41" xfId="0" applyNumberFormat="1" applyFont="1" applyBorder="1" applyAlignment="1">
      <alignment vertical="center"/>
    </xf>
    <xf numFmtId="168" fontId="4" fillId="0" borderId="119" xfId="0" applyNumberFormat="1" applyFont="1" applyBorder="1" applyAlignment="1">
      <alignment horizontal="center" vertical="center"/>
    </xf>
    <xf numFmtId="0" fontId="4" fillId="18" borderId="27" xfId="0" applyFont="1" applyFill="1" applyBorder="1" applyAlignment="1">
      <alignment horizontal="center" vertical="center"/>
    </xf>
    <xf numFmtId="0" fontId="4" fillId="18" borderId="30" xfId="0" applyFont="1" applyFill="1" applyBorder="1" applyAlignment="1">
      <alignment horizontal="center" vertical="center"/>
    </xf>
    <xf numFmtId="168" fontId="0" fillId="0" borderId="0" xfId="0" applyNumberFormat="1"/>
    <xf numFmtId="1" fontId="4" fillId="7" borderId="32" xfId="0" applyNumberFormat="1" applyFont="1" applyFill="1" applyBorder="1" applyAlignment="1">
      <alignment horizontal="center" vertical="center"/>
    </xf>
    <xf numFmtId="1" fontId="4" fillId="0" borderId="32" xfId="0" applyNumberFormat="1" applyFont="1" applyBorder="1" applyAlignment="1">
      <alignment horizontal="center" vertical="center"/>
    </xf>
    <xf numFmtId="174" fontId="51" fillId="0" borderId="119" xfId="29" applyNumberFormat="1" applyFont="1" applyBorder="1" applyAlignment="1" applyProtection="1">
      <alignment horizontal="right" vertical="center" wrapText="1"/>
      <protection locked="0"/>
    </xf>
    <xf numFmtId="0" fontId="5" fillId="0" borderId="1" xfId="0" applyFont="1" applyBorder="1" applyAlignment="1">
      <alignment horizontal="center" vertical="center" wrapText="1"/>
    </xf>
    <xf numFmtId="0" fontId="6" fillId="0" borderId="2" xfId="0" applyFont="1" applyBorder="1"/>
    <xf numFmtId="0" fontId="6" fillId="0" borderId="3" xfId="0" applyFont="1" applyBorder="1"/>
    <xf numFmtId="0" fontId="7" fillId="0" borderId="4" xfId="0" applyFont="1" applyBorder="1" applyAlignment="1">
      <alignment horizontal="center" vertical="center" wrapText="1"/>
    </xf>
    <xf numFmtId="0" fontId="6" fillId="0" borderId="4" xfId="0" applyFont="1" applyBorder="1"/>
    <xf numFmtId="0" fontId="6" fillId="0" borderId="5" xfId="0" applyFont="1" applyBorder="1"/>
    <xf numFmtId="0" fontId="0" fillId="0" borderId="0" xfId="0"/>
    <xf numFmtId="0" fontId="6" fillId="0" borderId="8" xfId="0" applyFont="1" applyBorder="1"/>
    <xf numFmtId="0" fontId="7" fillId="0" borderId="9" xfId="0" applyFont="1" applyBorder="1" applyAlignment="1">
      <alignment horizontal="center" vertical="center"/>
    </xf>
    <xf numFmtId="0" fontId="7" fillId="0" borderId="10" xfId="0" applyFont="1" applyBorder="1" applyAlignment="1">
      <alignment horizontal="center" vertical="center" wrapText="1"/>
    </xf>
    <xf numFmtId="0" fontId="6" fillId="0" borderId="11" xfId="0" applyFont="1" applyBorder="1"/>
    <xf numFmtId="0" fontId="6" fillId="0" borderId="12" xfId="0" applyFont="1" applyBorder="1"/>
    <xf numFmtId="0" fontId="8" fillId="0" borderId="15" xfId="0" applyFont="1" applyBorder="1" applyAlignment="1">
      <alignment horizontal="center" vertical="center" wrapText="1"/>
    </xf>
    <xf numFmtId="0" fontId="6" fillId="0" borderId="20" xfId="0" applyFont="1" applyBorder="1"/>
    <xf numFmtId="0" fontId="8" fillId="0" borderId="16" xfId="0" applyFont="1" applyBorder="1" applyAlignment="1">
      <alignment horizontal="center" vertical="center" wrapText="1"/>
    </xf>
    <xf numFmtId="0" fontId="6" fillId="0" borderId="21" xfId="0" applyFont="1" applyBorder="1"/>
    <xf numFmtId="0" fontId="8" fillId="0" borderId="17" xfId="0" applyFont="1" applyBorder="1" applyAlignment="1">
      <alignment horizontal="center" vertical="center" wrapText="1"/>
    </xf>
    <xf numFmtId="0" fontId="6" fillId="0" borderId="18" xfId="0" applyFont="1" applyBorder="1"/>
    <xf numFmtId="0" fontId="41" fillId="0" borderId="15" xfId="0" applyFont="1" applyBorder="1" applyAlignment="1">
      <alignment horizontal="center" vertical="center" wrapText="1"/>
    </xf>
    <xf numFmtId="0" fontId="6" fillId="0" borderId="24" xfId="0" applyFont="1" applyBorder="1"/>
    <xf numFmtId="4" fontId="8" fillId="0" borderId="16" xfId="0" applyNumberFormat="1" applyFont="1" applyBorder="1" applyAlignment="1">
      <alignment horizontal="center" vertical="center" wrapText="1"/>
    </xf>
    <xf numFmtId="4" fontId="8" fillId="0" borderId="19" xfId="0" applyNumberFormat="1" applyFont="1" applyBorder="1" applyAlignment="1">
      <alignment horizontal="center" vertical="center" wrapText="1"/>
    </xf>
    <xf numFmtId="0" fontId="6" fillId="0" borderId="25" xfId="0" applyFont="1" applyBorder="1"/>
    <xf numFmtId="0" fontId="5" fillId="0" borderId="34" xfId="0" applyFont="1" applyBorder="1" applyAlignment="1">
      <alignment horizontal="left" vertical="center" wrapText="1"/>
    </xf>
    <xf numFmtId="0" fontId="6" fillId="0" borderId="35" xfId="0" applyFont="1" applyBorder="1"/>
    <xf numFmtId="0" fontId="6" fillId="0" borderId="22" xfId="0" applyFont="1" applyBorder="1"/>
    <xf numFmtId="0" fontId="6" fillId="0" borderId="9" xfId="0" applyFont="1" applyBorder="1"/>
    <xf numFmtId="0" fontId="6" fillId="0" borderId="61" xfId="0" applyFont="1" applyBorder="1"/>
    <xf numFmtId="0" fontId="6" fillId="0" borderId="62" xfId="0" applyFont="1" applyBorder="1"/>
    <xf numFmtId="0" fontId="6" fillId="0" borderId="45" xfId="0" applyFont="1" applyBorder="1"/>
    <xf numFmtId="0" fontId="6" fillId="0" borderId="63" xfId="0" applyFont="1" applyBorder="1"/>
    <xf numFmtId="3" fontId="8" fillId="0" borderId="46" xfId="0" applyNumberFormat="1" applyFont="1" applyBorder="1" applyAlignment="1">
      <alignment horizontal="left" vertical="center" wrapText="1"/>
    </xf>
    <xf numFmtId="0" fontId="6" fillId="0" borderId="51" xfId="0" applyFont="1" applyBorder="1"/>
    <xf numFmtId="3" fontId="8" fillId="0" borderId="46" xfId="0" applyNumberFormat="1" applyFont="1" applyBorder="1" applyAlignment="1">
      <alignment horizontal="left" vertical="center"/>
    </xf>
    <xf numFmtId="0" fontId="5" fillId="0" borderId="64" xfId="0" applyFont="1" applyBorder="1" applyAlignment="1">
      <alignment horizontal="left" vertical="center" wrapText="1"/>
    </xf>
    <xf numFmtId="0" fontId="6" fillId="0" borderId="65" xfId="0" applyFont="1" applyBorder="1"/>
    <xf numFmtId="0" fontId="6" fillId="0" borderId="66" xfId="0" applyFont="1" applyBorder="1"/>
    <xf numFmtId="0" fontId="5" fillId="0" borderId="38" xfId="0" applyFont="1" applyBorder="1" applyAlignment="1">
      <alignment horizontal="left" vertical="center" wrapText="1"/>
    </xf>
    <xf numFmtId="0" fontId="6" fillId="0" borderId="39" xfId="0" applyFont="1" applyBorder="1"/>
    <xf numFmtId="0" fontId="8" fillId="0" borderId="46" xfId="0" applyFont="1" applyBorder="1" applyAlignment="1">
      <alignment horizontal="left" vertical="center" wrapText="1"/>
    </xf>
    <xf numFmtId="0" fontId="6" fillId="0" borderId="88" xfId="0" applyFont="1" applyBorder="1"/>
    <xf numFmtId="0" fontId="8" fillId="0" borderId="114" xfId="0" applyFont="1" applyBorder="1" applyAlignment="1">
      <alignment horizontal="center" vertical="center" wrapText="1"/>
    </xf>
    <xf numFmtId="4" fontId="8" fillId="0" borderId="120" xfId="0" applyNumberFormat="1" applyFont="1" applyBorder="1" applyAlignment="1">
      <alignment horizontal="center" vertical="center" wrapText="1"/>
    </xf>
    <xf numFmtId="0" fontId="6" fillId="0" borderId="121" xfId="0" applyFont="1" applyBorder="1"/>
    <xf numFmtId="0" fontId="13" fillId="0" borderId="69" xfId="0" applyFont="1" applyBorder="1" applyAlignment="1">
      <alignment horizontal="center" wrapText="1"/>
    </xf>
    <xf numFmtId="0" fontId="6" fillId="0" borderId="70" xfId="0" applyFont="1" applyBorder="1"/>
    <xf numFmtId="0" fontId="6" fillId="0" borderId="71" xfId="0" applyFont="1" applyBorder="1"/>
    <xf numFmtId="0" fontId="16" fillId="0" borderId="17" xfId="0" applyFont="1" applyBorder="1" applyAlignment="1">
      <alignment horizontal="center" vertical="center" wrapText="1"/>
    </xf>
    <xf numFmtId="0" fontId="6" fillId="0" borderId="53" xfId="0" applyFont="1" applyBorder="1"/>
    <xf numFmtId="0" fontId="16" fillId="0" borderId="15" xfId="0" applyFont="1" applyBorder="1" applyAlignment="1">
      <alignment horizontal="center" vertical="center" wrapText="1"/>
    </xf>
    <xf numFmtId="0" fontId="6" fillId="0" borderId="78" xfId="0" applyFont="1" applyBorder="1"/>
    <xf numFmtId="0" fontId="14" fillId="0" borderId="38" xfId="0" applyFont="1" applyBorder="1" applyAlignment="1">
      <alignment horizontal="left" vertical="center" wrapText="1"/>
    </xf>
    <xf numFmtId="0" fontId="13" fillId="0" borderId="52" xfId="0" applyFont="1" applyBorder="1" applyAlignment="1">
      <alignment horizontal="center" vertical="center"/>
    </xf>
    <xf numFmtId="0" fontId="6" fillId="0" borderId="52" xfId="0" applyFont="1" applyBorder="1"/>
    <xf numFmtId="3" fontId="14" fillId="0" borderId="59" xfId="0" applyNumberFormat="1" applyFont="1" applyBorder="1" applyAlignment="1">
      <alignment horizontal="center" vertical="center" wrapText="1"/>
    </xf>
    <xf numFmtId="0" fontId="16" fillId="0" borderId="16" xfId="0" applyFont="1" applyBorder="1" applyAlignment="1">
      <alignment horizontal="center" vertical="center" wrapText="1"/>
    </xf>
    <xf numFmtId="0" fontId="6" fillId="0" borderId="79" xfId="0" applyFont="1" applyBorder="1"/>
    <xf numFmtId="4" fontId="16" fillId="0" borderId="16" xfId="0" applyNumberFormat="1" applyFont="1" applyBorder="1" applyAlignment="1">
      <alignment horizontal="center" vertical="center" wrapText="1"/>
    </xf>
    <xf numFmtId="0" fontId="14" fillId="2" borderId="74" xfId="0" applyFont="1" applyFill="1" applyBorder="1" applyAlignment="1">
      <alignment horizontal="left" vertical="center"/>
    </xf>
    <xf numFmtId="0" fontId="6" fillId="0" borderId="75" xfId="0" applyFont="1" applyBorder="1"/>
    <xf numFmtId="0" fontId="6" fillId="0" borderId="76" xfId="0" applyFont="1" applyBorder="1"/>
    <xf numFmtId="0" fontId="14" fillId="0" borderId="9" xfId="0" applyFont="1" applyBorder="1" applyAlignment="1">
      <alignment horizontal="center" vertical="center"/>
    </xf>
    <xf numFmtId="0" fontId="14" fillId="0" borderId="9" xfId="0" applyFont="1" applyBorder="1" applyAlignment="1">
      <alignment horizontal="center"/>
    </xf>
    <xf numFmtId="0" fontId="15" fillId="6" borderId="64" xfId="0" applyFont="1" applyFill="1" applyBorder="1" applyAlignment="1">
      <alignment horizontal="center" wrapText="1"/>
    </xf>
    <xf numFmtId="0" fontId="6" fillId="0" borderId="59" xfId="0" applyFont="1" applyBorder="1"/>
    <xf numFmtId="0" fontId="15" fillId="4" borderId="46" xfId="0" applyFont="1" applyFill="1" applyBorder="1" applyAlignment="1">
      <alignment horizontal="center" wrapText="1"/>
    </xf>
    <xf numFmtId="4" fontId="16" fillId="0" borderId="77" xfId="0" applyNumberFormat="1" applyFont="1" applyBorder="1" applyAlignment="1">
      <alignment horizontal="center" vertical="center" wrapText="1"/>
    </xf>
    <xf numFmtId="0" fontId="6" fillId="0" borderId="81" xfId="0" applyFont="1" applyBorder="1"/>
    <xf numFmtId="0" fontId="14" fillId="2" borderId="90" xfId="0" applyFont="1" applyFill="1" applyBorder="1" applyAlignment="1">
      <alignment horizontal="right" vertical="center"/>
    </xf>
    <xf numFmtId="0" fontId="6" fillId="0" borderId="54" xfId="0" applyFont="1" applyBorder="1"/>
    <xf numFmtId="0" fontId="6" fillId="0" borderId="91" xfId="0" applyFont="1" applyBorder="1"/>
    <xf numFmtId="0" fontId="13" fillId="0" borderId="58" xfId="0" applyFont="1" applyBorder="1" applyAlignment="1">
      <alignment horizontal="left" vertical="center" wrapText="1"/>
    </xf>
    <xf numFmtId="0" fontId="13" fillId="0" borderId="46" xfId="0" applyFont="1" applyBorder="1" applyAlignment="1">
      <alignment horizontal="center" vertical="center" wrapText="1"/>
    </xf>
    <xf numFmtId="0" fontId="6" fillId="0" borderId="94" xfId="0" applyFont="1" applyBorder="1"/>
    <xf numFmtId="3" fontId="14" fillId="0" borderId="46" xfId="0" applyNumberFormat="1" applyFont="1" applyBorder="1" applyAlignment="1">
      <alignment horizontal="center" vertical="center"/>
    </xf>
    <xf numFmtId="0" fontId="14" fillId="0" borderId="46" xfId="0" applyFont="1" applyBorder="1" applyAlignment="1">
      <alignment horizontal="center" vertical="center" wrapText="1"/>
    </xf>
    <xf numFmtId="3" fontId="14" fillId="0" borderId="46" xfId="0" applyNumberFormat="1" applyFont="1" applyBorder="1" applyAlignment="1">
      <alignment horizontal="center" vertical="center" wrapText="1"/>
    </xf>
    <xf numFmtId="0" fontId="23" fillId="0" borderId="55" xfId="0" applyFont="1" applyBorder="1"/>
    <xf numFmtId="0" fontId="6" fillId="0" borderId="50" xfId="0" applyFont="1" applyBorder="1"/>
    <xf numFmtId="0" fontId="23" fillId="0" borderId="111" xfId="0" applyFont="1" applyBorder="1" applyAlignment="1">
      <alignment horizontal="center"/>
    </xf>
    <xf numFmtId="0" fontId="6" fillId="0" borderId="56" xfId="0" applyFont="1" applyBorder="1"/>
    <xf numFmtId="0" fontId="26" fillId="2" borderId="90" xfId="0" applyFont="1" applyFill="1" applyBorder="1" applyAlignment="1">
      <alignment horizontal="right"/>
    </xf>
    <xf numFmtId="0" fontId="6" fillId="0" borderId="112" xfId="0" applyFont="1" applyBorder="1"/>
    <xf numFmtId="0" fontId="26" fillId="0" borderId="103" xfId="0" applyFont="1" applyBorder="1" applyAlignment="1">
      <alignment horizontal="left" vertical="center"/>
    </xf>
    <xf numFmtId="0" fontId="6" fillId="0" borderId="10" xfId="0" applyFont="1" applyBorder="1"/>
    <xf numFmtId="0" fontId="26" fillId="2" borderId="58" xfId="0" applyFont="1" applyFill="1" applyBorder="1" applyAlignment="1">
      <alignment horizontal="center"/>
    </xf>
    <xf numFmtId="0" fontId="6" fillId="0" borderId="108" xfId="0" applyFont="1" applyBorder="1"/>
    <xf numFmtId="0" fontId="26" fillId="2" borderId="17" xfId="0" applyFont="1" applyFill="1" applyBorder="1" applyAlignment="1">
      <alignment horizontal="center" wrapText="1"/>
    </xf>
    <xf numFmtId="0" fontId="26" fillId="0" borderId="90" xfId="0" applyFont="1" applyBorder="1" applyAlignment="1">
      <alignment horizontal="right"/>
    </xf>
    <xf numFmtId="2" fontId="23" fillId="0" borderId="46" xfId="0" applyNumberFormat="1" applyFont="1" applyBorder="1" applyAlignment="1">
      <alignment horizontal="center"/>
    </xf>
    <xf numFmtId="0" fontId="26" fillId="2" borderId="17" xfId="0" applyFont="1" applyFill="1" applyBorder="1" applyAlignment="1">
      <alignment horizontal="center"/>
    </xf>
    <xf numFmtId="0" fontId="23" fillId="0" borderId="38" xfId="0" applyFont="1" applyBorder="1"/>
    <xf numFmtId="2" fontId="23" fillId="0" borderId="46" xfId="0" applyNumberFormat="1" applyFont="1" applyBorder="1" applyAlignment="1">
      <alignment horizontal="center" wrapText="1"/>
    </xf>
    <xf numFmtId="0" fontId="23" fillId="0" borderId="46" xfId="0" applyFont="1" applyBorder="1" applyAlignment="1">
      <alignment horizontal="center"/>
    </xf>
    <xf numFmtId="2" fontId="23" fillId="0" borderId="111" xfId="0" applyNumberFormat="1" applyFont="1" applyBorder="1" applyAlignment="1">
      <alignment horizontal="center"/>
    </xf>
    <xf numFmtId="179" fontId="23" fillId="0" borderId="46" xfId="0" applyNumberFormat="1" applyFont="1" applyBorder="1" applyAlignment="1">
      <alignment horizontal="center"/>
    </xf>
    <xf numFmtId="0" fontId="23" fillId="0" borderId="111" xfId="0" applyFont="1" applyBorder="1"/>
    <xf numFmtId="0" fontId="26" fillId="2" borderId="109" xfId="0" applyFont="1" applyFill="1" applyBorder="1" applyAlignment="1">
      <alignment horizontal="center"/>
    </xf>
    <xf numFmtId="0" fontId="6" fillId="0" borderId="110" xfId="0" applyFont="1" applyBorder="1"/>
    <xf numFmtId="0" fontId="26" fillId="0" borderId="60" xfId="0" applyFont="1" applyBorder="1" applyAlignment="1">
      <alignment horizontal="center"/>
    </xf>
    <xf numFmtId="0" fontId="26" fillId="0" borderId="60" xfId="0" applyFont="1" applyBorder="1" applyAlignment="1">
      <alignment horizontal="center" vertical="center" wrapText="1"/>
    </xf>
    <xf numFmtId="0" fontId="6" fillId="0" borderId="60" xfId="0" applyFont="1" applyBorder="1"/>
    <xf numFmtId="0" fontId="23" fillId="0" borderId="23" xfId="0" applyFont="1" applyBorder="1" applyAlignment="1">
      <alignment horizontal="center" vertical="center"/>
    </xf>
    <xf numFmtId="0" fontId="23" fillId="2" borderId="55" xfId="0" applyFont="1" applyFill="1" applyBorder="1" applyAlignment="1">
      <alignment horizontal="center" vertical="center"/>
    </xf>
    <xf numFmtId="0" fontId="6" fillId="0" borderId="105" xfId="0" applyFont="1" applyBorder="1"/>
    <xf numFmtId="0" fontId="23" fillId="0" borderId="102" xfId="0" applyFont="1" applyBorder="1" applyAlignment="1">
      <alignment horizontal="center" vertical="center"/>
    </xf>
    <xf numFmtId="0" fontId="6" fillId="0" borderId="89" xfId="0" applyFont="1" applyBorder="1"/>
    <xf numFmtId="0" fontId="26" fillId="0" borderId="9" xfId="0" applyFont="1" applyBorder="1" applyAlignment="1">
      <alignment horizontal="right" vertical="center"/>
    </xf>
    <xf numFmtId="0" fontId="26" fillId="0" borderId="103" xfId="0" applyFont="1" applyBorder="1" applyAlignment="1">
      <alignment horizontal="center"/>
    </xf>
    <xf numFmtId="0" fontId="26" fillId="2" borderId="58" xfId="0" applyFont="1" applyFill="1" applyBorder="1" applyAlignment="1">
      <alignment horizontal="center" vertical="center"/>
    </xf>
    <xf numFmtId="0" fontId="26" fillId="2" borderId="58" xfId="0" applyFont="1" applyFill="1" applyBorder="1" applyAlignment="1">
      <alignment horizontal="center" vertical="center" wrapText="1"/>
    </xf>
    <xf numFmtId="0" fontId="20" fillId="0" borderId="69" xfId="0" applyFont="1" applyBorder="1" applyAlignment="1">
      <alignment horizontal="center" wrapText="1"/>
    </xf>
    <xf numFmtId="0" fontId="25" fillId="0" borderId="15" xfId="0" applyFont="1" applyBorder="1" applyAlignment="1">
      <alignment horizontal="center"/>
    </xf>
    <xf numFmtId="0" fontId="23" fillId="6" borderId="46" xfId="0" applyFont="1" applyFill="1" applyBorder="1" applyAlignment="1">
      <alignment horizontal="center" vertical="center" wrapText="1"/>
    </xf>
    <xf numFmtId="0" fontId="26" fillId="0" borderId="99" xfId="0" applyFont="1" applyBorder="1" applyAlignment="1">
      <alignment horizontal="center"/>
    </xf>
    <xf numFmtId="0" fontId="6" fillId="0" borderId="100" xfId="0" applyFont="1" applyBorder="1"/>
    <xf numFmtId="0" fontId="23" fillId="0" borderId="99" xfId="0" applyFont="1" applyBorder="1" applyAlignment="1">
      <alignment horizontal="center" vertical="center"/>
    </xf>
    <xf numFmtId="0" fontId="6" fillId="0" borderId="101" xfId="0" applyFont="1" applyBorder="1"/>
    <xf numFmtId="0" fontId="6" fillId="0" borderId="36" xfId="0" applyFont="1" applyBorder="1"/>
    <xf numFmtId="0" fontId="23" fillId="0" borderId="64" xfId="0" applyFont="1" applyBorder="1" applyAlignment="1">
      <alignment horizontal="center" vertical="center"/>
    </xf>
    <xf numFmtId="0" fontId="26" fillId="0" borderId="9" xfId="0" applyFont="1" applyBorder="1" applyAlignment="1">
      <alignment wrapText="1"/>
    </xf>
    <xf numFmtId="0" fontId="23" fillId="0" borderId="0" xfId="0" applyFont="1" applyAlignment="1">
      <alignment horizontal="right"/>
    </xf>
    <xf numFmtId="0" fontId="23" fillId="0" borderId="10" xfId="0" applyFont="1" applyBorder="1" applyAlignment="1">
      <alignment horizontal="left"/>
    </xf>
    <xf numFmtId="179" fontId="23" fillId="0" borderId="111" xfId="0" applyNumberFormat="1" applyFont="1" applyBorder="1" applyAlignment="1">
      <alignment horizontal="center"/>
    </xf>
    <xf numFmtId="0" fontId="23" fillId="0" borderId="38" xfId="0" applyFont="1" applyBorder="1" applyAlignment="1">
      <alignment horizontal="center"/>
    </xf>
    <xf numFmtId="0" fontId="23" fillId="0" borderId="46" xfId="0" applyFont="1" applyBorder="1"/>
    <xf numFmtId="192" fontId="40" fillId="0" borderId="33" xfId="0" applyNumberFormat="1" applyFont="1" applyBorder="1" applyAlignment="1">
      <alignment horizontal="center" vertical="center"/>
    </xf>
    <xf numFmtId="0" fontId="4" fillId="0" borderId="38" xfId="0" applyFont="1" applyBorder="1" applyAlignment="1">
      <alignment horizontal="left" vertical="center" wrapText="1"/>
    </xf>
    <xf numFmtId="192" fontId="7" fillId="0" borderId="35" xfId="0" applyNumberFormat="1" applyFont="1" applyBorder="1" applyAlignment="1">
      <alignment horizontal="center" vertical="center"/>
    </xf>
    <xf numFmtId="192" fontId="7" fillId="0" borderId="30" xfId="0" applyNumberFormat="1" applyFont="1" applyBorder="1" applyAlignment="1">
      <alignment horizontal="center" vertical="center"/>
    </xf>
    <xf numFmtId="166" fontId="7" fillId="10" borderId="0" xfId="0" applyNumberFormat="1" applyFont="1" applyFill="1" applyAlignment="1">
      <alignment vertical="center"/>
    </xf>
    <xf numFmtId="166" fontId="46" fillId="0" borderId="0" xfId="0" applyNumberFormat="1" applyFont="1" applyAlignment="1">
      <alignment vertical="center"/>
    </xf>
    <xf numFmtId="192" fontId="7" fillId="2" borderId="27" xfId="0" applyNumberFormat="1" applyFont="1" applyFill="1" applyBorder="1" applyAlignment="1">
      <alignment horizontal="center" vertical="center"/>
    </xf>
    <xf numFmtId="192" fontId="7" fillId="2" borderId="30" xfId="0" applyNumberFormat="1" applyFont="1" applyFill="1" applyBorder="1" applyAlignment="1">
      <alignment horizontal="center" vertical="center"/>
    </xf>
    <xf numFmtId="192" fontId="7" fillId="0" borderId="0" xfId="0" applyNumberFormat="1" applyFont="1" applyAlignment="1">
      <alignment vertical="center"/>
    </xf>
    <xf numFmtId="192" fontId="7" fillId="18" borderId="44" xfId="0" applyNumberFormat="1" applyFont="1" applyFill="1" applyBorder="1" applyAlignment="1">
      <alignment horizontal="center" vertical="center"/>
    </xf>
    <xf numFmtId="192" fontId="7" fillId="0" borderId="45" xfId="0" applyNumberFormat="1" applyFont="1" applyBorder="1" applyAlignment="1">
      <alignment horizontal="center" vertical="center"/>
    </xf>
    <xf numFmtId="192" fontId="7" fillId="0" borderId="46" xfId="0" applyNumberFormat="1" applyFont="1" applyBorder="1" applyAlignment="1">
      <alignment horizontal="center" vertical="center"/>
    </xf>
    <xf numFmtId="192" fontId="7" fillId="18" borderId="27" xfId="0" applyNumberFormat="1" applyFont="1" applyFill="1" applyBorder="1" applyAlignment="1">
      <alignment horizontal="center" vertical="center"/>
    </xf>
    <xf numFmtId="192" fontId="7" fillId="18" borderId="30" xfId="0" applyNumberFormat="1" applyFont="1" applyFill="1" applyBorder="1" applyAlignment="1">
      <alignment horizontal="center" vertical="center"/>
    </xf>
    <xf numFmtId="192" fontId="7" fillId="0" borderId="39" xfId="0" applyNumberFormat="1" applyFont="1" applyBorder="1" applyAlignment="1">
      <alignment horizontal="center" vertical="center"/>
    </xf>
    <xf numFmtId="192" fontId="7" fillId="18" borderId="127" xfId="0" applyNumberFormat="1" applyFont="1" applyFill="1" applyBorder="1" applyAlignment="1">
      <alignment horizontal="center" vertical="center"/>
    </xf>
    <xf numFmtId="192" fontId="7" fillId="0" borderId="127" xfId="0" applyNumberFormat="1" applyFont="1" applyBorder="1" applyAlignment="1">
      <alignment horizontal="center" vertical="center"/>
    </xf>
    <xf numFmtId="192" fontId="7" fillId="0" borderId="44" xfId="0" applyNumberFormat="1" applyFont="1" applyBorder="1" applyAlignment="1">
      <alignment horizontal="center" vertical="center"/>
    </xf>
    <xf numFmtId="192" fontId="4" fillId="2" borderId="44" xfId="0" applyNumberFormat="1" applyFont="1" applyFill="1" applyBorder="1" applyAlignment="1">
      <alignment horizontal="center" vertical="center"/>
    </xf>
    <xf numFmtId="192" fontId="7" fillId="0" borderId="50" xfId="0" applyNumberFormat="1" applyFont="1" applyBorder="1" applyAlignment="1">
      <alignment horizontal="center" vertical="center"/>
    </xf>
    <xf numFmtId="192" fontId="7" fillId="0" borderId="129" xfId="0" applyNumberFormat="1" applyFont="1" applyBorder="1" applyAlignment="1">
      <alignment horizontal="center" vertical="center"/>
    </xf>
    <xf numFmtId="192" fontId="8" fillId="0" borderId="46" xfId="0" applyNumberFormat="1" applyFont="1" applyBorder="1" applyAlignment="1">
      <alignment vertical="center"/>
    </xf>
    <xf numFmtId="192" fontId="5" fillId="0" borderId="17" xfId="0" applyNumberFormat="1" applyFont="1" applyBorder="1" applyAlignment="1">
      <alignment vertical="center"/>
    </xf>
    <xf numFmtId="192" fontId="8" fillId="2" borderId="57" xfId="0" applyNumberFormat="1" applyFont="1" applyFill="1" applyBorder="1" applyAlignment="1">
      <alignment vertical="center"/>
    </xf>
  </cellXfs>
  <cellStyles count="218">
    <cellStyle name="Excel Built-in Excel Built-in Comma [0]" xfId="30" xr:uid="{EBA734F7-F5A3-41DD-89FA-DDE02CE5C39E}"/>
    <cellStyle name="Excel Built-in Excel Built-in Excel Built-in Excel Built-in Campo de la tabla dinámica" xfId="31" xr:uid="{AEE334FF-6310-45C9-AE15-1A81A0000CBF}"/>
    <cellStyle name="Excel Built-in Excel Built-in Excel Built-in Excel Built-in Categoría de la tabla dinámica" xfId="32" xr:uid="{4FB7C51C-F4E7-4E4C-B5B9-F59A910528A4}"/>
    <cellStyle name="Excel Built-in Excel Built-in Excel Built-in Excel Built-in Esquina de la tabla dinámica" xfId="33" xr:uid="{36180B48-F536-45DA-8A86-25C23338A23E}"/>
    <cellStyle name="Excel Built-in Excel Built-in Excel Built-in Excel Built-in Excel Built-in Excel Built-in Excel Built-in Excel Built-in Excel Built-in Excel Built-in Excel Built-in TableStyleLight1" xfId="34" xr:uid="{A365926B-1F3E-47F1-978B-2B902EBD02F0}"/>
    <cellStyle name="Excel Built-in Excel Built-in Excel Built-in Excel Built-in Moneda 4" xfId="35" xr:uid="{7730FFDC-A6A6-489D-A216-C2A9D9606DCA}"/>
    <cellStyle name="Excel Built-in Excel Built-in Excel Built-in Excel Built-in Normal 2" xfId="36" xr:uid="{6036EBD4-5DF1-4C0E-8EF4-42154260E3EC}"/>
    <cellStyle name="Excel Built-in Excel Built-in Excel Built-in Excel Built-in Normal 2 10" xfId="37" xr:uid="{F70FFF9A-231A-4BDE-ACD7-09AE0B86DA6F}"/>
    <cellStyle name="Excel Built-in Excel Built-in Excel Built-in Excel Built-in Normal 5" xfId="38" xr:uid="{4C368E93-298B-43B2-A59C-FE268E09AC20}"/>
    <cellStyle name="Excel Built-in Excel Built-in Excel Built-in Excel Built-in Normal 7" xfId="39" xr:uid="{9AB150D0-8AF3-4C12-A8D1-D19AA5A133D9}"/>
    <cellStyle name="Excel Built-in Excel Built-in Excel Built-in Excel Built-in Porcentual 2" xfId="40" xr:uid="{78C686EA-907B-4B0A-BB83-6B24BA8A8280}"/>
    <cellStyle name="Excel Built-in Excel Built-in Excel Built-in Excel Built-in Resultado de la tabla dinámica" xfId="41" xr:uid="{91E4DB9B-0C88-462F-A895-4E6FC178FE3D}"/>
    <cellStyle name="Excel Built-in Excel Built-in Excel Built-in Excel Built-in TableStyleLight1" xfId="42" xr:uid="{5BC3F79A-427D-4796-9D03-A8E09BE8CFE9}"/>
    <cellStyle name="Excel Built-in Excel Built-in Excel Built-in Excel Built-in Título de la tabla dinámica" xfId="43" xr:uid="{98219284-FD74-48FF-B5F0-2ADABE745E96}"/>
    <cellStyle name="Excel Built-in Excel Built-in Excel Built-in Excel Built-in Valor de la tabla dinámica" xfId="44" xr:uid="{46D7FC91-161E-4410-8FD9-4BD4EF58F1EF}"/>
    <cellStyle name="Hipervínculo 2" xfId="15" xr:uid="{00000000-0005-0000-0000-000000000000}"/>
    <cellStyle name="Millares [0] 2" xfId="45" xr:uid="{97C4FC34-6B32-4682-A2EA-D2796E38AA4A}"/>
    <cellStyle name="Millares [0] 3" xfId="197" xr:uid="{F1EFDEFB-35F5-44CF-BA17-90793DE99BC2}"/>
    <cellStyle name="Millares [0] 3 2" xfId="213" xr:uid="{89413B3F-4468-44B3-9129-714B0526A493}"/>
    <cellStyle name="Millares [0] 4" xfId="208" xr:uid="{CB779FC5-C1E6-478A-8FDC-97DCE3573697}"/>
    <cellStyle name="Millares 10" xfId="46" xr:uid="{38C5C2BE-64E3-4FD5-BF59-475B0A0CD9F4}"/>
    <cellStyle name="Millares 10 2" xfId="135" xr:uid="{3645718A-EEF6-4C81-93EC-06BBF9AC6600}"/>
    <cellStyle name="Millares 11" xfId="47" xr:uid="{79468BBE-300E-4AAA-B301-0292B7A195BF}"/>
    <cellStyle name="Millares 11 2" xfId="136" xr:uid="{E39B2073-FC7B-4CA6-B565-C35EA2D4ECC6}"/>
    <cellStyle name="Millares 12" xfId="48" xr:uid="{8563657A-7476-482C-A2F2-2E796EBE101D}"/>
    <cellStyle name="Millares 12 2" xfId="137" xr:uid="{ED85E0CC-2057-48AB-8206-0DD76AF1E3C7}"/>
    <cellStyle name="Millares 13" xfId="49" xr:uid="{8ED25E17-A252-45D2-8CD2-E90CE9A53A77}"/>
    <cellStyle name="Millares 13 2" xfId="138" xr:uid="{7D9986B1-E363-4B20-B8D6-83CCB4826834}"/>
    <cellStyle name="Millares 14" xfId="50" xr:uid="{163E85A3-BB73-4733-A49C-D7F1928D9138}"/>
    <cellStyle name="Millares 14 2" xfId="139" xr:uid="{98E3AAB5-D65D-4907-99BD-F7117A663B98}"/>
    <cellStyle name="Millares 15" xfId="51" xr:uid="{4C9734DF-8833-469A-BDE2-09CA631CAA9C}"/>
    <cellStyle name="Millares 15 2" xfId="140" xr:uid="{4ABD15CC-2730-4205-B1D4-94BCFC9B6B54}"/>
    <cellStyle name="Millares 16" xfId="52" xr:uid="{9B46FE40-BD46-47D1-B99C-7F3C00BC0ED7}"/>
    <cellStyle name="Millares 16 2" xfId="141" xr:uid="{2146ECFA-1331-42C1-BD1E-B0A24C58C0AE}"/>
    <cellStyle name="Millares 17" xfId="53" xr:uid="{9D212FF5-E780-4970-945B-E7888D57F4A7}"/>
    <cellStyle name="Millares 17 2" xfId="142" xr:uid="{FBEFAE41-5940-457F-93DC-FA478B747DF5}"/>
    <cellStyle name="Millares 18" xfId="54" xr:uid="{9A4716BE-8447-45D5-9DCC-09897A50AC47}"/>
    <cellStyle name="Millares 18 2" xfId="143" xr:uid="{4C2AA65D-539F-4701-87A5-408EB47F0DD2}"/>
    <cellStyle name="Millares 19" xfId="55" xr:uid="{1DCE74BB-F4EB-48DF-84C3-01A296F27648}"/>
    <cellStyle name="Millares 19 2" xfId="144" xr:uid="{188CCDC5-CCA7-4A8C-98EC-F96FBA6BE426}"/>
    <cellStyle name="Millares 2" xfId="56" xr:uid="{8CE71A9F-6D48-473F-B4CA-9672B66CA6BD}"/>
    <cellStyle name="Millares 2 2" xfId="13" xr:uid="{00000000-0005-0000-0000-000001000000}"/>
    <cellStyle name="Millares 2 2 2" xfId="57" xr:uid="{F657328B-FC6D-4FB0-A733-932C3698B07B}"/>
    <cellStyle name="Millares 20" xfId="58" xr:uid="{3EB63434-5948-468F-97B0-AF34AC45E7EF}"/>
    <cellStyle name="Millares 20 2" xfId="145" xr:uid="{87A8B39D-77C4-4F62-B472-78187A78111D}"/>
    <cellStyle name="Millares 21" xfId="59" xr:uid="{4F997E27-C67D-4A56-9ED2-061700849068}"/>
    <cellStyle name="Millares 21 2" xfId="146" xr:uid="{B67DD0E2-CEC7-4625-9CCC-6A7F82242526}"/>
    <cellStyle name="Millares 22" xfId="60" xr:uid="{92F0AD3A-0C17-4F7A-A222-92515122B331}"/>
    <cellStyle name="Millares 22 2" xfId="147" xr:uid="{5AF42BA6-4BB5-49F0-97F1-A73F9DCAD2AC}"/>
    <cellStyle name="Millares 23" xfId="61" xr:uid="{2787A805-574F-48F9-AD25-675733C3E6A7}"/>
    <cellStyle name="Millares 23 2" xfId="148" xr:uid="{D12585C5-FA75-4BD9-8E0D-96D52C643AFD}"/>
    <cellStyle name="Millares 24" xfId="62" xr:uid="{2097A3AB-D8E2-40D2-963C-84D848CD1296}"/>
    <cellStyle name="Millares 24 2" xfId="149" xr:uid="{FA4C7C06-5417-4DBB-B53E-B5B18F9B5DF8}"/>
    <cellStyle name="Millares 25" xfId="63" xr:uid="{E0E103EA-339D-4906-99A2-6D6DFF71616D}"/>
    <cellStyle name="Millares 25 2" xfId="150" xr:uid="{ECE25431-842D-4222-8CA4-1C16DCF08E35}"/>
    <cellStyle name="Millares 26" xfId="64" xr:uid="{9EDEB019-3465-4F24-A18F-994F3814BCEA}"/>
    <cellStyle name="Millares 26 2" xfId="151" xr:uid="{201A3831-BAA3-4BBF-9C59-65B7AA2D1784}"/>
    <cellStyle name="Millares 27" xfId="65" xr:uid="{2C3E8A8E-25C0-41EB-97F8-09B06D60CBAB}"/>
    <cellStyle name="Millares 27 2" xfId="152" xr:uid="{BAA4A079-7C79-4EF0-9CB2-10A5A822DF05}"/>
    <cellStyle name="Millares 28" xfId="66" xr:uid="{89455DCD-D48C-4838-8DB3-8039EC36F193}"/>
    <cellStyle name="Millares 28 2" xfId="153" xr:uid="{E2E47B27-FF40-4E40-A4CD-91AD61F93037}"/>
    <cellStyle name="Millares 29" xfId="67" xr:uid="{6BF28CEA-7FB7-4D77-92B6-C602BB89E7A4}"/>
    <cellStyle name="Millares 29 2" xfId="154" xr:uid="{5F3D1FCA-4160-4504-920C-0B3C925E8820}"/>
    <cellStyle name="Millares 3" xfId="68" xr:uid="{C81B89DD-69BA-479B-9EEA-B924B2885AD9}"/>
    <cellStyle name="Millares 30" xfId="69" xr:uid="{FF63EE7F-B984-49C8-B8E7-F33C81A756DD}"/>
    <cellStyle name="Millares 30 2" xfId="155" xr:uid="{F1A5174D-2B14-4B78-8DF9-186A9105EBC4}"/>
    <cellStyle name="Millares 31" xfId="70" xr:uid="{06D1789A-BF1D-4579-A47E-A7653A1A81A3}"/>
    <cellStyle name="Millares 31 2" xfId="156" xr:uid="{3B4ADB34-9C7D-46BA-80E0-56DDC808E731}"/>
    <cellStyle name="Millares 32" xfId="71" xr:uid="{E19BAC25-C489-4175-A4EA-CCB818913DBF}"/>
    <cellStyle name="Millares 32 2" xfId="157" xr:uid="{0E7E015C-EA93-440E-A491-92331A2B46D5}"/>
    <cellStyle name="Millares 33" xfId="72" xr:uid="{BAEB2F81-8EB0-4F7D-82E3-1DA5ACC4F65C}"/>
    <cellStyle name="Millares 33 2" xfId="158" xr:uid="{B171A2D0-DBED-4A11-9B1E-8C1895BC3CE2}"/>
    <cellStyle name="Millares 34" xfId="73" xr:uid="{0D82DB3B-36BE-4F11-9D90-A28B7C83EE3D}"/>
    <cellStyle name="Millares 34 2" xfId="159" xr:uid="{D314F6CA-9910-4EF3-84B7-0EA165F2A03E}"/>
    <cellStyle name="Millares 35" xfId="74" xr:uid="{84D1235A-1B46-44F4-A9B0-04049750927A}"/>
    <cellStyle name="Millares 35 2" xfId="160" xr:uid="{BEAC4A40-5CA9-4AA1-AA29-D08F3B9F05DD}"/>
    <cellStyle name="Millares 36" xfId="75" xr:uid="{1E8843C6-992B-4F00-BCF4-B09B5CEEE8C6}"/>
    <cellStyle name="Millares 36 2" xfId="161" xr:uid="{4A7A414C-DA1C-474B-B75E-06817768575D}"/>
    <cellStyle name="Millares 37" xfId="76" xr:uid="{E5386AFE-A0D6-40DA-9D80-E15FEF5542C8}"/>
    <cellStyle name="Millares 37 2" xfId="162" xr:uid="{E0E628AB-56EB-417A-BAF3-D11BDE0B17A4}"/>
    <cellStyle name="Millares 38" xfId="77" xr:uid="{BB64A94F-CE23-43D9-B3D7-B9FF5521D3F9}"/>
    <cellStyle name="Millares 38 2" xfId="163" xr:uid="{E8C46D0E-D18A-4F3A-BB27-A6FFBF96ED16}"/>
    <cellStyle name="Millares 39" xfId="78" xr:uid="{12E4321B-2C0D-4EE7-822F-B05EB29E2087}"/>
    <cellStyle name="Millares 39 2" xfId="164" xr:uid="{01069FDB-4F88-4F08-80AE-A3E2BC96E305}"/>
    <cellStyle name="Millares 4" xfId="79" xr:uid="{A0B4FAA3-17C6-49F2-A126-1ACC3557694D}"/>
    <cellStyle name="Millares 40" xfId="80" xr:uid="{D7B323DD-CBA0-4847-AF8C-4CD6BF15B1DA}"/>
    <cellStyle name="Millares 40 2" xfId="165" xr:uid="{D76781E4-0888-4C2A-8D0F-FDB9B7C44FC7}"/>
    <cellStyle name="Millares 41" xfId="81" xr:uid="{166FACC1-649E-49D7-AC74-B35CC3282FA6}"/>
    <cellStyle name="Millares 41 2" xfId="166" xr:uid="{12B2CC20-4433-4321-A3C5-E406B346D829}"/>
    <cellStyle name="Millares 42" xfId="82" xr:uid="{7EEBA40D-9233-4B64-AD6B-2F23FF3C42FB}"/>
    <cellStyle name="Millares 42 2" xfId="167" xr:uid="{EBF9AA6F-29F3-4634-9DE9-192EC63A9E85}"/>
    <cellStyle name="Millares 43" xfId="83" xr:uid="{58E351EE-7F87-47BB-8E4D-6736B6BAFFCE}"/>
    <cellStyle name="Millares 43 2" xfId="168" xr:uid="{D2F481C7-6EBB-4330-B3BB-1E24CE1084DD}"/>
    <cellStyle name="Millares 44" xfId="84" xr:uid="{B5A87582-E50C-4D2D-9603-E40D50F5015E}"/>
    <cellStyle name="Millares 44 2" xfId="169" xr:uid="{6B39A1F5-FD4A-4A3B-8DBA-E6FCC25DDB35}"/>
    <cellStyle name="Millares 45" xfId="85" xr:uid="{E8AFCFF6-56E2-4D74-98B0-3C42A53B6A34}"/>
    <cellStyle name="Millares 45 2" xfId="170" xr:uid="{D92ACE66-97DA-4759-82B9-02567DFD353A}"/>
    <cellStyle name="Millares 46" xfId="86" xr:uid="{C192A817-815B-4E12-8E32-5FA827EEDC59}"/>
    <cellStyle name="Millares 46 2" xfId="171" xr:uid="{3FFF7DF3-F871-4EEA-B667-4180DDE5DA47}"/>
    <cellStyle name="Millares 47" xfId="87" xr:uid="{F5B64377-3127-4BF0-8E9E-62646ED33FF8}"/>
    <cellStyle name="Millares 47 2" xfId="172" xr:uid="{EAC76CB7-E47F-4197-AB4D-45EB625C5262}"/>
    <cellStyle name="Millares 48" xfId="88" xr:uid="{E0329ADE-B25A-4B8D-9599-5A251959255D}"/>
    <cellStyle name="Millares 48 2" xfId="173" xr:uid="{CAA1BAF6-3A95-45E5-9909-C16B220A7126}"/>
    <cellStyle name="Millares 49" xfId="89" xr:uid="{9D6EB893-2B41-454A-A078-9FBD7278DFAC}"/>
    <cellStyle name="Millares 49 2" xfId="174" xr:uid="{6F48ED3B-3022-4468-93C5-1A0B40944327}"/>
    <cellStyle name="Millares 5" xfId="90" xr:uid="{3A76356C-D1EE-4063-AE87-1862A7770D75}"/>
    <cellStyle name="Millares 50" xfId="91" xr:uid="{274DE648-8A8E-48F7-99DC-79FC8A6C8410}"/>
    <cellStyle name="Millares 50 2" xfId="175" xr:uid="{09858E44-0231-4A4A-8AF7-9325F2E21561}"/>
    <cellStyle name="Millares 51" xfId="92" xr:uid="{825DB6E7-6C98-4DFB-9614-16D3D3E30297}"/>
    <cellStyle name="Millares 51 2" xfId="176" xr:uid="{FF127E5D-A698-4504-8437-925FAB42A6EE}"/>
    <cellStyle name="Millares 52" xfId="93" xr:uid="{52691AA4-A442-49F4-86DB-5195DFEA81A6}"/>
    <cellStyle name="Millares 52 2" xfId="177" xr:uid="{9CC8D4DF-9DF3-43AA-A7C4-9C4FD931608C}"/>
    <cellStyle name="Millares 53" xfId="94" xr:uid="{42D4C027-491E-4ED0-9C5B-85E9E062D6FB}"/>
    <cellStyle name="Millares 53 2" xfId="178" xr:uid="{41DD9972-6237-451F-8EFE-0391E69AEC24}"/>
    <cellStyle name="Millares 54" xfId="95" xr:uid="{D7BB26AC-89A5-41CE-B3AA-D6559F564800}"/>
    <cellStyle name="Millares 54 2" xfId="179" xr:uid="{531AC27B-E0C4-452F-B88D-AAEE1A146101}"/>
    <cellStyle name="Millares 55" xfId="96" xr:uid="{5507AF8B-27E4-4EC1-BB17-1519340B860C}"/>
    <cellStyle name="Millares 55 2" xfId="180" xr:uid="{E474D3C8-7DA1-4F33-A292-E81221F21537}"/>
    <cellStyle name="Millares 56" xfId="97" xr:uid="{C2E3EF94-A59C-4385-BE0D-ACE05EEFC4F2}"/>
    <cellStyle name="Millares 56 2" xfId="181" xr:uid="{DB5F2188-C11D-4114-9C2C-E3CAF766D28F}"/>
    <cellStyle name="Millares 57" xfId="98" xr:uid="{F6E91CC7-7766-431D-9C68-6EADA0177BD1}"/>
    <cellStyle name="Millares 57 2" xfId="182" xr:uid="{18ADF1B3-0DE9-46C2-AC25-73339F3228A9}"/>
    <cellStyle name="Millares 58" xfId="99" xr:uid="{72A1330A-D130-4D2F-BDE9-BB3A3F5BDB00}"/>
    <cellStyle name="Millares 58 2" xfId="183" xr:uid="{A433EA21-9C8D-4A73-824B-A2A227151455}"/>
    <cellStyle name="Millares 59" xfId="100" xr:uid="{ED19B777-090A-460D-9A98-C734C9D9777D}"/>
    <cellStyle name="Millares 59 2" xfId="184" xr:uid="{68ABBF28-738B-47C5-9D49-ACBFE59291B4}"/>
    <cellStyle name="Millares 6" xfId="101" xr:uid="{B1D146D1-2425-4442-B73A-933F0D7999BE}"/>
    <cellStyle name="Millares 6 2" xfId="185" xr:uid="{173AFA0D-81C7-424E-9F56-3A8E41F5CB6E}"/>
    <cellStyle name="Millares 60" xfId="102" xr:uid="{DEED8096-2836-4317-B6F4-897E1FB70C17}"/>
    <cellStyle name="Millares 60 2" xfId="186" xr:uid="{B3A6EA6A-1EFF-4E77-BA50-AAB0CA597AA3}"/>
    <cellStyle name="Millares 61" xfId="103" xr:uid="{2C52CEDF-8E49-454E-95BA-4E3F530DAF38}"/>
    <cellStyle name="Millares 61 2" xfId="187" xr:uid="{2DEB57BA-DA71-4B11-A02D-2F8F1DC58E6C}"/>
    <cellStyle name="Millares 62" xfId="104" xr:uid="{A5A4CCAA-8410-4AA9-B987-763E62C8B181}"/>
    <cellStyle name="Millares 62 2" xfId="188" xr:uid="{6CB7B1F8-B7CD-4C9B-87DA-8072AFF304A6}"/>
    <cellStyle name="Millares 63" xfId="105" xr:uid="{E9E2004B-923C-4C87-A559-FAAEAB83DA2E}"/>
    <cellStyle name="Millares 63 2" xfId="189" xr:uid="{4B55C363-C46A-45F5-A017-EBA3B06CDBB3}"/>
    <cellStyle name="Millares 64" xfId="215" xr:uid="{75D4C6E2-2344-4F91-B33D-8A0A1D4AE0C2}"/>
    <cellStyle name="Millares 7" xfId="106" xr:uid="{B247DC35-7585-4010-8F9A-3DC7E687FB43}"/>
    <cellStyle name="Millares 7 2" xfId="190" xr:uid="{2D6B6361-A0CE-4A32-B278-7E63B7B9AEBE}"/>
    <cellStyle name="Millares 8" xfId="107" xr:uid="{641EFB83-7CD5-44F9-8EDD-A6AFFAF7107E}"/>
    <cellStyle name="Millares 8 2" xfId="191" xr:uid="{7781803A-06DB-4C5C-B6DE-6D0958D02524}"/>
    <cellStyle name="Millares 9" xfId="108" xr:uid="{4ACA683B-CAC7-4792-865D-9197A9F552A8}"/>
    <cellStyle name="Millares 9 2" xfId="192" xr:uid="{5C248D00-6857-484D-A0E5-08D5BEF62275}"/>
    <cellStyle name="Moneda [0]" xfId="28" builtinId="7"/>
    <cellStyle name="Moneda [0] 2" xfId="202" xr:uid="{0B78D645-1D78-485E-906A-81AC0AD6E4BB}"/>
    <cellStyle name="Moneda 2" xfId="14" xr:uid="{00000000-0005-0000-0000-000003000000}"/>
    <cellStyle name="Moneda 2 2" xfId="110" xr:uid="{AE0EC286-1506-431E-AD36-02E31EF6B62F}"/>
    <cellStyle name="Moneda 2 2 2 2 2" xfId="8" xr:uid="{00000000-0005-0000-0000-000004000000}"/>
    <cellStyle name="Moneda 2 3" xfId="109" xr:uid="{40D6FEA4-D6BE-48F4-B43E-32511228553A}"/>
    <cellStyle name="Moneda 3" xfId="25" xr:uid="{00000000-0005-0000-0000-000005000000}"/>
    <cellStyle name="Moneda 3 2" xfId="112" xr:uid="{9D124263-D7A2-47B4-AF04-42AFD6E64DFF}"/>
    <cellStyle name="Moneda 3 3" xfId="111" xr:uid="{7E1F2A8C-F80F-4EE8-BC9E-80160A2F4E26}"/>
    <cellStyle name="Moneda 4" xfId="113" xr:uid="{E48803BF-B069-4D33-ABEA-20D6279A17F0}"/>
    <cellStyle name="Moneda 4 2" xfId="193" xr:uid="{14C0ED6E-E703-47D8-AD92-5453A8020896}"/>
    <cellStyle name="Moneda 4 2 2" xfId="209" xr:uid="{AC10741D-CAC2-4CA7-9D29-6C7331F52AFE}"/>
    <cellStyle name="Moneda 4 3" xfId="203" xr:uid="{50666D0C-81F8-410F-9BB4-ED9BE85D6E33}"/>
    <cellStyle name="Moneda 5" xfId="6" xr:uid="{00000000-0005-0000-0000-000006000000}"/>
    <cellStyle name="Moneda 5 2" xfId="22" xr:uid="{00000000-0005-0000-0000-000007000000}"/>
    <cellStyle name="Moneda 6" xfId="216" xr:uid="{CF5668FC-CDA8-4361-B3CA-65C300C4D5A6}"/>
    <cellStyle name="Normal" xfId="0" builtinId="0"/>
    <cellStyle name="Normal 10" xfId="2" xr:uid="{00000000-0005-0000-0000-000009000000}"/>
    <cellStyle name="Normal 10 2" xfId="17" xr:uid="{00000000-0005-0000-0000-00000A000000}"/>
    <cellStyle name="Normal 10 3" xfId="20" xr:uid="{00000000-0005-0000-0000-00000B000000}"/>
    <cellStyle name="Normal 10 4" xfId="199" xr:uid="{86917E46-1BE8-4573-9C5A-A9AFAB8565D0}"/>
    <cellStyle name="Normal 11" xfId="201" xr:uid="{8D249687-66F3-43E8-A6AF-1EDBEBCAFDA2}"/>
    <cellStyle name="Normal 12" xfId="200" xr:uid="{B3D0628C-BBA9-4639-8115-C2746C8C7B8E}"/>
    <cellStyle name="Normal 13" xfId="29" xr:uid="{49E8E7C8-1E38-4DEC-AB7D-B61AB0C94EA7}"/>
    <cellStyle name="Normal 2" xfId="1" xr:uid="{00000000-0005-0000-0000-00000C000000}"/>
    <cellStyle name="Normal 2 10" xfId="114" xr:uid="{70B4D383-38A2-4627-948F-1046C12D1AE6}"/>
    <cellStyle name="Normal 2 10 2 2" xfId="4" xr:uid="{00000000-0005-0000-0000-00000D000000}"/>
    <cellStyle name="Normal 2 10 3" xfId="5" xr:uid="{00000000-0005-0000-0000-00000E000000}"/>
    <cellStyle name="Normal 2 2" xfId="115" xr:uid="{C70ECB76-6910-4790-9BE3-41B0B3623694}"/>
    <cellStyle name="Normal 2 2 2" xfId="10" xr:uid="{00000000-0005-0000-0000-00000F000000}"/>
    <cellStyle name="Normal 2 3" xfId="116" xr:uid="{F0A5A8DE-0D40-43CD-977B-EF3CF64BC7EB}"/>
    <cellStyle name="Normal 2 6" xfId="12" xr:uid="{00000000-0005-0000-0000-000010000000}"/>
    <cellStyle name="Normal 3" xfId="19" xr:uid="{00000000-0005-0000-0000-000011000000}"/>
    <cellStyle name="Normal 3 11 2" xfId="11" xr:uid="{00000000-0005-0000-0000-000012000000}"/>
    <cellStyle name="Normal 3 11 2 2" xfId="24" xr:uid="{00000000-0005-0000-0000-000013000000}"/>
    <cellStyle name="Normal 3 2" xfId="131" xr:uid="{23CDB032-0B2A-4B74-8B7A-6D99B9853178}"/>
    <cellStyle name="Normal 3 2 2" xfId="7" xr:uid="{00000000-0005-0000-0000-000014000000}"/>
    <cellStyle name="Normal 3 3" xfId="117" xr:uid="{FDDC6B2C-1AC3-4043-BF48-5272E744904B}"/>
    <cellStyle name="Normal 3 4" xfId="3" xr:uid="{00000000-0005-0000-0000-000015000000}"/>
    <cellStyle name="Normal 3 4 2" xfId="21" xr:uid="{00000000-0005-0000-0000-000016000000}"/>
    <cellStyle name="Normal 4" xfId="118" xr:uid="{E2E50346-B883-43B7-8069-ECA608B5910A}"/>
    <cellStyle name="Normal 4 2" xfId="119" xr:uid="{30B8653C-414E-4C6B-8868-AACBF9F6DF14}"/>
    <cellStyle name="Normal 5" xfId="18" xr:uid="{00000000-0005-0000-0000-000017000000}"/>
    <cellStyle name="Normal 5 2" xfId="27" xr:uid="{00000000-0005-0000-0000-000018000000}"/>
    <cellStyle name="Normal 5 2 2" xfId="121" xr:uid="{CC9914C8-71A6-4672-ACFB-53E9EEBB7CE1}"/>
    <cellStyle name="Normal 5 3" xfId="194" xr:uid="{B799B91E-E479-4688-AB2B-CCB82679E9D6}"/>
    <cellStyle name="Normal 5 3 2" xfId="210" xr:uid="{C0D9EEE7-00E1-4C70-962A-266717BEE9AF}"/>
    <cellStyle name="Normal 5 4" xfId="204" xr:uid="{2B3B1C3B-7156-45C8-8ACC-C3EF740EDABD}"/>
    <cellStyle name="Normal 5 5" xfId="120" xr:uid="{ADDB3830-5C1B-4FD0-80C8-7773BE31A5C3}"/>
    <cellStyle name="Normal 6" xfId="122" xr:uid="{C1A4E405-E27C-4959-9D3A-F91CD053640E}"/>
    <cellStyle name="Normal 6 2" xfId="123" xr:uid="{E26E3697-D87C-432D-BD1F-C806B225D71B}"/>
    <cellStyle name="Normal 7" xfId="133" xr:uid="{086E23D2-CD2D-48CE-9F4E-2CFA130848A5}"/>
    <cellStyle name="Normal 7 2" xfId="195" xr:uid="{B06C245E-AC4E-4C1F-B7BA-8046DA165C60}"/>
    <cellStyle name="Normal 7 2 2" xfId="211" xr:uid="{60BE6CEE-B35C-4B63-AE00-F75C9970A30C}"/>
    <cellStyle name="Normal 7 3" xfId="206" xr:uid="{C975DB0D-5D75-403A-9F4C-34C5DA0BF6D9}"/>
    <cellStyle name="Normal 8" xfId="132" xr:uid="{BD43F7F2-8158-41A4-AADD-BD9E1E6000BC}"/>
    <cellStyle name="Normal 9" xfId="198" xr:uid="{E09A1CC8-B6BF-4C82-98FF-AAD28BFECE11}"/>
    <cellStyle name="Normal 9 2" xfId="214" xr:uid="{72D8FF63-6837-4BAB-A138-EB2C365C419C}"/>
    <cellStyle name="Porcentaje 2" xfId="16" xr:uid="{00000000-0005-0000-0000-000019000000}"/>
    <cellStyle name="Porcentaje 2 2" xfId="124" xr:uid="{3EA7A5DB-54D9-4878-9F1A-690AFEE15F1C}"/>
    <cellStyle name="Porcentaje 3" xfId="26" xr:uid="{00000000-0005-0000-0000-00001A000000}"/>
    <cellStyle name="Porcentaje 3 2" xfId="125" xr:uid="{9A0357E1-20D4-4427-BB54-CFC9FDDA9B80}"/>
    <cellStyle name="Porcentaje 4" xfId="134" xr:uid="{74CCFF0A-8A0C-484E-A65B-6FB8D743DF4A}"/>
    <cellStyle name="Porcentaje 4 2" xfId="196" xr:uid="{DBF9C3E8-B951-45A5-BD24-9FBEAB0EA8D6}"/>
    <cellStyle name="Porcentaje 4 2 2" xfId="212" xr:uid="{80165F9C-76B0-4C99-9841-CDF5F6B7AB1D}"/>
    <cellStyle name="Porcentaje 4 3" xfId="207" xr:uid="{EA253A95-B5DE-4A60-A5BD-DDBFE2356B78}"/>
    <cellStyle name="Porcentaje 5" xfId="205" xr:uid="{20141CE9-B87C-4CD7-B6E9-E35062DB1E0E}"/>
    <cellStyle name="Porcentaje 6" xfId="9" xr:uid="{00000000-0005-0000-0000-00001B000000}"/>
    <cellStyle name="Porcentaje 6 2" xfId="23" xr:uid="{00000000-0005-0000-0000-00001C000000}"/>
    <cellStyle name="Porcentaje 7" xfId="217" xr:uid="{7FED6DD4-0DA7-4C31-881A-158B800172E7}"/>
    <cellStyle name="Porcentual 2" xfId="126" xr:uid="{B8F2085D-A800-4DC8-BB22-DB085B739A2E}"/>
    <cellStyle name="Porcentual 2 2" xfId="127" xr:uid="{1B671B8A-F444-4EBE-A7F0-4D55A61F2B63}"/>
    <cellStyle name="Porcentual 3" xfId="128" xr:uid="{09525E73-D8A9-46C7-AB70-40EE285CD304}"/>
    <cellStyle name="TableStyleLight1" xfId="129" xr:uid="{1B2C33F9-A5C8-404F-8213-BF6A115154E1}"/>
    <cellStyle name="TableStyleLight1 2" xfId="130" xr:uid="{C24762A7-98D6-4418-8F6F-5B498AF36EE4}"/>
  </cellStyles>
  <dxfs count="3">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700EEEFF-205A-410A-8831-5A5A6402D91E}">
      <tableStyleElement type="wholeTable" dxfId="2"/>
    </tableStyle>
    <tableStyle name="Estilo de segmentación de datos 2" pivot="0" table="0" count="1" xr9:uid="{14C5D828-2FD4-4825-BC46-135B4055627E}">
      <tableStyleElement type="wholeTable" dxfId="1"/>
    </tableStyle>
    <tableStyle name="Estilo de segmentación de datos 3" pivot="0" table="0" count="1" xr9:uid="{EFB2FFB5-EFD2-4C1C-A9B8-7DD25A1EFCF7}">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485775</xdr:colOff>
      <xdr:row>2</xdr:row>
      <xdr:rowOff>504825</xdr:rowOff>
    </xdr:from>
    <xdr:ext cx="971550" cy="5334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13020675" y="781050"/>
          <a:ext cx="971550" cy="53340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8</xdr:col>
      <xdr:colOff>485775</xdr:colOff>
      <xdr:row>2</xdr:row>
      <xdr:rowOff>504825</xdr:rowOff>
    </xdr:from>
    <xdr:ext cx="971550" cy="5334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12973050" y="885825"/>
          <a:ext cx="971550" cy="53340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8</xdr:col>
      <xdr:colOff>485775</xdr:colOff>
      <xdr:row>2</xdr:row>
      <xdr:rowOff>504825</xdr:rowOff>
    </xdr:from>
    <xdr:ext cx="971550" cy="53340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13020675" y="781050"/>
          <a:ext cx="971550" cy="53340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8</xdr:col>
      <xdr:colOff>485775</xdr:colOff>
      <xdr:row>2</xdr:row>
      <xdr:rowOff>504825</xdr:rowOff>
    </xdr:from>
    <xdr:ext cx="971550" cy="53340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xfrm>
          <a:off x="13020675" y="781050"/>
          <a:ext cx="971550" cy="53340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6</xdr:col>
      <xdr:colOff>152400</xdr:colOff>
      <xdr:row>16</xdr:row>
      <xdr:rowOff>142875</xdr:rowOff>
    </xdr:from>
    <xdr:ext cx="295275" cy="266700"/>
    <xdr:sp macro="" textlink="">
      <xdr:nvSpPr>
        <xdr:cNvPr id="2" name="Check Box 5" hidden="1">
          <a:extLst>
            <a:ext uri="{FF2B5EF4-FFF2-40B4-BE49-F238E27FC236}">
              <a16:creationId xmlns:a16="http://schemas.microsoft.com/office/drawing/2014/main" id="{00000000-0008-0000-0500-000002000000}"/>
            </a:ext>
          </a:extLst>
        </xdr:cNvPr>
        <xdr:cNvSpPr/>
      </xdr:nvSpPr>
      <xdr:spPr bwMode="auto">
        <a:xfrm>
          <a:off x="4171950" y="3581400"/>
          <a:ext cx="295275" cy="241301"/>
        </a:xfrm>
        <a:prstGeom prst="rect">
          <a:avLst/>
        </a:prstGeom>
        <a:noFill/>
        <a:ln>
          <a:noFill/>
        </a:ln>
      </xdr:spPr>
    </xdr:sp>
    <xdr:clientData fLocksWithSheet="0"/>
  </xdr:oneCellAnchor>
  <xdr:oneCellAnchor>
    <xdr:from>
      <xdr:col>10</xdr:col>
      <xdr:colOff>152400</xdr:colOff>
      <xdr:row>16</xdr:row>
      <xdr:rowOff>142875</xdr:rowOff>
    </xdr:from>
    <xdr:ext cx="295275" cy="266700"/>
    <xdr:sp macro="" textlink="">
      <xdr:nvSpPr>
        <xdr:cNvPr id="3" name="Check Box 6" hidden="1">
          <a:extLst>
            <a:ext uri="{FF2B5EF4-FFF2-40B4-BE49-F238E27FC236}">
              <a16:creationId xmlns:a16="http://schemas.microsoft.com/office/drawing/2014/main" id="{00000000-0008-0000-0500-000003000000}"/>
            </a:ext>
          </a:extLst>
        </xdr:cNvPr>
        <xdr:cNvSpPr/>
      </xdr:nvSpPr>
      <xdr:spPr bwMode="auto">
        <a:xfrm>
          <a:off x="7219950" y="3581400"/>
          <a:ext cx="295275" cy="241301"/>
        </a:xfrm>
        <a:prstGeom prst="rect">
          <a:avLst/>
        </a:prstGeom>
        <a:noFill/>
        <a:ln>
          <a:noFill/>
        </a:ln>
      </xdr:spPr>
    </xdr: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gelica\Documents\1.%20WILL\2.FDLU\ACUEDUCTOS%202025\2.%20Formulacion%20Acueductos%202025%20(2)\Formulacion%20Acueductos%202025%20%2008%20JULIO%202025\APUS\2.%20ANALISIS%20DE%20PRECIOS%20UNITARIOS%20BATERIA%20GEL%2012V%201007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ngelica\Documents\1.%20WILL\2.FDLU\ACUEDUCTOS%202025\2.%20Formulacion%20Acueductos%202025%20(2)\Formulacion%20Acueductos%202025%20%2008%20JULIO%202025\APUS\3.%20ANALISIS%20DE%20PRECIOS%20UNITARIOS%20P&#193;NELES%20SOLARES%2010072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ngelica\Documents\1.%20WILL\2.FDLU\ACUEDUCTOS%202025\2.%20Formulacion%20Acueductos%202025%20(2)\Formulacion%20Acueductos%202025%20%2008%20JULIO%202025\APUS\1.%20ANALISIS%20DE%20PRECIOS%20UNITARIOS%20TUBERIA%20PE%20FDLU%2009072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Administrador\Downloads\APU-PERFORACION\APU%20-%20PERFORACI&#211;N%20HORIZONTAL%20DIRIGID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Angelica\Documents\1.%20WILL\2.FDLU\ACUEDUCTOS%202025\2.%20Formulacion%20Acueductos%202025%20(2)\Formulacion%20Acueductos%202025%20%2008%20JULIO%202025\APUS\4.%20ANALISIS%20DE%20PRECIOS%20UNITARIOS%20IMPERMEABILIZACI&#211;N%20TK%201007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1 BATERIA  "/>
    </sheetNames>
    <sheetDataSet>
      <sheetData sheetId="0" refreshError="1">
        <row r="36">
          <cell r="H36">
            <v>1004556</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1 PANEL S 300W "/>
    </sheetNames>
    <sheetDataSet>
      <sheetData sheetId="0" refreshError="1">
        <row r="36">
          <cell r="H36">
            <v>344556</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E 1"/>
      <sheetName val="APU PE 2"/>
      <sheetName val="APU PE 3"/>
      <sheetName val="APU PE 4"/>
    </sheetNames>
    <sheetDataSet>
      <sheetData sheetId="0" refreshError="1">
        <row r="36">
          <cell r="H36">
            <v>6470</v>
          </cell>
        </row>
      </sheetData>
      <sheetData sheetId="1" refreshError="1">
        <row r="36">
          <cell r="H36">
            <v>8692</v>
          </cell>
        </row>
      </sheetData>
      <sheetData sheetId="2" refreshError="1">
        <row r="36">
          <cell r="H36">
            <v>20715</v>
          </cell>
        </row>
      </sheetData>
      <sheetData sheetId="3" refreshError="1">
        <row r="36">
          <cell r="H36">
            <v>33393</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FORACION H.2&quot;SR "/>
      <sheetName val="PERFORACION H.3&quot;SR"/>
      <sheetName val="PERFORACION H.4&quot;SR "/>
      <sheetName val="PERFORACION H.6&quot;SR "/>
      <sheetName val="PERFORACION H.2&quot;CR  "/>
      <sheetName val="PERFORACION H.3&quot;CR "/>
      <sheetName val="PERFORACION H.4&quot;CR"/>
      <sheetName val="PERFORACION H.6&quot;CR "/>
    </sheetNames>
    <sheetDataSet>
      <sheetData sheetId="0" refreshError="1">
        <row r="56">
          <cell r="O56">
            <v>867717.88767848106</v>
          </cell>
        </row>
      </sheetData>
      <sheetData sheetId="1" refreshError="1">
        <row r="56">
          <cell r="O56">
            <v>1017717.8876784811</v>
          </cell>
        </row>
      </sheetData>
      <sheetData sheetId="2" refreshError="1">
        <row r="56">
          <cell r="O56">
            <v>1217717.8876784812</v>
          </cell>
        </row>
      </sheetData>
      <sheetData sheetId="3" refreshError="1">
        <row r="56">
          <cell r="O56">
            <v>1667717.8876784812</v>
          </cell>
        </row>
      </sheetData>
      <sheetData sheetId="4" refreshError="1">
        <row r="56">
          <cell r="O56">
            <v>1617717.8876784812</v>
          </cell>
        </row>
      </sheetData>
      <sheetData sheetId="5" refreshError="1">
        <row r="56">
          <cell r="O56">
            <v>2267717.8876784812</v>
          </cell>
        </row>
      </sheetData>
      <sheetData sheetId="6" refreshError="1">
        <row r="56">
          <cell r="O56">
            <v>2857717.8876784807</v>
          </cell>
        </row>
      </sheetData>
      <sheetData sheetId="7" refreshError="1">
        <row r="56">
          <cell r="O56">
            <v>4037717.8876784807</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IMPERM TK"/>
    </sheetNames>
    <sheetDataSet>
      <sheetData sheetId="0" refreshError="1">
        <row r="37">
          <cell r="H37">
            <v>67036</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A1:N332"/>
  <sheetViews>
    <sheetView tabSelected="1" topLeftCell="D1" zoomScale="70" zoomScaleNormal="70" workbookViewId="0">
      <pane ySplit="9" topLeftCell="A302" activePane="bottomLeft" state="frozen"/>
      <selection pane="bottomLeft" activeCell="R312" sqref="R312"/>
    </sheetView>
  </sheetViews>
  <sheetFormatPr baseColWidth="10" defaultColWidth="12.5703125" defaultRowHeight="15" customHeight="1" x14ac:dyDescent="0.25"/>
  <cols>
    <col min="1" max="1" width="10" customWidth="1"/>
    <col min="2" max="2" width="13.85546875" customWidth="1"/>
    <col min="3" max="3" width="17.7109375" bestFit="1" customWidth="1"/>
    <col min="4" max="4" width="11.85546875" customWidth="1"/>
    <col min="5" max="5" width="97.85546875" customWidth="1"/>
    <col min="6" max="6" width="10" customWidth="1"/>
    <col min="7" max="7" width="13" customWidth="1"/>
    <col min="8" max="8" width="20" customWidth="1"/>
    <col min="9" max="9" width="27" customWidth="1"/>
    <col min="10" max="10" width="27" hidden="1" customWidth="1"/>
    <col min="11" max="11" width="16.42578125" style="400" hidden="1" customWidth="1"/>
    <col min="12" max="12" width="20.140625" hidden="1" customWidth="1"/>
    <col min="13" max="13" width="18.5703125" hidden="1" customWidth="1"/>
    <col min="14" max="14" width="18.28515625" hidden="1" customWidth="1"/>
    <col min="15" max="15" width="0" hidden="1" customWidth="1"/>
  </cols>
  <sheetData>
    <row r="1" spans="1:13" ht="6.75" customHeight="1" thickBot="1" x14ac:dyDescent="0.3">
      <c r="A1" s="1"/>
      <c r="B1" s="1"/>
      <c r="C1" s="2"/>
      <c r="D1" s="1"/>
      <c r="E1" s="1"/>
      <c r="F1" s="1"/>
      <c r="G1" s="1"/>
      <c r="H1" s="1"/>
      <c r="I1" s="1"/>
      <c r="J1" s="3"/>
      <c r="K1" s="398"/>
      <c r="L1" s="4"/>
      <c r="M1" s="4"/>
    </row>
    <row r="2" spans="1:13" x14ac:dyDescent="0.25">
      <c r="A2" s="547" t="s">
        <v>0</v>
      </c>
      <c r="B2" s="548"/>
      <c r="C2" s="549"/>
      <c r="D2" s="550" t="s">
        <v>1</v>
      </c>
      <c r="E2" s="551"/>
      <c r="F2" s="551"/>
      <c r="G2" s="551"/>
      <c r="H2" s="551"/>
      <c r="I2" s="552"/>
      <c r="J2" s="3"/>
      <c r="K2" s="398"/>
      <c r="L2" s="4"/>
      <c r="M2" s="4"/>
    </row>
    <row r="3" spans="1:13" ht="49.5" customHeight="1" x14ac:dyDescent="0.25">
      <c r="A3" s="5" t="s">
        <v>2</v>
      </c>
      <c r="B3" s="6" t="s">
        <v>3</v>
      </c>
      <c r="C3" s="6">
        <v>1</v>
      </c>
      <c r="D3" s="553"/>
      <c r="E3" s="553"/>
      <c r="F3" s="553"/>
      <c r="G3" s="553"/>
      <c r="H3" s="553"/>
      <c r="I3" s="554"/>
      <c r="J3" s="546">
        <v>1384004700</v>
      </c>
      <c r="K3" s="398"/>
      <c r="L3" s="4"/>
      <c r="M3" s="4"/>
    </row>
    <row r="4" spans="1:13" x14ac:dyDescent="0.25">
      <c r="A4" s="555" t="s">
        <v>4</v>
      </c>
      <c r="B4" s="553"/>
      <c r="C4" s="553"/>
      <c r="D4" s="553"/>
      <c r="E4" s="553"/>
      <c r="F4" s="553"/>
      <c r="G4" s="553"/>
      <c r="H4" s="553"/>
      <c r="I4" s="554"/>
      <c r="J4" s="3"/>
      <c r="K4" s="398"/>
      <c r="L4" s="4"/>
      <c r="M4" s="4"/>
    </row>
    <row r="5" spans="1:13" ht="15.75" thickBot="1" x14ac:dyDescent="0.3">
      <c r="A5" s="556" t="s">
        <v>5</v>
      </c>
      <c r="B5" s="557"/>
      <c r="C5" s="557"/>
      <c r="D5" s="557"/>
      <c r="E5" s="557"/>
      <c r="F5" s="557"/>
      <c r="G5" s="557"/>
      <c r="H5" s="557"/>
      <c r="I5" s="558"/>
      <c r="J5" s="3"/>
      <c r="K5" s="398"/>
      <c r="L5" s="4"/>
      <c r="M5" s="4"/>
    </row>
    <row r="6" spans="1:13" ht="15" customHeight="1" x14ac:dyDescent="0.25">
      <c r="A6" s="7"/>
      <c r="B6" s="8"/>
      <c r="C6" s="9"/>
      <c r="D6" s="9"/>
      <c r="E6" s="9"/>
      <c r="F6" s="9"/>
      <c r="G6" s="9"/>
      <c r="H6" s="9"/>
      <c r="I6" s="9"/>
      <c r="J6" s="3"/>
      <c r="K6" s="398"/>
      <c r="L6" s="4"/>
      <c r="M6" s="4"/>
    </row>
    <row r="7" spans="1:13" ht="15.75" thickBot="1" x14ac:dyDescent="0.3">
      <c r="A7" s="10"/>
      <c r="B7" s="11"/>
      <c r="C7" s="12"/>
      <c r="D7" s="12"/>
      <c r="E7" s="12"/>
      <c r="F7" s="12"/>
      <c r="G7" s="12"/>
      <c r="H7" s="12"/>
      <c r="I7" s="12"/>
      <c r="J7" s="3"/>
      <c r="K7" s="398"/>
      <c r="L7" s="4"/>
      <c r="M7" s="4"/>
    </row>
    <row r="8" spans="1:13" ht="15" customHeight="1" x14ac:dyDescent="0.25">
      <c r="A8" s="559" t="s">
        <v>6</v>
      </c>
      <c r="B8" s="561" t="s">
        <v>7</v>
      </c>
      <c r="C8" s="563" t="s">
        <v>8</v>
      </c>
      <c r="D8" s="564"/>
      <c r="E8" s="565" t="s">
        <v>9</v>
      </c>
      <c r="F8" s="561" t="s">
        <v>10</v>
      </c>
      <c r="G8" s="561" t="s">
        <v>11</v>
      </c>
      <c r="H8" s="567" t="s">
        <v>12</v>
      </c>
      <c r="I8" s="568" t="s">
        <v>13</v>
      </c>
      <c r="J8" s="3" t="s">
        <v>570</v>
      </c>
      <c r="K8" s="398"/>
      <c r="L8" s="4"/>
      <c r="M8" s="4"/>
    </row>
    <row r="9" spans="1:13" ht="30" x14ac:dyDescent="0.25">
      <c r="A9" s="560"/>
      <c r="B9" s="562"/>
      <c r="C9" s="13" t="s">
        <v>15</v>
      </c>
      <c r="D9" s="14" t="s">
        <v>16</v>
      </c>
      <c r="E9" s="560"/>
      <c r="F9" s="566"/>
      <c r="G9" s="566"/>
      <c r="H9" s="566"/>
      <c r="I9" s="569"/>
      <c r="J9" s="15">
        <v>1.3035000000000001</v>
      </c>
      <c r="K9" s="398"/>
      <c r="L9" s="4"/>
      <c r="M9" s="4"/>
    </row>
    <row r="10" spans="1:13" x14ac:dyDescent="0.25">
      <c r="A10" s="16"/>
      <c r="B10" s="17">
        <v>1</v>
      </c>
      <c r="C10" s="18"/>
      <c r="D10" s="19"/>
      <c r="E10" s="20" t="s">
        <v>17</v>
      </c>
      <c r="F10" s="21"/>
      <c r="G10" s="19"/>
      <c r="H10" s="22"/>
      <c r="I10" s="19"/>
      <c r="J10" s="23"/>
      <c r="K10" s="398"/>
      <c r="L10" s="4"/>
      <c r="M10" s="4"/>
    </row>
    <row r="11" spans="1:13" x14ac:dyDescent="0.25">
      <c r="A11" s="24"/>
      <c r="B11" s="25" t="s">
        <v>18</v>
      </c>
      <c r="C11" s="26"/>
      <c r="D11" s="27"/>
      <c r="E11" s="28" t="s">
        <v>19</v>
      </c>
      <c r="F11" s="29"/>
      <c r="G11" s="27"/>
      <c r="H11" s="30"/>
      <c r="I11" s="27"/>
      <c r="J11" s="23"/>
      <c r="K11" s="398"/>
      <c r="L11" s="4"/>
      <c r="M11" s="4"/>
    </row>
    <row r="12" spans="1:13" x14ac:dyDescent="0.25">
      <c r="A12" s="31">
        <v>1</v>
      </c>
      <c r="B12" s="32" t="s">
        <v>20</v>
      </c>
      <c r="C12" s="33" t="s">
        <v>21</v>
      </c>
      <c r="D12" s="33"/>
      <c r="E12" s="34" t="s">
        <v>22</v>
      </c>
      <c r="F12" s="32" t="s">
        <v>23</v>
      </c>
      <c r="G12" s="33">
        <f>+'PRESUPUESTO OFICIAL AGUAS DORAD'!G12+'PRESUPUESTO OFICIAL EL DESTINO'!G12+'PRESUPUESTO LAS MARGARITAS'!G12</f>
        <v>3812.5509299999999</v>
      </c>
      <c r="H12" s="384">
        <v>12426</v>
      </c>
      <c r="I12" s="673">
        <f>+ROUND((L12*G12),0)</f>
        <v>61751887</v>
      </c>
      <c r="J12" s="3">
        <f>+H12*J9</f>
        <v>16197.291000000001</v>
      </c>
      <c r="K12" s="398"/>
      <c r="L12" s="3">
        <f>++ROUND(J12,0)</f>
        <v>16197</v>
      </c>
      <c r="M12" s="4"/>
    </row>
    <row r="13" spans="1:13" x14ac:dyDescent="0.25">
      <c r="A13" s="31">
        <v>2</v>
      </c>
      <c r="B13" s="32" t="s">
        <v>24</v>
      </c>
      <c r="C13" s="33" t="s">
        <v>21</v>
      </c>
      <c r="D13" s="33"/>
      <c r="E13" s="34" t="s">
        <v>25</v>
      </c>
      <c r="F13" s="32" t="s">
        <v>26</v>
      </c>
      <c r="G13" s="33">
        <f>+'PRESUPUESTO OFICIAL AGUAS DORAD'!G13+'PRESUPUESTO OFICIAL EL DESTINO'!G13+'PRESUPUESTO LAS MARGARITAS'!G13</f>
        <v>28</v>
      </c>
      <c r="H13" s="35">
        <v>15249</v>
      </c>
      <c r="I13" s="673">
        <f t="shared" ref="I13:I16" si="0">+ROUND((L13*G13),0)</f>
        <v>556556</v>
      </c>
      <c r="J13" s="3">
        <f>+H13*J9</f>
        <v>19877.071500000002</v>
      </c>
      <c r="K13" s="398"/>
      <c r="L13" s="3">
        <f t="shared" ref="L13:L16" si="1">++ROUND(J13,0)</f>
        <v>19877</v>
      </c>
      <c r="M13" s="4"/>
    </row>
    <row r="14" spans="1:13" x14ac:dyDescent="0.25">
      <c r="A14" s="31">
        <v>2</v>
      </c>
      <c r="B14" s="32" t="s">
        <v>27</v>
      </c>
      <c r="C14" s="33" t="s">
        <v>21</v>
      </c>
      <c r="D14" s="33"/>
      <c r="E14" s="34" t="s">
        <v>28</v>
      </c>
      <c r="F14" s="32" t="s">
        <v>23</v>
      </c>
      <c r="G14" s="33">
        <f>+'PRESUPUESTO OFICIAL AGUAS DORAD'!G14+'PRESUPUESTO OFICIAL EL DESTINO'!G14+'PRESUPUESTO LAS MARGARITAS'!G14</f>
        <v>35</v>
      </c>
      <c r="H14" s="35">
        <v>11382</v>
      </c>
      <c r="I14" s="673">
        <f t="shared" si="0"/>
        <v>519260</v>
      </c>
      <c r="J14" s="3">
        <f>+H14*J9</f>
        <v>14836.437000000002</v>
      </c>
      <c r="K14" s="398"/>
      <c r="L14" s="3">
        <f t="shared" si="1"/>
        <v>14836</v>
      </c>
      <c r="M14" s="4"/>
    </row>
    <row r="15" spans="1:13" x14ac:dyDescent="0.25">
      <c r="A15" s="31">
        <v>3</v>
      </c>
      <c r="B15" s="32" t="s">
        <v>29</v>
      </c>
      <c r="C15" s="33" t="s">
        <v>21</v>
      </c>
      <c r="D15" s="33"/>
      <c r="E15" s="34" t="s">
        <v>30</v>
      </c>
      <c r="F15" s="32" t="s">
        <v>23</v>
      </c>
      <c r="G15" s="33">
        <f>+'PRESUPUESTO OFICIAL AGUAS DORAD'!G15+'PRESUPUESTO OFICIAL EL DESTINO'!G15+'PRESUPUESTO LAS MARGARITAS'!G15</f>
        <v>40</v>
      </c>
      <c r="H15" s="35">
        <v>48825</v>
      </c>
      <c r="I15" s="673">
        <f t="shared" si="0"/>
        <v>2545720</v>
      </c>
      <c r="J15" s="3">
        <f>+H15*J9</f>
        <v>63643.387500000004</v>
      </c>
      <c r="K15" s="398"/>
      <c r="L15" s="3">
        <f t="shared" si="1"/>
        <v>63643</v>
      </c>
      <c r="M15" s="4"/>
    </row>
    <row r="16" spans="1:13" x14ac:dyDescent="0.25">
      <c r="A16" s="31">
        <v>4</v>
      </c>
      <c r="B16" s="32" t="s">
        <v>31</v>
      </c>
      <c r="C16" s="33" t="s">
        <v>21</v>
      </c>
      <c r="D16" s="33"/>
      <c r="E16" s="34" t="s">
        <v>32</v>
      </c>
      <c r="F16" s="32" t="s">
        <v>23</v>
      </c>
      <c r="G16" s="33">
        <f>+'PRESUPUESTO OFICIAL AGUAS DORAD'!G16+'PRESUPUESTO OFICIAL EL DESTINO'!G16+'PRESUPUESTO LAS MARGARITAS'!G16</f>
        <v>30</v>
      </c>
      <c r="H16" s="35">
        <v>61031</v>
      </c>
      <c r="I16" s="673">
        <f t="shared" si="0"/>
        <v>2386620</v>
      </c>
      <c r="J16" s="3">
        <f>+H16*J9</f>
        <v>79553.908500000005</v>
      </c>
      <c r="K16" s="398"/>
      <c r="L16" s="3">
        <f t="shared" si="1"/>
        <v>79554</v>
      </c>
      <c r="M16" s="4"/>
    </row>
    <row r="17" spans="1:13" x14ac:dyDescent="0.25">
      <c r="A17" s="36" t="s">
        <v>33</v>
      </c>
      <c r="B17" s="37"/>
      <c r="C17" s="38"/>
      <c r="D17" s="38"/>
      <c r="E17" s="39"/>
      <c r="F17" s="37"/>
      <c r="G17" s="38"/>
      <c r="H17" s="40"/>
      <c r="I17" s="675">
        <f>SUM(I12:I16)</f>
        <v>67760043</v>
      </c>
      <c r="J17" s="42"/>
      <c r="K17" s="398">
        <f>+'PRESUPUESTO OFICIAL AGUAS DORAD'!I17+'PRESUPUESTO OFICIAL EL DESTINO'!I17+'PRESUPUESTO LAS MARGARITAS'!I17</f>
        <v>63235633.717530631</v>
      </c>
      <c r="L17" s="4"/>
      <c r="M17" s="4"/>
    </row>
    <row r="18" spans="1:13" x14ac:dyDescent="0.25">
      <c r="A18" s="16"/>
      <c r="B18" s="17">
        <v>2</v>
      </c>
      <c r="C18" s="19"/>
      <c r="D18" s="19"/>
      <c r="E18" s="20" t="s">
        <v>34</v>
      </c>
      <c r="F18" s="21"/>
      <c r="G18" s="19"/>
      <c r="H18" s="43"/>
      <c r="I18" s="679"/>
      <c r="J18" s="23"/>
      <c r="K18" s="398"/>
      <c r="L18" s="4"/>
      <c r="M18" s="4"/>
    </row>
    <row r="19" spans="1:13" x14ac:dyDescent="0.25">
      <c r="A19" s="24"/>
      <c r="B19" s="25" t="s">
        <v>35</v>
      </c>
      <c r="C19" s="27"/>
      <c r="D19" s="27"/>
      <c r="E19" s="28" t="s">
        <v>36</v>
      </c>
      <c r="F19" s="29"/>
      <c r="G19" s="27"/>
      <c r="H19" s="45"/>
      <c r="I19" s="680"/>
      <c r="J19" s="23"/>
      <c r="K19" s="398"/>
      <c r="L19" s="4"/>
      <c r="M19" s="4"/>
    </row>
    <row r="20" spans="1:13" x14ac:dyDescent="0.25">
      <c r="A20" s="31">
        <v>5</v>
      </c>
      <c r="B20" s="32" t="s">
        <v>37</v>
      </c>
      <c r="C20" s="33" t="s">
        <v>21</v>
      </c>
      <c r="D20" s="1"/>
      <c r="E20" s="47" t="s">
        <v>38</v>
      </c>
      <c r="F20" s="48" t="s">
        <v>39</v>
      </c>
      <c r="G20" s="49">
        <f>+'PRESUPUESTO OFICIAL AGUAS DORAD'!G20+'PRESUPUESTO OFICIAL EL DESTINO'!G20+'PRESUPUESTO LAS MARGARITAS'!G20</f>
        <v>15</v>
      </c>
      <c r="H20" s="35">
        <v>121340</v>
      </c>
      <c r="I20" s="673">
        <f t="shared" ref="I20:I26" si="2">+ROUND((L20*G20),0)</f>
        <v>2372505</v>
      </c>
      <c r="J20" s="3">
        <f>+H20*J9</f>
        <v>158166.69</v>
      </c>
      <c r="K20" s="398"/>
      <c r="L20" s="3">
        <f t="shared" ref="L20:L83" si="3">++ROUND(J20,0)</f>
        <v>158167</v>
      </c>
      <c r="M20" s="4"/>
    </row>
    <row r="21" spans="1:13" ht="15.75" customHeight="1" x14ac:dyDescent="0.25">
      <c r="A21" s="31">
        <v>6</v>
      </c>
      <c r="B21" s="32" t="s">
        <v>40</v>
      </c>
      <c r="C21" s="33" t="s">
        <v>21</v>
      </c>
      <c r="D21" s="1"/>
      <c r="E21" s="34" t="s">
        <v>41</v>
      </c>
      <c r="F21" s="32" t="s">
        <v>39</v>
      </c>
      <c r="G21" s="49">
        <f>+'PRESUPUESTO OFICIAL AGUAS DORAD'!G21+'PRESUPUESTO OFICIAL EL DESTINO'!G21+'PRESUPUESTO LAS MARGARITAS'!G21</f>
        <v>21</v>
      </c>
      <c r="H21" s="35">
        <v>110429</v>
      </c>
      <c r="I21" s="673">
        <f t="shared" si="2"/>
        <v>3022824</v>
      </c>
      <c r="J21" s="3">
        <f>+H21*J9</f>
        <v>143944.20150000002</v>
      </c>
      <c r="K21" s="398"/>
      <c r="L21" s="3">
        <f t="shared" si="3"/>
        <v>143944</v>
      </c>
      <c r="M21" s="4"/>
    </row>
    <row r="22" spans="1:13" ht="15.75" customHeight="1" x14ac:dyDescent="0.25">
      <c r="A22" s="31">
        <v>7</v>
      </c>
      <c r="B22" s="96" t="s">
        <v>40</v>
      </c>
      <c r="C22" s="33" t="s">
        <v>21</v>
      </c>
      <c r="D22" s="1"/>
      <c r="E22" s="34" t="s">
        <v>43</v>
      </c>
      <c r="F22" s="32" t="s">
        <v>44</v>
      </c>
      <c r="G22" s="49">
        <f>+'PRESUPUESTO OFICIAL AGUAS DORAD'!G22+'PRESUPUESTO OFICIAL EL DESTINO'!G22+'PRESUPUESTO LAS MARGARITAS'!G22</f>
        <v>11</v>
      </c>
      <c r="H22" s="35">
        <v>74832</v>
      </c>
      <c r="I22" s="673">
        <f t="shared" si="2"/>
        <v>1072984</v>
      </c>
      <c r="J22" s="3">
        <f>+H22*J9</f>
        <v>97543.512000000002</v>
      </c>
      <c r="K22" s="398"/>
      <c r="L22" s="3">
        <f t="shared" si="3"/>
        <v>97544</v>
      </c>
      <c r="M22" s="4"/>
    </row>
    <row r="23" spans="1:13" ht="15.75" customHeight="1" x14ac:dyDescent="0.25">
      <c r="A23" s="31">
        <v>8</v>
      </c>
      <c r="B23" s="32" t="s">
        <v>45</v>
      </c>
      <c r="C23" s="33" t="s">
        <v>21</v>
      </c>
      <c r="D23" s="1"/>
      <c r="E23" s="34" t="s">
        <v>46</v>
      </c>
      <c r="F23" s="32" t="s">
        <v>39</v>
      </c>
      <c r="G23" s="49">
        <f>+'PRESUPUESTO OFICIAL AGUAS DORAD'!G23+'PRESUPUESTO OFICIAL EL DESTINO'!G23+'PRESUPUESTO LAS MARGARITAS'!G23</f>
        <v>21</v>
      </c>
      <c r="H23" s="35">
        <v>128491</v>
      </c>
      <c r="I23" s="673">
        <f t="shared" si="2"/>
        <v>3517248</v>
      </c>
      <c r="J23" s="3">
        <f>+H23*J9</f>
        <v>167488.01850000001</v>
      </c>
      <c r="K23" s="398"/>
      <c r="L23" s="3">
        <f t="shared" si="3"/>
        <v>167488</v>
      </c>
      <c r="M23" s="4"/>
    </row>
    <row r="24" spans="1:13" ht="14.25" customHeight="1" x14ac:dyDescent="0.25">
      <c r="A24" s="31">
        <v>9</v>
      </c>
      <c r="B24" s="96" t="s">
        <v>42</v>
      </c>
      <c r="C24" s="33" t="s">
        <v>21</v>
      </c>
      <c r="D24" s="1"/>
      <c r="E24" s="34" t="s">
        <v>48</v>
      </c>
      <c r="F24" s="32" t="s">
        <v>39</v>
      </c>
      <c r="G24" s="49">
        <f>+'PRESUPUESTO OFICIAL AGUAS DORAD'!G24+'PRESUPUESTO OFICIAL EL DESTINO'!G24+'PRESUPUESTO LAS MARGARITAS'!G24</f>
        <v>16</v>
      </c>
      <c r="H24" s="35">
        <v>76623</v>
      </c>
      <c r="I24" s="673">
        <f t="shared" si="2"/>
        <v>1598048</v>
      </c>
      <c r="J24" s="3">
        <f>+H24*J9</f>
        <v>99878.080500000011</v>
      </c>
      <c r="K24" s="398"/>
      <c r="L24" s="3">
        <f t="shared" si="3"/>
        <v>99878</v>
      </c>
      <c r="M24" s="4"/>
    </row>
    <row r="25" spans="1:13" ht="15.75" customHeight="1" x14ac:dyDescent="0.25">
      <c r="A25" s="31">
        <v>10</v>
      </c>
      <c r="B25" s="96" t="s">
        <v>45</v>
      </c>
      <c r="C25" s="33" t="s">
        <v>21</v>
      </c>
      <c r="D25" s="1"/>
      <c r="E25" s="34" t="s">
        <v>49</v>
      </c>
      <c r="F25" s="32" t="s">
        <v>26</v>
      </c>
      <c r="G25" s="49">
        <f>+'PRESUPUESTO OFICIAL AGUAS DORAD'!G25+'PRESUPUESTO OFICIAL EL DESTINO'!G25+'PRESUPUESTO LAS MARGARITAS'!G25</f>
        <v>52</v>
      </c>
      <c r="H25" s="35">
        <v>11042</v>
      </c>
      <c r="I25" s="673">
        <f t="shared" si="2"/>
        <v>748436</v>
      </c>
      <c r="J25" s="3">
        <f>+H25*J9</f>
        <v>14393.247000000001</v>
      </c>
      <c r="K25" s="398"/>
      <c r="L25" s="3">
        <f t="shared" si="3"/>
        <v>14393</v>
      </c>
      <c r="M25" s="4"/>
    </row>
    <row r="26" spans="1:13" ht="15.75" customHeight="1" x14ac:dyDescent="0.25">
      <c r="A26" s="31">
        <v>11</v>
      </c>
      <c r="B26" s="96" t="s">
        <v>47</v>
      </c>
      <c r="C26" s="33" t="s">
        <v>21</v>
      </c>
      <c r="D26" s="1"/>
      <c r="E26" s="50" t="s">
        <v>50</v>
      </c>
      <c r="F26" s="51" t="s">
        <v>26</v>
      </c>
      <c r="G26" s="49">
        <f>+'PRESUPUESTO OFICIAL AGUAS DORAD'!G26+'PRESUPUESTO OFICIAL EL DESTINO'!G26+'PRESUPUESTO LAS MARGARITAS'!G26</f>
        <v>60</v>
      </c>
      <c r="H26" s="35">
        <v>30516</v>
      </c>
      <c r="I26" s="673">
        <f t="shared" si="2"/>
        <v>2386680</v>
      </c>
      <c r="J26" s="3">
        <f>+H26*J9</f>
        <v>39777.606</v>
      </c>
      <c r="K26" s="398"/>
      <c r="L26" s="3">
        <f t="shared" si="3"/>
        <v>39778</v>
      </c>
      <c r="M26" s="4"/>
    </row>
    <row r="27" spans="1:13" ht="15.75" customHeight="1" x14ac:dyDescent="0.25">
      <c r="A27" s="53" t="s">
        <v>33</v>
      </c>
      <c r="B27" s="54"/>
      <c r="C27" s="55"/>
      <c r="D27" s="55"/>
      <c r="E27" s="56"/>
      <c r="F27" s="54"/>
      <c r="G27" s="55"/>
      <c r="H27" s="57"/>
      <c r="I27" s="681">
        <f>SUM(I20:I26)</f>
        <v>14718725</v>
      </c>
      <c r="J27" s="3"/>
      <c r="K27" s="398">
        <f>+'PRESUPUESTO OFICIAL AGUAS DORAD'!I27+'PRESUPUESTO OFICIAL EL DESTINO'!I27+'PRESUPUESTO LAS MARGARITAS'!I27</f>
        <v>14718710.094000001</v>
      </c>
      <c r="L27" s="3">
        <f t="shared" si="3"/>
        <v>0</v>
      </c>
      <c r="M27" s="4"/>
    </row>
    <row r="28" spans="1:13" ht="15.75" customHeight="1" x14ac:dyDescent="0.25">
      <c r="A28" s="16"/>
      <c r="B28" s="17">
        <v>4</v>
      </c>
      <c r="C28" s="19"/>
      <c r="D28" s="19"/>
      <c r="E28" s="20" t="s">
        <v>51</v>
      </c>
      <c r="F28" s="21"/>
      <c r="G28" s="19"/>
      <c r="H28" s="43"/>
      <c r="I28" s="679"/>
      <c r="J28" s="23"/>
      <c r="K28" s="398"/>
      <c r="L28" s="3">
        <f t="shared" si="3"/>
        <v>0</v>
      </c>
      <c r="M28" s="4"/>
    </row>
    <row r="29" spans="1:13" ht="15.75" customHeight="1" x14ac:dyDescent="0.25">
      <c r="A29" s="24"/>
      <c r="B29" s="25" t="s">
        <v>52</v>
      </c>
      <c r="C29" s="27"/>
      <c r="D29" s="27"/>
      <c r="E29" s="28" t="s">
        <v>53</v>
      </c>
      <c r="F29" s="29"/>
      <c r="G29" s="27"/>
      <c r="H29" s="58"/>
      <c r="I29" s="680"/>
      <c r="J29" s="23"/>
      <c r="K29" s="398"/>
      <c r="L29" s="3">
        <f t="shared" si="3"/>
        <v>0</v>
      </c>
      <c r="M29" s="4"/>
    </row>
    <row r="30" spans="1:13" ht="15.75" customHeight="1" x14ac:dyDescent="0.25">
      <c r="A30" s="31">
        <v>12</v>
      </c>
      <c r="B30" s="32" t="s">
        <v>54</v>
      </c>
      <c r="C30" s="33" t="s">
        <v>21</v>
      </c>
      <c r="D30" s="1"/>
      <c r="E30" s="47" t="s">
        <v>55</v>
      </c>
      <c r="F30" s="48" t="s">
        <v>39</v>
      </c>
      <c r="G30" s="49">
        <f>+'PRESUPUESTO OFICIAL AGUAS DORAD'!G30+'PRESUPUESTO OFICIAL EL DESTINO'!G30+'PRESUPUESTO LAS MARGARITAS'!G30</f>
        <v>400.68749999999994</v>
      </c>
      <c r="H30" s="59">
        <v>61280</v>
      </c>
      <c r="I30" s="673">
        <f t="shared" ref="I30:I32" si="4">+ROUND((L30*G30),0)</f>
        <v>32006116</v>
      </c>
      <c r="J30" s="3">
        <f>+H30*J9</f>
        <v>79878.48000000001</v>
      </c>
      <c r="K30" s="398"/>
      <c r="L30" s="3">
        <f t="shared" si="3"/>
        <v>79878</v>
      </c>
      <c r="M30" s="4"/>
    </row>
    <row r="31" spans="1:13" ht="15.75" customHeight="1" x14ac:dyDescent="0.25">
      <c r="A31" s="31">
        <v>13</v>
      </c>
      <c r="B31" s="32" t="s">
        <v>56</v>
      </c>
      <c r="C31" s="33" t="s">
        <v>21</v>
      </c>
      <c r="D31" s="1"/>
      <c r="E31" s="34" t="s">
        <v>57</v>
      </c>
      <c r="F31" s="32" t="s">
        <v>39</v>
      </c>
      <c r="G31" s="33">
        <f>+'PRESUPUESTO OFICIAL AGUAS DORAD'!G31+'PRESUPUESTO OFICIAL EL DESTINO'!G31+'PRESUPUESTO LAS MARGARITAS'!G31</f>
        <v>21</v>
      </c>
      <c r="H31" s="35">
        <v>54933</v>
      </c>
      <c r="I31" s="673">
        <f t="shared" si="4"/>
        <v>1503705</v>
      </c>
      <c r="J31" s="3">
        <f>+H31*J9</f>
        <v>71605.165500000003</v>
      </c>
      <c r="K31" s="398"/>
      <c r="L31" s="3">
        <f t="shared" si="3"/>
        <v>71605</v>
      </c>
      <c r="M31" s="4"/>
    </row>
    <row r="32" spans="1:13" ht="15.75" customHeight="1" x14ac:dyDescent="0.25">
      <c r="A32" s="31">
        <v>14</v>
      </c>
      <c r="B32" s="96" t="s">
        <v>56</v>
      </c>
      <c r="C32" s="33" t="s">
        <v>21</v>
      </c>
      <c r="D32" s="49"/>
      <c r="E32" s="50" t="s">
        <v>58</v>
      </c>
      <c r="F32" s="51" t="s">
        <v>39</v>
      </c>
      <c r="G32" s="52">
        <f>+'PRESUPUESTO OFICIAL AGUAS DORAD'!G32+'PRESUPUESTO OFICIAL EL DESTINO'!G32+'PRESUPUESTO LAS MARGARITAS'!G32</f>
        <v>27</v>
      </c>
      <c r="H32" s="60">
        <v>70628</v>
      </c>
      <c r="I32" s="673">
        <f t="shared" si="4"/>
        <v>2485728</v>
      </c>
      <c r="J32" s="3">
        <f>+H32*J9</f>
        <v>92063.598000000013</v>
      </c>
      <c r="K32" s="398"/>
      <c r="L32" s="3">
        <f t="shared" si="3"/>
        <v>92064</v>
      </c>
      <c r="M32" s="4"/>
    </row>
    <row r="33" spans="1:13" ht="15.75" customHeight="1" x14ac:dyDescent="0.25">
      <c r="A33" s="53" t="s">
        <v>33</v>
      </c>
      <c r="B33" s="54"/>
      <c r="C33" s="55"/>
      <c r="D33" s="1"/>
      <c r="E33" s="39"/>
      <c r="F33" s="37"/>
      <c r="G33" s="38"/>
      <c r="H33" s="61"/>
      <c r="I33" s="676">
        <f>SUM(I30:I32)</f>
        <v>35995549</v>
      </c>
      <c r="J33" s="3"/>
      <c r="K33" s="398">
        <f>+'PRESUPUESTO OFICIAL AGUAS DORAD'!I33+'PRESUPUESTO OFICIAL EL DESTINO'!I33+'PRESUPUESTO LAS MARGARITAS'!I33</f>
        <v>35995734.076499999</v>
      </c>
      <c r="L33" s="3">
        <f t="shared" si="3"/>
        <v>0</v>
      </c>
      <c r="M33" s="4"/>
    </row>
    <row r="34" spans="1:13" ht="15.75" customHeight="1" x14ac:dyDescent="0.25">
      <c r="A34" s="63"/>
      <c r="B34" s="64" t="s">
        <v>59</v>
      </c>
      <c r="C34" s="65"/>
      <c r="D34" s="65"/>
      <c r="E34" s="66" t="s">
        <v>60</v>
      </c>
      <c r="F34" s="67"/>
      <c r="G34" s="65"/>
      <c r="H34" s="68"/>
      <c r="I34" s="682"/>
      <c r="J34" s="23"/>
      <c r="K34" s="398"/>
      <c r="L34" s="3">
        <f t="shared" si="3"/>
        <v>0</v>
      </c>
      <c r="M34" s="4"/>
    </row>
    <row r="35" spans="1:13" ht="15.75" customHeight="1" x14ac:dyDescent="0.25">
      <c r="A35" s="31">
        <v>15</v>
      </c>
      <c r="B35" s="32" t="s">
        <v>61</v>
      </c>
      <c r="C35" s="33" t="s">
        <v>21</v>
      </c>
      <c r="D35" s="1"/>
      <c r="E35" s="47" t="s">
        <v>62</v>
      </c>
      <c r="F35" s="48" t="s">
        <v>39</v>
      </c>
      <c r="G35" s="49">
        <f>+'PRESUPUESTO OFICIAL AGUAS DORAD'!G35+'PRESUPUESTO OFICIAL EL DESTINO'!G35+'PRESUPUESTO LAS MARGARITAS'!G35</f>
        <v>24</v>
      </c>
      <c r="H35" s="59">
        <v>71367</v>
      </c>
      <c r="I35" s="673">
        <f t="shared" ref="I35:I37" si="5">+ROUND((L35*G35),0)</f>
        <v>2232648</v>
      </c>
      <c r="J35" s="3">
        <f>+H35*J9</f>
        <v>93026.8845</v>
      </c>
      <c r="K35" s="398"/>
      <c r="L35" s="3">
        <f t="shared" si="3"/>
        <v>93027</v>
      </c>
      <c r="M35" s="4"/>
    </row>
    <row r="36" spans="1:13" ht="15.75" customHeight="1" x14ac:dyDescent="0.25">
      <c r="A36" s="31">
        <v>16</v>
      </c>
      <c r="B36" s="32" t="s">
        <v>63</v>
      </c>
      <c r="C36" s="33" t="s">
        <v>21</v>
      </c>
      <c r="D36" s="1"/>
      <c r="E36" s="34" t="s">
        <v>64</v>
      </c>
      <c r="F36" s="32" t="s">
        <v>39</v>
      </c>
      <c r="G36" s="49">
        <f>+'PRESUPUESTO OFICIAL AGUAS DORAD'!G36+'PRESUPUESTO OFICIAL EL DESTINO'!G36+'PRESUPUESTO LAS MARGARITAS'!G36</f>
        <v>24</v>
      </c>
      <c r="H36" s="35">
        <v>61800</v>
      </c>
      <c r="I36" s="673">
        <f t="shared" si="5"/>
        <v>1933344</v>
      </c>
      <c r="J36" s="3">
        <f t="shared" ref="J36:J37" si="6">+H36*$J$9</f>
        <v>80556.3</v>
      </c>
      <c r="K36" s="398"/>
      <c r="L36" s="3">
        <f t="shared" si="3"/>
        <v>80556</v>
      </c>
      <c r="M36" s="4"/>
    </row>
    <row r="37" spans="1:13" ht="15.75" customHeight="1" x14ac:dyDescent="0.25">
      <c r="A37" s="31">
        <v>17</v>
      </c>
      <c r="B37" s="32" t="s">
        <v>65</v>
      </c>
      <c r="C37" s="33" t="s">
        <v>21</v>
      </c>
      <c r="D37" s="1"/>
      <c r="E37" s="34" t="s">
        <v>66</v>
      </c>
      <c r="F37" s="32" t="s">
        <v>39</v>
      </c>
      <c r="G37" s="49">
        <f>+'PRESUPUESTO OFICIAL AGUAS DORAD'!G37+'PRESUPUESTO OFICIAL EL DESTINO'!G37+'PRESUPUESTO LAS MARGARITAS'!G37</f>
        <v>24</v>
      </c>
      <c r="H37" s="35">
        <v>84000</v>
      </c>
      <c r="I37" s="673">
        <f t="shared" si="5"/>
        <v>2627856</v>
      </c>
      <c r="J37" s="3">
        <f t="shared" si="6"/>
        <v>109494.00000000001</v>
      </c>
      <c r="K37" s="398"/>
      <c r="L37" s="3">
        <f t="shared" si="3"/>
        <v>109494</v>
      </c>
      <c r="M37" s="4"/>
    </row>
    <row r="38" spans="1:13" ht="15.75" customHeight="1" x14ac:dyDescent="0.25">
      <c r="A38" s="53" t="s">
        <v>33</v>
      </c>
      <c r="B38" s="54"/>
      <c r="C38" s="55"/>
      <c r="D38" s="1"/>
      <c r="E38" s="56"/>
      <c r="F38" s="54"/>
      <c r="G38" s="55"/>
      <c r="H38" s="57"/>
      <c r="I38" s="683">
        <f>SUM(I35:I37)</f>
        <v>6793848</v>
      </c>
      <c r="J38" s="3"/>
      <c r="K38" s="398">
        <f>+'PRESUPUESTO OFICIAL AGUAS DORAD'!I38+'PRESUPUESTO OFICIAL EL DESTINO'!I38+'PRESUPUESTO LAS MARGARITAS'!I38</f>
        <v>6793852.4279999994</v>
      </c>
      <c r="L38" s="3">
        <f t="shared" si="3"/>
        <v>0</v>
      </c>
      <c r="M38" s="4"/>
    </row>
    <row r="39" spans="1:13" ht="15.75" customHeight="1" x14ac:dyDescent="0.25">
      <c r="A39" s="63"/>
      <c r="B39" s="64" t="s">
        <v>67</v>
      </c>
      <c r="C39" s="65"/>
      <c r="D39" s="65"/>
      <c r="E39" s="66" t="s">
        <v>68</v>
      </c>
      <c r="F39" s="67"/>
      <c r="G39" s="65"/>
      <c r="H39" s="68"/>
      <c r="I39" s="682"/>
      <c r="J39" s="23"/>
      <c r="K39" s="398"/>
      <c r="L39" s="3">
        <f t="shared" si="3"/>
        <v>0</v>
      </c>
      <c r="M39" s="4"/>
    </row>
    <row r="40" spans="1:13" ht="15.75" customHeight="1" x14ac:dyDescent="0.25">
      <c r="A40" s="71">
        <v>18</v>
      </c>
      <c r="B40" s="72" t="s">
        <v>69</v>
      </c>
      <c r="C40" s="33" t="s">
        <v>21</v>
      </c>
      <c r="D40" s="1"/>
      <c r="E40" s="34" t="s">
        <v>68</v>
      </c>
      <c r="F40" s="32" t="s">
        <v>39</v>
      </c>
      <c r="G40" s="33">
        <f>+'PRESUPUESTO OFICIAL AGUAS DORAD'!G40+'PRESUPUESTO OFICIAL EL DESTINO'!G40+'PRESUPUESTO LAS MARGARITAS'!G40</f>
        <v>31</v>
      </c>
      <c r="H40" s="35">
        <v>10185</v>
      </c>
      <c r="I40" s="673">
        <f t="shared" ref="I40" si="7">+ROUND((L40*G40),0)</f>
        <v>411556</v>
      </c>
      <c r="J40" s="3">
        <f>+H40*$J$9</f>
        <v>13276.147500000001</v>
      </c>
      <c r="K40" s="398"/>
      <c r="L40" s="3">
        <f t="shared" si="3"/>
        <v>13276</v>
      </c>
      <c r="M40" s="4"/>
    </row>
    <row r="41" spans="1:13" ht="15.75" customHeight="1" x14ac:dyDescent="0.25">
      <c r="A41" s="53" t="s">
        <v>33</v>
      </c>
      <c r="B41" s="54"/>
      <c r="C41" s="55"/>
      <c r="D41" s="1"/>
      <c r="E41" s="56"/>
      <c r="F41" s="54"/>
      <c r="G41" s="55"/>
      <c r="H41" s="57"/>
      <c r="I41" s="683">
        <f>SUM(I40)</f>
        <v>411556</v>
      </c>
      <c r="J41" s="3"/>
      <c r="K41" s="398"/>
      <c r="L41" s="3">
        <f t="shared" si="3"/>
        <v>0</v>
      </c>
      <c r="M41" s="4"/>
    </row>
    <row r="42" spans="1:13" ht="15.75" customHeight="1" x14ac:dyDescent="0.25">
      <c r="A42" s="63"/>
      <c r="B42" s="64" t="s">
        <v>70</v>
      </c>
      <c r="C42" s="65"/>
      <c r="D42" s="65"/>
      <c r="E42" s="66" t="s">
        <v>71</v>
      </c>
      <c r="F42" s="67"/>
      <c r="G42" s="65"/>
      <c r="H42" s="68"/>
      <c r="I42" s="682"/>
      <c r="J42" s="23"/>
      <c r="K42" s="398"/>
      <c r="L42" s="3">
        <f t="shared" si="3"/>
        <v>0</v>
      </c>
      <c r="M42" s="4"/>
    </row>
    <row r="43" spans="1:13" ht="15.75" customHeight="1" x14ac:dyDescent="0.25">
      <c r="A43" s="71">
        <v>19</v>
      </c>
      <c r="B43" s="72" t="s">
        <v>72</v>
      </c>
      <c r="C43" s="33" t="s">
        <v>21</v>
      </c>
      <c r="D43" s="1"/>
      <c r="E43" s="34" t="s">
        <v>73</v>
      </c>
      <c r="F43" s="32" t="s">
        <v>39</v>
      </c>
      <c r="G43" s="33">
        <f>+'PRESUPUESTO OFICIAL AGUAS DORAD'!G43+'PRESUPUESTO OFICIAL EL DESTINO'!G43+'PRESUPUESTO LAS MARGARITAS'!G43</f>
        <v>31.5</v>
      </c>
      <c r="H43" s="35">
        <v>145580</v>
      </c>
      <c r="I43" s="673">
        <f t="shared" ref="I43" si="8">+ROUND((L43*G43),0)</f>
        <v>5977566</v>
      </c>
      <c r="J43" s="3">
        <f>+H43*$J$9</f>
        <v>189763.53000000003</v>
      </c>
      <c r="K43" s="398"/>
      <c r="L43" s="3">
        <f t="shared" si="3"/>
        <v>189764</v>
      </c>
      <c r="M43" s="4"/>
    </row>
    <row r="44" spans="1:13" ht="15.75" customHeight="1" x14ac:dyDescent="0.25">
      <c r="A44" s="53" t="s">
        <v>33</v>
      </c>
      <c r="B44" s="54"/>
      <c r="C44" s="55"/>
      <c r="D44" s="1"/>
      <c r="E44" s="56"/>
      <c r="F44" s="54"/>
      <c r="G44" s="55"/>
      <c r="H44" s="57"/>
      <c r="I44" s="683">
        <f>SUM(I43)</f>
        <v>5977566</v>
      </c>
      <c r="J44" s="3"/>
      <c r="K44" s="398"/>
      <c r="L44" s="3">
        <f t="shared" si="3"/>
        <v>0</v>
      </c>
      <c r="M44" s="4"/>
    </row>
    <row r="45" spans="1:13" ht="15.75" customHeight="1" x14ac:dyDescent="0.25">
      <c r="A45" s="63"/>
      <c r="B45" s="64" t="s">
        <v>74</v>
      </c>
      <c r="C45" s="65"/>
      <c r="D45" s="65"/>
      <c r="E45" s="66" t="s">
        <v>75</v>
      </c>
      <c r="F45" s="67"/>
      <c r="G45" s="65"/>
      <c r="H45" s="68"/>
      <c r="I45" s="682"/>
      <c r="J45" s="23"/>
      <c r="K45" s="398"/>
      <c r="L45" s="3">
        <f t="shared" si="3"/>
        <v>0</v>
      </c>
      <c r="M45" s="4"/>
    </row>
    <row r="46" spans="1:13" ht="15.75" customHeight="1" x14ac:dyDescent="0.25">
      <c r="A46" s="31">
        <v>20</v>
      </c>
      <c r="B46" s="32" t="s">
        <v>76</v>
      </c>
      <c r="C46" s="33" t="s">
        <v>21</v>
      </c>
      <c r="D46" s="1"/>
      <c r="E46" s="34" t="s">
        <v>77</v>
      </c>
      <c r="F46" s="32" t="s">
        <v>26</v>
      </c>
      <c r="G46" s="33">
        <f>+'PRESUPUESTO OFICIAL AGUAS DORAD'!G46+'PRESUPUESTO OFICIAL EL DESTINO'!G46+'PRESUPUESTO LAS MARGARITAS'!G46</f>
        <v>30</v>
      </c>
      <c r="H46" s="35">
        <v>37751</v>
      </c>
      <c r="I46" s="673">
        <f t="shared" ref="I46:I49" si="9">+ROUND((L46*G46),0)</f>
        <v>1476240</v>
      </c>
      <c r="J46" s="3">
        <f t="shared" ref="J46:J49" si="10">+H46*$J$9</f>
        <v>49208.428500000002</v>
      </c>
      <c r="K46" s="398"/>
      <c r="L46" s="3">
        <f t="shared" si="3"/>
        <v>49208</v>
      </c>
      <c r="M46" s="4"/>
    </row>
    <row r="47" spans="1:13" ht="15.75" customHeight="1" x14ac:dyDescent="0.25">
      <c r="A47" s="31">
        <v>21</v>
      </c>
      <c r="B47" s="32" t="s">
        <v>78</v>
      </c>
      <c r="C47" s="33" t="s">
        <v>21</v>
      </c>
      <c r="D47" s="1"/>
      <c r="E47" s="34" t="s">
        <v>79</v>
      </c>
      <c r="F47" s="32" t="s">
        <v>26</v>
      </c>
      <c r="G47" s="33">
        <f>+'PRESUPUESTO OFICIAL AGUAS DORAD'!G47+'PRESUPUESTO OFICIAL EL DESTINO'!G47+'PRESUPUESTO LAS MARGARITAS'!G47</f>
        <v>30</v>
      </c>
      <c r="H47" s="35">
        <v>20019</v>
      </c>
      <c r="I47" s="673">
        <f t="shared" si="9"/>
        <v>782850</v>
      </c>
      <c r="J47" s="3">
        <f t="shared" si="10"/>
        <v>26094.766500000002</v>
      </c>
      <c r="K47" s="398"/>
      <c r="L47" s="3">
        <f t="shared" si="3"/>
        <v>26095</v>
      </c>
      <c r="M47" s="4"/>
    </row>
    <row r="48" spans="1:13" ht="15.75" customHeight="1" x14ac:dyDescent="0.25">
      <c r="A48" s="31">
        <v>22</v>
      </c>
      <c r="B48" s="32" t="s">
        <v>80</v>
      </c>
      <c r="C48" s="33" t="s">
        <v>21</v>
      </c>
      <c r="D48" s="1"/>
      <c r="E48" s="34" t="s">
        <v>81</v>
      </c>
      <c r="F48" s="32" t="s">
        <v>26</v>
      </c>
      <c r="G48" s="33">
        <f>+'PRESUPUESTO OFICIAL AGUAS DORAD'!G48+'PRESUPUESTO OFICIAL EL DESTINO'!G48+'PRESUPUESTO LAS MARGARITAS'!G48</f>
        <v>30</v>
      </c>
      <c r="H48" s="35">
        <v>36776</v>
      </c>
      <c r="I48" s="673">
        <f t="shared" si="9"/>
        <v>1438140</v>
      </c>
      <c r="J48" s="3">
        <f t="shared" si="10"/>
        <v>47937.516000000003</v>
      </c>
      <c r="K48" s="398"/>
      <c r="L48" s="3">
        <f t="shared" si="3"/>
        <v>47938</v>
      </c>
      <c r="M48" s="4"/>
    </row>
    <row r="49" spans="1:13" ht="15.75" customHeight="1" x14ac:dyDescent="0.25">
      <c r="A49" s="31">
        <v>23</v>
      </c>
      <c r="B49" s="32" t="s">
        <v>82</v>
      </c>
      <c r="C49" s="33" t="s">
        <v>21</v>
      </c>
      <c r="D49" s="1"/>
      <c r="E49" s="34" t="s">
        <v>83</v>
      </c>
      <c r="F49" s="32" t="s">
        <v>26</v>
      </c>
      <c r="G49" s="33">
        <f>+'PRESUPUESTO OFICIAL AGUAS DORAD'!G49+'PRESUPUESTO OFICIAL EL DESTINO'!G49+'PRESUPUESTO LAS MARGARITAS'!G49</f>
        <v>30</v>
      </c>
      <c r="H49" s="35">
        <v>45620</v>
      </c>
      <c r="I49" s="673">
        <f t="shared" si="9"/>
        <v>1783980</v>
      </c>
      <c r="J49" s="3">
        <f t="shared" si="10"/>
        <v>59465.670000000006</v>
      </c>
      <c r="K49" s="398"/>
      <c r="L49" s="3">
        <f t="shared" si="3"/>
        <v>59466</v>
      </c>
      <c r="M49" s="4"/>
    </row>
    <row r="50" spans="1:13" ht="15.75" customHeight="1" x14ac:dyDescent="0.25">
      <c r="A50" s="53" t="s">
        <v>33</v>
      </c>
      <c r="B50" s="54"/>
      <c r="C50" s="55"/>
      <c r="D50" s="55"/>
      <c r="E50" s="56"/>
      <c r="F50" s="54"/>
      <c r="G50" s="55"/>
      <c r="H50" s="57"/>
      <c r="I50" s="684">
        <f>SUM(I46:I49)</f>
        <v>5481210</v>
      </c>
      <c r="J50" s="3"/>
      <c r="K50" s="398"/>
      <c r="L50" s="3">
        <f t="shared" si="3"/>
        <v>0</v>
      </c>
      <c r="M50" s="4"/>
    </row>
    <row r="51" spans="1:13" ht="15.75" customHeight="1" x14ac:dyDescent="0.25">
      <c r="A51" s="16"/>
      <c r="B51" s="17">
        <v>5</v>
      </c>
      <c r="C51" s="19"/>
      <c r="D51" s="19"/>
      <c r="E51" s="20" t="s">
        <v>84</v>
      </c>
      <c r="F51" s="21"/>
      <c r="G51" s="19"/>
      <c r="H51" s="43"/>
      <c r="I51" s="685"/>
      <c r="J51" s="23"/>
      <c r="K51" s="398"/>
      <c r="L51" s="3">
        <f t="shared" si="3"/>
        <v>0</v>
      </c>
      <c r="M51" s="4"/>
    </row>
    <row r="52" spans="1:13" ht="15.75" customHeight="1" x14ac:dyDescent="0.25">
      <c r="A52" s="24"/>
      <c r="B52" s="25" t="s">
        <v>85</v>
      </c>
      <c r="C52" s="27"/>
      <c r="D52" s="27"/>
      <c r="E52" s="28" t="s">
        <v>84</v>
      </c>
      <c r="F52" s="29"/>
      <c r="G52" s="27"/>
      <c r="H52" s="58"/>
      <c r="I52" s="686"/>
      <c r="J52" s="23"/>
      <c r="K52" s="398"/>
      <c r="L52" s="3">
        <f t="shared" si="3"/>
        <v>0</v>
      </c>
      <c r="M52" s="4"/>
    </row>
    <row r="53" spans="1:13" ht="15.75" customHeight="1" x14ac:dyDescent="0.25">
      <c r="A53" s="31">
        <v>24</v>
      </c>
      <c r="B53" s="32" t="s">
        <v>86</v>
      </c>
      <c r="C53" s="33" t="s">
        <v>21</v>
      </c>
      <c r="D53" s="1"/>
      <c r="E53" s="47" t="s">
        <v>87</v>
      </c>
      <c r="F53" s="48" t="s">
        <v>39</v>
      </c>
      <c r="G53" s="49">
        <f>+'PRESUPUESTO OFICIAL AGUAS DORAD'!G53+'PRESUPUESTO OFICIAL EL DESTINO'!G53+'PRESUPUESTO LAS MARGARITAS'!G53</f>
        <v>293.81249999999994</v>
      </c>
      <c r="H53" s="59">
        <v>26934</v>
      </c>
      <c r="I53" s="673">
        <f t="shared" ref="I53:I58" si="11">+ROUND((L53*G53),0)</f>
        <v>10315169</v>
      </c>
      <c r="J53" s="3">
        <f t="shared" ref="J53:J58" si="12">+H53*$J$9</f>
        <v>35108.469000000005</v>
      </c>
      <c r="K53" s="398"/>
      <c r="L53" s="3">
        <f t="shared" si="3"/>
        <v>35108</v>
      </c>
      <c r="M53" s="4"/>
    </row>
    <row r="54" spans="1:13" ht="15.75" customHeight="1" x14ac:dyDescent="0.25">
      <c r="A54" s="31">
        <v>25</v>
      </c>
      <c r="B54" s="32" t="s">
        <v>88</v>
      </c>
      <c r="C54" s="33" t="s">
        <v>21</v>
      </c>
      <c r="D54" s="1"/>
      <c r="E54" s="34" t="s">
        <v>89</v>
      </c>
      <c r="F54" s="32" t="s">
        <v>39</v>
      </c>
      <c r="G54" s="49">
        <f>+'PRESUPUESTO OFICIAL AGUAS DORAD'!G54+'PRESUPUESTO OFICIAL EL DESTINO'!G54+'PRESUPUESTO LAS MARGARITAS'!G54</f>
        <v>25.6</v>
      </c>
      <c r="H54" s="35">
        <v>87333</v>
      </c>
      <c r="I54" s="673">
        <f t="shared" si="11"/>
        <v>2914278</v>
      </c>
      <c r="J54" s="3">
        <f t="shared" si="12"/>
        <v>113838.56550000001</v>
      </c>
      <c r="K54" s="398"/>
      <c r="L54" s="3">
        <f t="shared" si="3"/>
        <v>113839</v>
      </c>
      <c r="M54" s="4"/>
    </row>
    <row r="55" spans="1:13" ht="15.75" customHeight="1" x14ac:dyDescent="0.25">
      <c r="A55" s="31">
        <v>26</v>
      </c>
      <c r="B55" s="32" t="s">
        <v>90</v>
      </c>
      <c r="C55" s="33" t="s">
        <v>21</v>
      </c>
      <c r="D55" s="1"/>
      <c r="E55" s="34" t="s">
        <v>91</v>
      </c>
      <c r="F55" s="32" t="s">
        <v>39</v>
      </c>
      <c r="G55" s="49">
        <f>+'PRESUPUESTO OFICIAL AGUAS DORAD'!G55+'PRESUPUESTO OFICIAL EL DESTINO'!G55+'PRESUPUESTO LAS MARGARITAS'!G55</f>
        <v>29</v>
      </c>
      <c r="H55" s="35">
        <v>61513</v>
      </c>
      <c r="I55" s="673">
        <f t="shared" si="11"/>
        <v>2325278</v>
      </c>
      <c r="J55" s="3">
        <f t="shared" si="12"/>
        <v>80182.195500000002</v>
      </c>
      <c r="K55" s="398"/>
      <c r="L55" s="3">
        <f t="shared" si="3"/>
        <v>80182</v>
      </c>
      <c r="M55" s="4"/>
    </row>
    <row r="56" spans="1:13" ht="15.75" customHeight="1" x14ac:dyDescent="0.25">
      <c r="A56" s="31">
        <v>27</v>
      </c>
      <c r="B56" s="32" t="s">
        <v>92</v>
      </c>
      <c r="C56" s="33" t="s">
        <v>21</v>
      </c>
      <c r="D56" s="1"/>
      <c r="E56" s="34" t="s">
        <v>93</v>
      </c>
      <c r="F56" s="32" t="s">
        <v>39</v>
      </c>
      <c r="G56" s="49">
        <f>+'PRESUPUESTO OFICIAL AGUAS DORAD'!G56+'PRESUPUESTO OFICIAL EL DESTINO'!G56+'PRESUPUESTO LAS MARGARITAS'!G56</f>
        <v>29</v>
      </c>
      <c r="H56" s="35">
        <v>236411</v>
      </c>
      <c r="I56" s="673">
        <f t="shared" si="11"/>
        <v>8936698</v>
      </c>
      <c r="J56" s="3">
        <f t="shared" si="12"/>
        <v>308161.73850000004</v>
      </c>
      <c r="K56" s="398"/>
      <c r="L56" s="3">
        <f t="shared" si="3"/>
        <v>308162</v>
      </c>
      <c r="M56" s="4"/>
    </row>
    <row r="57" spans="1:13" ht="15.75" customHeight="1" x14ac:dyDescent="0.25">
      <c r="A57" s="31">
        <v>28</v>
      </c>
      <c r="B57" s="32" t="s">
        <v>94</v>
      </c>
      <c r="C57" s="33" t="s">
        <v>21</v>
      </c>
      <c r="D57" s="1"/>
      <c r="E57" s="34" t="s">
        <v>95</v>
      </c>
      <c r="F57" s="32" t="s">
        <v>39</v>
      </c>
      <c r="G57" s="49">
        <f>+'PRESUPUESTO OFICIAL AGUAS DORAD'!G57+'PRESUPUESTO OFICIAL EL DESTINO'!G57+'PRESUPUESTO LAS MARGARITAS'!G57</f>
        <v>29</v>
      </c>
      <c r="H57" s="35">
        <v>139696</v>
      </c>
      <c r="I57" s="673">
        <f t="shared" si="11"/>
        <v>5280726</v>
      </c>
      <c r="J57" s="3">
        <f t="shared" si="12"/>
        <v>182093.736</v>
      </c>
      <c r="K57" s="398"/>
      <c r="L57" s="3">
        <f t="shared" si="3"/>
        <v>182094</v>
      </c>
      <c r="M57" s="4"/>
    </row>
    <row r="58" spans="1:13" ht="15.75" customHeight="1" x14ac:dyDescent="0.25">
      <c r="A58" s="31">
        <v>29</v>
      </c>
      <c r="B58" s="96" t="s">
        <v>90</v>
      </c>
      <c r="C58" s="33" t="s">
        <v>21</v>
      </c>
      <c r="D58" s="1"/>
      <c r="E58" s="50" t="s">
        <v>96</v>
      </c>
      <c r="F58" s="51" t="s">
        <v>39</v>
      </c>
      <c r="G58" s="49">
        <f>+'PRESUPUESTO OFICIAL AGUAS DORAD'!G58+'PRESUPUESTO OFICIAL EL DESTINO'!G58+'PRESUPUESTO LAS MARGARITAS'!G58</f>
        <v>25.8</v>
      </c>
      <c r="H58" s="60">
        <v>183224</v>
      </c>
      <c r="I58" s="673">
        <f t="shared" si="11"/>
        <v>6161866</v>
      </c>
      <c r="J58" s="3">
        <f t="shared" si="12"/>
        <v>238832.48400000003</v>
      </c>
      <c r="K58" s="398"/>
      <c r="L58" s="3">
        <f t="shared" si="3"/>
        <v>238832</v>
      </c>
      <c r="M58" s="4"/>
    </row>
    <row r="59" spans="1:13" ht="15.75" customHeight="1" x14ac:dyDescent="0.25">
      <c r="A59" s="53" t="s">
        <v>33</v>
      </c>
      <c r="B59" s="54"/>
      <c r="C59" s="55"/>
      <c r="D59" s="55"/>
      <c r="E59" s="56"/>
      <c r="F59" s="54"/>
      <c r="G59" s="55"/>
      <c r="H59" s="57"/>
      <c r="I59" s="684">
        <f>SUM(I53:I58)</f>
        <v>35934015</v>
      </c>
      <c r="J59" s="3"/>
      <c r="K59" s="398"/>
      <c r="L59" s="3">
        <f t="shared" si="3"/>
        <v>0</v>
      </c>
      <c r="M59" s="4"/>
    </row>
    <row r="60" spans="1:13" ht="15.75" customHeight="1" x14ac:dyDescent="0.25">
      <c r="A60" s="63"/>
      <c r="B60" s="64" t="s">
        <v>97</v>
      </c>
      <c r="C60" s="65"/>
      <c r="D60" s="65"/>
      <c r="E60" s="66" t="s">
        <v>98</v>
      </c>
      <c r="F60" s="67"/>
      <c r="G60" s="65"/>
      <c r="H60" s="68"/>
      <c r="I60" s="682"/>
      <c r="J60" s="23"/>
      <c r="K60" s="398"/>
      <c r="L60" s="3">
        <f t="shared" si="3"/>
        <v>0</v>
      </c>
      <c r="M60" s="4"/>
    </row>
    <row r="61" spans="1:13" ht="15.75" customHeight="1" x14ac:dyDescent="0.25">
      <c r="A61" s="31">
        <v>30</v>
      </c>
      <c r="B61" s="32" t="s">
        <v>99</v>
      </c>
      <c r="C61" s="33" t="s">
        <v>21</v>
      </c>
      <c r="D61" s="1"/>
      <c r="E61" s="47" t="s">
        <v>100</v>
      </c>
      <c r="F61" s="48" t="s">
        <v>39</v>
      </c>
      <c r="G61" s="49">
        <f>+'PRESUPUESTO OFICIAL AGUAS DORAD'!G61+'PRESUPUESTO OFICIAL EL DESTINO'!G61+'PRESUPUESTO LAS MARGARITAS'!G61</f>
        <v>21</v>
      </c>
      <c r="H61" s="59">
        <v>217037</v>
      </c>
      <c r="I61" s="673">
        <f t="shared" ref="I61:I62" si="13">+ROUND((L61*G61),0)</f>
        <v>5941068</v>
      </c>
      <c r="J61" s="3">
        <f t="shared" ref="J61:J62" si="14">+H61*$J$9</f>
        <v>282907.72950000002</v>
      </c>
      <c r="K61" s="398"/>
      <c r="L61" s="3">
        <f t="shared" si="3"/>
        <v>282908</v>
      </c>
      <c r="M61" s="4"/>
    </row>
    <row r="62" spans="1:13" ht="15.75" customHeight="1" x14ac:dyDescent="0.25">
      <c r="A62" s="31">
        <v>31</v>
      </c>
      <c r="B62" s="32" t="s">
        <v>101</v>
      </c>
      <c r="C62" s="33" t="s">
        <v>21</v>
      </c>
      <c r="D62" s="1"/>
      <c r="E62" s="34" t="s">
        <v>102</v>
      </c>
      <c r="F62" s="32" t="s">
        <v>39</v>
      </c>
      <c r="G62" s="49">
        <f>+'PRESUPUESTO OFICIAL AGUAS DORAD'!G62+'PRESUPUESTO OFICIAL EL DESTINO'!G62+'PRESUPUESTO LAS MARGARITAS'!G62</f>
        <v>21</v>
      </c>
      <c r="H62" s="35">
        <v>108177</v>
      </c>
      <c r="I62" s="673">
        <f t="shared" si="13"/>
        <v>2961189</v>
      </c>
      <c r="J62" s="3">
        <f t="shared" si="14"/>
        <v>141008.71950000001</v>
      </c>
      <c r="K62" s="398"/>
      <c r="L62" s="3">
        <f t="shared" si="3"/>
        <v>141009</v>
      </c>
      <c r="M62" s="4"/>
    </row>
    <row r="63" spans="1:13" ht="15.75" customHeight="1" x14ac:dyDescent="0.25">
      <c r="A63" s="53" t="s">
        <v>33</v>
      </c>
      <c r="B63" s="54"/>
      <c r="C63" s="55"/>
      <c r="D63" s="55"/>
      <c r="E63" s="56"/>
      <c r="F63" s="54"/>
      <c r="G63" s="55"/>
      <c r="H63" s="57"/>
      <c r="I63" s="684">
        <f>SUM(I61:I62)</f>
        <v>8902257</v>
      </c>
      <c r="J63" s="3"/>
      <c r="K63" s="398"/>
      <c r="L63" s="3">
        <f t="shared" si="3"/>
        <v>0</v>
      </c>
      <c r="M63" s="4"/>
    </row>
    <row r="64" spans="1:13" ht="15.75" customHeight="1" x14ac:dyDescent="0.25">
      <c r="A64" s="63"/>
      <c r="B64" s="64" t="s">
        <v>103</v>
      </c>
      <c r="C64" s="65"/>
      <c r="D64" s="65"/>
      <c r="E64" s="66" t="s">
        <v>104</v>
      </c>
      <c r="F64" s="67"/>
      <c r="G64" s="65"/>
      <c r="H64" s="68"/>
      <c r="I64" s="682"/>
      <c r="J64" s="23"/>
      <c r="K64" s="398"/>
      <c r="L64" s="3">
        <f t="shared" si="3"/>
        <v>0</v>
      </c>
      <c r="M64" s="4"/>
    </row>
    <row r="65" spans="1:13" ht="15.75" customHeight="1" x14ac:dyDescent="0.25">
      <c r="A65" s="31">
        <v>32</v>
      </c>
      <c r="B65" s="32" t="s">
        <v>105</v>
      </c>
      <c r="C65" s="33" t="s">
        <v>21</v>
      </c>
      <c r="D65" s="1"/>
      <c r="E65" s="34" t="s">
        <v>106</v>
      </c>
      <c r="F65" s="32" t="s">
        <v>39</v>
      </c>
      <c r="G65" s="33">
        <f>+'PRESUPUESTO OFICIAL AGUAS DORAD'!G65+'PRESUPUESTO OFICIAL EL DESTINO'!G65+'PRESUPUESTO LAS MARGARITAS'!G65</f>
        <v>24</v>
      </c>
      <c r="H65" s="35">
        <v>730250</v>
      </c>
      <c r="I65" s="673">
        <f t="shared" ref="I65:I66" si="15">+ROUND((L65*G65),0)</f>
        <v>22845144</v>
      </c>
      <c r="J65" s="3">
        <f t="shared" ref="J65:J66" si="16">+H65*$J$9</f>
        <v>951880.87500000012</v>
      </c>
      <c r="K65" s="398"/>
      <c r="L65" s="3">
        <f t="shared" si="3"/>
        <v>951881</v>
      </c>
      <c r="M65" s="4"/>
    </row>
    <row r="66" spans="1:13" ht="15.75" customHeight="1" x14ac:dyDescent="0.25">
      <c r="A66" s="31">
        <v>33</v>
      </c>
      <c r="B66" s="32" t="s">
        <v>107</v>
      </c>
      <c r="C66" s="33" t="s">
        <v>21</v>
      </c>
      <c r="D66" s="1"/>
      <c r="E66" s="50" t="s">
        <v>108</v>
      </c>
      <c r="F66" s="51" t="s">
        <v>39</v>
      </c>
      <c r="G66" s="33">
        <f>+'PRESUPUESTO OFICIAL AGUAS DORAD'!G66+'PRESUPUESTO OFICIAL EL DESTINO'!G66+'PRESUPUESTO LAS MARGARITAS'!G66</f>
        <v>19</v>
      </c>
      <c r="H66" s="60">
        <v>301190</v>
      </c>
      <c r="I66" s="673">
        <f t="shared" si="15"/>
        <v>7459419</v>
      </c>
      <c r="J66" s="3">
        <f t="shared" si="16"/>
        <v>392601.16500000004</v>
      </c>
      <c r="K66" s="398"/>
      <c r="L66" s="3">
        <f t="shared" si="3"/>
        <v>392601</v>
      </c>
      <c r="M66" s="4"/>
    </row>
    <row r="67" spans="1:13" ht="15.75" customHeight="1" x14ac:dyDescent="0.25">
      <c r="A67" s="53" t="s">
        <v>33</v>
      </c>
      <c r="B67" s="54"/>
      <c r="C67" s="55"/>
      <c r="D67" s="55"/>
      <c r="E67" s="56"/>
      <c r="F67" s="54"/>
      <c r="G67" s="55"/>
      <c r="H67" s="57"/>
      <c r="I67" s="684">
        <f>SUM(I65:I66)</f>
        <v>30304563</v>
      </c>
      <c r="J67" s="3"/>
      <c r="K67" s="398"/>
      <c r="L67" s="3">
        <f t="shared" si="3"/>
        <v>0</v>
      </c>
      <c r="M67" s="4"/>
    </row>
    <row r="68" spans="1:13" ht="15.75" customHeight="1" x14ac:dyDescent="0.25">
      <c r="A68" s="63"/>
      <c r="B68" s="64" t="s">
        <v>109</v>
      </c>
      <c r="C68" s="65"/>
      <c r="D68" s="65"/>
      <c r="E68" s="66" t="s">
        <v>110</v>
      </c>
      <c r="F68" s="67"/>
      <c r="G68" s="65"/>
      <c r="H68" s="68"/>
      <c r="I68" s="682"/>
      <c r="J68" s="23"/>
      <c r="K68" s="398"/>
      <c r="L68" s="3">
        <f t="shared" si="3"/>
        <v>0</v>
      </c>
      <c r="M68" s="4"/>
    </row>
    <row r="69" spans="1:13" ht="30.75" customHeight="1" x14ac:dyDescent="0.25">
      <c r="A69" s="31">
        <v>34</v>
      </c>
      <c r="B69" s="32" t="s">
        <v>111</v>
      </c>
      <c r="C69" s="33" t="s">
        <v>21</v>
      </c>
      <c r="D69" s="1"/>
      <c r="E69" s="47" t="s">
        <v>112</v>
      </c>
      <c r="F69" s="48" t="s">
        <v>44</v>
      </c>
      <c r="G69" s="49">
        <f>+'PRESUPUESTO OFICIAL AGUAS DORAD'!G69+'PRESUPUESTO OFICIAL EL DESTINO'!G69+'PRESUPUESTO LAS MARGARITAS'!G69</f>
        <v>30</v>
      </c>
      <c r="H69" s="59">
        <v>599576</v>
      </c>
      <c r="I69" s="673">
        <f t="shared" ref="I69:I70" si="17">+ROUND((L69*G69),0)</f>
        <v>23446410</v>
      </c>
      <c r="J69" s="3">
        <f t="shared" ref="J69:J70" si="18">+H69*$J$9</f>
        <v>781547.31600000011</v>
      </c>
      <c r="K69" s="398"/>
      <c r="L69" s="3">
        <f t="shared" si="3"/>
        <v>781547</v>
      </c>
      <c r="M69" s="4"/>
    </row>
    <row r="70" spans="1:13" ht="15.75" customHeight="1" x14ac:dyDescent="0.25">
      <c r="A70" s="31">
        <v>35</v>
      </c>
      <c r="B70" s="32" t="s">
        <v>113</v>
      </c>
      <c r="C70" s="33" t="s">
        <v>21</v>
      </c>
      <c r="D70" s="1"/>
      <c r="E70" s="34" t="s">
        <v>114</v>
      </c>
      <c r="F70" s="32" t="s">
        <v>44</v>
      </c>
      <c r="G70" s="49">
        <f>+'PRESUPUESTO OFICIAL AGUAS DORAD'!G70+'PRESUPUESTO OFICIAL EL DESTINO'!G70+'PRESUPUESTO LAS MARGARITAS'!G70</f>
        <v>20</v>
      </c>
      <c r="H70" s="35">
        <v>30880</v>
      </c>
      <c r="I70" s="673">
        <f t="shared" si="17"/>
        <v>805040</v>
      </c>
      <c r="J70" s="3">
        <f t="shared" si="18"/>
        <v>40252.080000000002</v>
      </c>
      <c r="K70" s="398"/>
      <c r="L70" s="3">
        <f t="shared" si="3"/>
        <v>40252</v>
      </c>
      <c r="M70" s="4"/>
    </row>
    <row r="71" spans="1:13" ht="15.75" customHeight="1" x14ac:dyDescent="0.25">
      <c r="A71" s="53" t="s">
        <v>33</v>
      </c>
      <c r="B71" s="54"/>
      <c r="C71" s="55"/>
      <c r="D71" s="55"/>
      <c r="E71" s="56"/>
      <c r="F71" s="54"/>
      <c r="G71" s="55"/>
      <c r="H71" s="57"/>
      <c r="I71" s="684">
        <f>SUM(I69:I70)</f>
        <v>24251450</v>
      </c>
      <c r="J71" s="3"/>
      <c r="K71" s="398"/>
      <c r="L71" s="3">
        <f t="shared" si="3"/>
        <v>0</v>
      </c>
      <c r="M71" s="4"/>
    </row>
    <row r="72" spans="1:13" ht="15.75" customHeight="1" x14ac:dyDescent="0.25">
      <c r="A72" s="16"/>
      <c r="B72" s="17">
        <v>6</v>
      </c>
      <c r="C72" s="19"/>
      <c r="D72" s="19"/>
      <c r="E72" s="20" t="s">
        <v>115</v>
      </c>
      <c r="F72" s="21"/>
      <c r="G72" s="19"/>
      <c r="H72" s="43"/>
      <c r="I72" s="685"/>
      <c r="J72" s="23"/>
      <c r="K72" s="398"/>
      <c r="L72" s="3">
        <f t="shared" si="3"/>
        <v>0</v>
      </c>
      <c r="M72" s="4"/>
    </row>
    <row r="73" spans="1:13" ht="20.25" customHeight="1" x14ac:dyDescent="0.25">
      <c r="A73" s="31">
        <v>36</v>
      </c>
      <c r="B73" s="32" t="s">
        <v>116</v>
      </c>
      <c r="C73" s="33" t="s">
        <v>21</v>
      </c>
      <c r="D73" s="1"/>
      <c r="E73" s="47" t="s">
        <v>117</v>
      </c>
      <c r="F73" s="48" t="s">
        <v>39</v>
      </c>
      <c r="G73" s="49">
        <f>+'PRESUPUESTO OFICIAL AGUAS DORAD'!G73+'PRESUPUESTO OFICIAL EL DESTINO'!G73+'PRESUPUESTO LAS MARGARITAS'!G73</f>
        <v>42</v>
      </c>
      <c r="H73" s="59">
        <v>28399</v>
      </c>
      <c r="I73" s="673">
        <f t="shared" ref="I73:I77" si="19">+ROUND((L73*G73),0)</f>
        <v>1554756</v>
      </c>
      <c r="J73" s="3">
        <f t="shared" ref="J73:J77" si="20">+H73*$J$9</f>
        <v>37018.0965</v>
      </c>
      <c r="K73" s="398"/>
      <c r="L73" s="3">
        <f t="shared" si="3"/>
        <v>37018</v>
      </c>
      <c r="M73" s="4"/>
    </row>
    <row r="74" spans="1:13" ht="15.75" customHeight="1" x14ac:dyDescent="0.25">
      <c r="A74" s="31">
        <v>37</v>
      </c>
      <c r="B74" s="32" t="s">
        <v>118</v>
      </c>
      <c r="C74" s="33" t="s">
        <v>21</v>
      </c>
      <c r="D74" s="1"/>
      <c r="E74" s="34" t="s">
        <v>119</v>
      </c>
      <c r="F74" s="32" t="s">
        <v>120</v>
      </c>
      <c r="G74" s="49">
        <f>+'PRESUPUESTO OFICIAL AGUAS DORAD'!G74+'PRESUPUESTO OFICIAL EL DESTINO'!G74+'PRESUPUESTO LAS MARGARITAS'!G74</f>
        <v>42</v>
      </c>
      <c r="H74" s="35">
        <v>1282</v>
      </c>
      <c r="I74" s="673">
        <f t="shared" si="19"/>
        <v>70182</v>
      </c>
      <c r="J74" s="3">
        <f t="shared" si="20"/>
        <v>1671.0870000000002</v>
      </c>
      <c r="K74" s="398"/>
      <c r="L74" s="3">
        <f t="shared" si="3"/>
        <v>1671</v>
      </c>
      <c r="M74" s="4"/>
    </row>
    <row r="75" spans="1:13" ht="15.75" customHeight="1" x14ac:dyDescent="0.25">
      <c r="A75" s="31">
        <v>38</v>
      </c>
      <c r="B75" s="32">
        <v>7462</v>
      </c>
      <c r="C75" s="33" t="s">
        <v>121</v>
      </c>
      <c r="D75" s="1"/>
      <c r="E75" s="34" t="s">
        <v>122</v>
      </c>
      <c r="F75" s="32" t="s">
        <v>123</v>
      </c>
      <c r="G75" s="49">
        <f>+'PRESUPUESTO OFICIAL AGUAS DORAD'!G75+'PRESUPUESTO OFICIAL EL DESTINO'!G75+'PRESUPUESTO LAS MARGARITAS'!G75</f>
        <v>111.87499999999997</v>
      </c>
      <c r="H75" s="35">
        <v>1800</v>
      </c>
      <c r="I75" s="673">
        <f t="shared" si="19"/>
        <v>262459</v>
      </c>
      <c r="J75" s="3">
        <f t="shared" si="20"/>
        <v>2346.3000000000002</v>
      </c>
      <c r="K75" s="398"/>
      <c r="L75" s="3">
        <f t="shared" si="3"/>
        <v>2346</v>
      </c>
      <c r="M75" s="4"/>
    </row>
    <row r="76" spans="1:13" ht="15.75" customHeight="1" x14ac:dyDescent="0.25">
      <c r="A76" s="31">
        <v>39</v>
      </c>
      <c r="B76" s="32" t="s">
        <v>124</v>
      </c>
      <c r="C76" s="33" t="s">
        <v>125</v>
      </c>
      <c r="D76" s="1"/>
      <c r="E76" s="34" t="s">
        <v>126</v>
      </c>
      <c r="F76" s="32" t="s">
        <v>127</v>
      </c>
      <c r="G76" s="49">
        <f>+'PRESUPUESTO OFICIAL AGUAS DORAD'!G76+'PRESUPUESTO OFICIAL EL DESTINO'!G76+'PRESUPUESTO LAS MARGARITAS'!G76</f>
        <v>50</v>
      </c>
      <c r="H76" s="35">
        <v>58912</v>
      </c>
      <c r="I76" s="673">
        <f t="shared" si="19"/>
        <v>3839600</v>
      </c>
      <c r="J76" s="3">
        <f t="shared" si="20"/>
        <v>76791.792000000001</v>
      </c>
      <c r="K76" s="398"/>
      <c r="L76" s="3">
        <f t="shared" si="3"/>
        <v>76792</v>
      </c>
      <c r="M76" s="4"/>
    </row>
    <row r="77" spans="1:13" ht="15.75" customHeight="1" x14ac:dyDescent="0.25">
      <c r="A77" s="31">
        <v>40</v>
      </c>
      <c r="B77" s="32" t="s">
        <v>128</v>
      </c>
      <c r="C77" s="33" t="s">
        <v>129</v>
      </c>
      <c r="D77" s="1"/>
      <c r="E77" s="34" t="s">
        <v>130</v>
      </c>
      <c r="F77" s="32" t="s">
        <v>131</v>
      </c>
      <c r="G77" s="49">
        <f>+'PRESUPUESTO OFICIAL AGUAS DORAD'!G77+'PRESUPUESTO OFICIAL EL DESTINO'!G77+'PRESUPUESTO LAS MARGARITAS'!G77</f>
        <v>32</v>
      </c>
      <c r="H77" s="35">
        <v>123980</v>
      </c>
      <c r="I77" s="673">
        <f t="shared" si="19"/>
        <v>5171456</v>
      </c>
      <c r="J77" s="3">
        <f t="shared" si="20"/>
        <v>161607.93000000002</v>
      </c>
      <c r="K77" s="398"/>
      <c r="L77" s="3">
        <f t="shared" si="3"/>
        <v>161608</v>
      </c>
      <c r="M77" s="4"/>
    </row>
    <row r="78" spans="1:13" ht="15.75" customHeight="1" x14ac:dyDescent="0.25">
      <c r="A78" s="53" t="s">
        <v>33</v>
      </c>
      <c r="B78" s="54"/>
      <c r="C78" s="55"/>
      <c r="D78" s="55"/>
      <c r="E78" s="56"/>
      <c r="F78" s="54"/>
      <c r="G78" s="55"/>
      <c r="H78" s="57"/>
      <c r="I78" s="684">
        <f>SUM(I73:I77)</f>
        <v>10898453</v>
      </c>
      <c r="J78" s="3"/>
      <c r="K78" s="398"/>
      <c r="L78" s="3">
        <f t="shared" si="3"/>
        <v>0</v>
      </c>
      <c r="M78" s="4"/>
    </row>
    <row r="79" spans="1:13" ht="15.75" customHeight="1" x14ac:dyDescent="0.25">
      <c r="A79" s="16"/>
      <c r="B79" s="17">
        <v>7</v>
      </c>
      <c r="C79" s="19"/>
      <c r="D79" s="19"/>
      <c r="E79" s="20" t="s">
        <v>132</v>
      </c>
      <c r="F79" s="21"/>
      <c r="G79" s="19"/>
      <c r="H79" s="43"/>
      <c r="I79" s="685"/>
      <c r="J79" s="23"/>
      <c r="K79" s="398"/>
      <c r="L79" s="3">
        <f t="shared" si="3"/>
        <v>0</v>
      </c>
      <c r="M79" s="4"/>
    </row>
    <row r="80" spans="1:13" ht="15.75" customHeight="1" x14ac:dyDescent="0.25">
      <c r="A80" s="24"/>
      <c r="B80" s="25" t="s">
        <v>133</v>
      </c>
      <c r="C80" s="27"/>
      <c r="D80" s="27"/>
      <c r="E80" s="333" t="s">
        <v>134</v>
      </c>
      <c r="F80" s="29"/>
      <c r="G80" s="27"/>
      <c r="H80" s="58"/>
      <c r="I80" s="686"/>
      <c r="J80" s="23"/>
      <c r="K80" s="398"/>
      <c r="L80" s="3">
        <f t="shared" si="3"/>
        <v>0</v>
      </c>
      <c r="M80" s="4"/>
    </row>
    <row r="81" spans="1:13" ht="15.75" customHeight="1" x14ac:dyDescent="0.25">
      <c r="A81" s="74">
        <v>41</v>
      </c>
      <c r="B81" s="33">
        <v>10481</v>
      </c>
      <c r="C81" s="75" t="s">
        <v>151</v>
      </c>
      <c r="D81" s="33" t="s">
        <v>135</v>
      </c>
      <c r="E81" s="76" t="s">
        <v>136</v>
      </c>
      <c r="F81" s="77" t="s">
        <v>23</v>
      </c>
      <c r="G81" s="33">
        <f>+'PRESUPUESTO OFICIAL AGUAS DORAD'!G81+'PRESUPUESTO OFICIAL EL DESTINO'!G81+'PRESUPUESTO LAS MARGARITAS'!G81</f>
        <v>35</v>
      </c>
      <c r="H81" s="78">
        <v>3525</v>
      </c>
      <c r="I81" s="673">
        <f t="shared" ref="I81:I88" si="21">+ROUND((L81*G81),0)</f>
        <v>160825</v>
      </c>
      <c r="J81" s="3">
        <f t="shared" ref="J81:J88" si="22">+H81*$J$9</f>
        <v>4594.8375000000005</v>
      </c>
      <c r="K81" s="398"/>
      <c r="L81" s="3">
        <f t="shared" si="3"/>
        <v>4595</v>
      </c>
      <c r="M81" s="4"/>
    </row>
    <row r="82" spans="1:13" ht="15.75" customHeight="1" x14ac:dyDescent="0.25">
      <c r="A82" s="74">
        <v>42</v>
      </c>
      <c r="B82" s="79" t="s">
        <v>137</v>
      </c>
      <c r="C82" s="75" t="s">
        <v>151</v>
      </c>
      <c r="D82" s="33" t="s">
        <v>135</v>
      </c>
      <c r="E82" s="80" t="s">
        <v>138</v>
      </c>
      <c r="F82" s="81" t="s">
        <v>23</v>
      </c>
      <c r="G82" s="33">
        <f>+'PRESUPUESTO OFICIAL AGUAS DORAD'!G82+'PRESUPUESTO OFICIAL EL DESTINO'!G82+'PRESUPUESTO LAS MARGARITAS'!G82</f>
        <v>35</v>
      </c>
      <c r="H82" s="82">
        <v>3544</v>
      </c>
      <c r="I82" s="673">
        <f t="shared" si="21"/>
        <v>161700</v>
      </c>
      <c r="J82" s="3">
        <f t="shared" si="22"/>
        <v>4619.6040000000003</v>
      </c>
      <c r="K82" s="398"/>
      <c r="L82" s="3">
        <f t="shared" si="3"/>
        <v>4620</v>
      </c>
      <c r="M82" s="4"/>
    </row>
    <row r="83" spans="1:13" ht="15.75" customHeight="1" x14ac:dyDescent="0.25">
      <c r="A83" s="74">
        <v>43</v>
      </c>
      <c r="B83" s="79">
        <v>15139</v>
      </c>
      <c r="C83" s="75" t="s">
        <v>151</v>
      </c>
      <c r="D83" s="33" t="s">
        <v>135</v>
      </c>
      <c r="E83" s="80" t="s">
        <v>139</v>
      </c>
      <c r="F83" s="81" t="s">
        <v>23</v>
      </c>
      <c r="G83" s="33">
        <f>+'PRESUPUESTO OFICIAL AGUAS DORAD'!G83+'PRESUPUESTO OFICIAL EL DESTINO'!G83+'PRESUPUESTO LAS MARGARITAS'!G83</f>
        <v>50</v>
      </c>
      <c r="H83" s="82">
        <v>3559</v>
      </c>
      <c r="I83" s="673">
        <f t="shared" si="21"/>
        <v>231950</v>
      </c>
      <c r="J83" s="3">
        <f t="shared" si="22"/>
        <v>4639.1565000000001</v>
      </c>
      <c r="K83" s="398"/>
      <c r="L83" s="3">
        <f t="shared" si="3"/>
        <v>4639</v>
      </c>
      <c r="M83" s="4"/>
    </row>
    <row r="84" spans="1:13" ht="15.75" customHeight="1" x14ac:dyDescent="0.25">
      <c r="A84" s="74">
        <v>44</v>
      </c>
      <c r="B84" s="330">
        <v>6257</v>
      </c>
      <c r="C84" s="75" t="s">
        <v>151</v>
      </c>
      <c r="D84" s="33" t="s">
        <v>135</v>
      </c>
      <c r="E84" s="80" t="s">
        <v>140</v>
      </c>
      <c r="F84" s="81" t="s">
        <v>23</v>
      </c>
      <c r="G84" s="33">
        <f>+'PRESUPUESTO OFICIAL AGUAS DORAD'!G84+'PRESUPUESTO OFICIAL EL DESTINO'!G84+'PRESUPUESTO LAS MARGARITAS'!G84</f>
        <v>60</v>
      </c>
      <c r="H84" s="82">
        <v>19650</v>
      </c>
      <c r="I84" s="673">
        <f t="shared" si="21"/>
        <v>1536840</v>
      </c>
      <c r="J84" s="3">
        <f t="shared" si="22"/>
        <v>25613.775000000001</v>
      </c>
      <c r="K84" s="398"/>
      <c r="L84" s="3">
        <f t="shared" ref="L84:L147" si="23">++ROUND(J84,0)</f>
        <v>25614</v>
      </c>
      <c r="M84" s="4"/>
    </row>
    <row r="85" spans="1:13" ht="15.75" customHeight="1" x14ac:dyDescent="0.25">
      <c r="A85" s="74">
        <v>45</v>
      </c>
      <c r="B85" s="330">
        <v>6258</v>
      </c>
      <c r="C85" s="75" t="s">
        <v>151</v>
      </c>
      <c r="D85" s="33" t="s">
        <v>135</v>
      </c>
      <c r="E85" s="80" t="s">
        <v>141</v>
      </c>
      <c r="F85" s="81" t="s">
        <v>23</v>
      </c>
      <c r="G85" s="33">
        <f>+'PRESUPUESTO OFICIAL AGUAS DORAD'!G85+'PRESUPUESTO OFICIAL EL DESTINO'!G85+'PRESUPUESTO LAS MARGARITAS'!G85</f>
        <v>45</v>
      </c>
      <c r="H85" s="82">
        <v>29250</v>
      </c>
      <c r="I85" s="673">
        <f t="shared" si="21"/>
        <v>1715715</v>
      </c>
      <c r="J85" s="3">
        <f t="shared" si="22"/>
        <v>38127.375</v>
      </c>
      <c r="K85" s="398"/>
      <c r="L85" s="3">
        <f t="shared" si="23"/>
        <v>38127</v>
      </c>
      <c r="M85" s="4"/>
    </row>
    <row r="86" spans="1:13" ht="15.75" customHeight="1" x14ac:dyDescent="0.25">
      <c r="A86" s="74">
        <v>46</v>
      </c>
      <c r="B86" s="330">
        <v>6259</v>
      </c>
      <c r="C86" s="75" t="s">
        <v>151</v>
      </c>
      <c r="D86" s="33" t="s">
        <v>135</v>
      </c>
      <c r="E86" s="80" t="s">
        <v>142</v>
      </c>
      <c r="F86" s="81" t="s">
        <v>23</v>
      </c>
      <c r="G86" s="33">
        <f>+'PRESUPUESTO OFICIAL AGUAS DORAD'!G86+'PRESUPUESTO OFICIAL EL DESTINO'!G86+'PRESUPUESTO LAS MARGARITAS'!G86</f>
        <v>45</v>
      </c>
      <c r="H86" s="82">
        <v>51431</v>
      </c>
      <c r="I86" s="673">
        <f t="shared" si="21"/>
        <v>3016800</v>
      </c>
      <c r="J86" s="3">
        <f t="shared" si="22"/>
        <v>67040.308499999999</v>
      </c>
      <c r="K86" s="398"/>
      <c r="L86" s="3">
        <f t="shared" si="23"/>
        <v>67040</v>
      </c>
      <c r="M86" s="4"/>
    </row>
    <row r="87" spans="1:13" ht="15.75" customHeight="1" x14ac:dyDescent="0.25">
      <c r="A87" s="74">
        <v>47</v>
      </c>
      <c r="B87" s="330">
        <v>6260</v>
      </c>
      <c r="C87" s="75" t="s">
        <v>151</v>
      </c>
      <c r="D87" s="33" t="s">
        <v>135</v>
      </c>
      <c r="E87" s="80" t="s">
        <v>143</v>
      </c>
      <c r="F87" s="81" t="s">
        <v>23</v>
      </c>
      <c r="G87" s="33">
        <f>+'PRESUPUESTO OFICIAL AGUAS DORAD'!G87+'PRESUPUESTO OFICIAL EL DESTINO'!G87+'PRESUPUESTO LAS MARGARITAS'!G87</f>
        <v>45</v>
      </c>
      <c r="H87" s="82">
        <v>64984</v>
      </c>
      <c r="I87" s="673">
        <f t="shared" si="21"/>
        <v>3811815</v>
      </c>
      <c r="J87" s="3">
        <f t="shared" si="22"/>
        <v>84706.644</v>
      </c>
      <c r="K87" s="398"/>
      <c r="L87" s="3">
        <f t="shared" si="23"/>
        <v>84707</v>
      </c>
      <c r="M87" s="4"/>
    </row>
    <row r="88" spans="1:13" ht="15.75" customHeight="1" x14ac:dyDescent="0.25">
      <c r="A88" s="74">
        <v>48</v>
      </c>
      <c r="B88" s="330">
        <v>6261</v>
      </c>
      <c r="C88" s="75" t="s">
        <v>151</v>
      </c>
      <c r="D88" s="33" t="s">
        <v>135</v>
      </c>
      <c r="E88" s="80" t="s">
        <v>144</v>
      </c>
      <c r="F88" s="81" t="s">
        <v>23</v>
      </c>
      <c r="G88" s="33">
        <f>+'PRESUPUESTO OFICIAL AGUAS DORAD'!G88+'PRESUPUESTO OFICIAL EL DESTINO'!G88+'PRESUPUESTO LAS MARGARITAS'!G88</f>
        <v>50</v>
      </c>
      <c r="H88" s="82">
        <v>133504</v>
      </c>
      <c r="I88" s="673">
        <f t="shared" si="21"/>
        <v>8701100</v>
      </c>
      <c r="J88" s="3">
        <f t="shared" si="22"/>
        <v>174022.46400000001</v>
      </c>
      <c r="K88" s="398"/>
      <c r="L88" s="3">
        <f t="shared" si="23"/>
        <v>174022</v>
      </c>
      <c r="M88" s="4"/>
    </row>
    <row r="89" spans="1:13" ht="15.75" customHeight="1" x14ac:dyDescent="0.25">
      <c r="A89" s="53" t="s">
        <v>33</v>
      </c>
      <c r="B89" s="54"/>
      <c r="C89" s="55"/>
      <c r="D89" s="55"/>
      <c r="E89" s="56"/>
      <c r="F89" s="54"/>
      <c r="G89" s="55"/>
      <c r="H89" s="57"/>
      <c r="I89" s="684">
        <f>SUM(I81:I88)</f>
        <v>19336745</v>
      </c>
      <c r="J89" s="3"/>
      <c r="K89" s="398"/>
      <c r="L89" s="3">
        <f t="shared" si="23"/>
        <v>0</v>
      </c>
      <c r="M89" s="4"/>
    </row>
    <row r="90" spans="1:13" ht="15.75" customHeight="1" x14ac:dyDescent="0.25">
      <c r="A90" s="63"/>
      <c r="B90" s="64" t="s">
        <v>145</v>
      </c>
      <c r="C90" s="65"/>
      <c r="D90" s="65"/>
      <c r="E90" s="66" t="s">
        <v>146</v>
      </c>
      <c r="F90" s="67"/>
      <c r="G90" s="65"/>
      <c r="H90" s="68"/>
      <c r="I90" s="682"/>
      <c r="J90" s="23"/>
      <c r="K90" s="398"/>
      <c r="L90" s="3">
        <f t="shared" si="23"/>
        <v>0</v>
      </c>
      <c r="M90" s="4"/>
    </row>
    <row r="91" spans="1:13" ht="15.75" customHeight="1" x14ac:dyDescent="0.25">
      <c r="A91" s="31">
        <v>49</v>
      </c>
      <c r="B91" s="32" t="s">
        <v>147</v>
      </c>
      <c r="C91" s="33" t="s">
        <v>21</v>
      </c>
      <c r="D91" s="1"/>
      <c r="E91" s="83" t="s">
        <v>148</v>
      </c>
      <c r="F91" s="48" t="s">
        <v>44</v>
      </c>
      <c r="G91" s="49">
        <f>+'PRESUPUESTO OFICIAL AGUAS DORAD'!G91+'PRESUPUESTO OFICIAL EL DESTINO'!G91+'PRESUPUESTO LAS MARGARITAS'!G91</f>
        <v>25</v>
      </c>
      <c r="H91" s="59">
        <v>4074</v>
      </c>
      <c r="I91" s="673">
        <f t="shared" ref="I91:I92" si="24">+ROUND((L91*G91),0)</f>
        <v>132750</v>
      </c>
      <c r="J91" s="3">
        <f t="shared" ref="J91:J92" si="25">+H91*$J$9</f>
        <v>5310.4590000000007</v>
      </c>
      <c r="K91" s="398"/>
      <c r="L91" s="3">
        <f t="shared" si="23"/>
        <v>5310</v>
      </c>
      <c r="M91" s="4"/>
    </row>
    <row r="92" spans="1:13" ht="15.75" customHeight="1" x14ac:dyDescent="0.25">
      <c r="A92" s="31">
        <v>50</v>
      </c>
      <c r="B92" s="32" t="s">
        <v>149</v>
      </c>
      <c r="C92" s="33" t="s">
        <v>21</v>
      </c>
      <c r="D92" s="1"/>
      <c r="E92" s="84" t="s">
        <v>150</v>
      </c>
      <c r="F92" s="32" t="s">
        <v>44</v>
      </c>
      <c r="G92" s="49">
        <f>+'PRESUPUESTO OFICIAL AGUAS DORAD'!G92+'PRESUPUESTO OFICIAL EL DESTINO'!G92+'PRESUPUESTO LAS MARGARITAS'!G92</f>
        <v>25</v>
      </c>
      <c r="H92" s="35">
        <v>4344</v>
      </c>
      <c r="I92" s="673">
        <f t="shared" si="24"/>
        <v>141550</v>
      </c>
      <c r="J92" s="3">
        <f t="shared" si="25"/>
        <v>5662.4040000000005</v>
      </c>
      <c r="K92" s="398"/>
      <c r="L92" s="3">
        <f t="shared" si="23"/>
        <v>5662</v>
      </c>
      <c r="M92" s="4"/>
    </row>
    <row r="93" spans="1:13" ht="15.75" customHeight="1" x14ac:dyDescent="0.25">
      <c r="A93" s="53" t="s">
        <v>33</v>
      </c>
      <c r="B93" s="54"/>
      <c r="C93" s="55"/>
      <c r="D93" s="55"/>
      <c r="E93" s="56"/>
      <c r="F93" s="54"/>
      <c r="G93" s="55"/>
      <c r="H93" s="57"/>
      <c r="I93" s="684">
        <f>SUM(I91:I92)</f>
        <v>274300</v>
      </c>
      <c r="J93" s="3"/>
      <c r="K93" s="398"/>
      <c r="L93" s="3">
        <f t="shared" si="23"/>
        <v>0</v>
      </c>
      <c r="M93" s="4"/>
    </row>
    <row r="94" spans="1:13" ht="15.75" customHeight="1" x14ac:dyDescent="0.25">
      <c r="A94" s="63"/>
      <c r="B94" s="64" t="s">
        <v>152</v>
      </c>
      <c r="C94" s="65"/>
      <c r="D94" s="65"/>
      <c r="E94" s="66" t="s">
        <v>153</v>
      </c>
      <c r="F94" s="67"/>
      <c r="G94" s="65"/>
      <c r="H94" s="68"/>
      <c r="I94" s="682"/>
      <c r="J94" s="23"/>
      <c r="K94" s="398"/>
      <c r="L94" s="3">
        <f t="shared" si="23"/>
        <v>0</v>
      </c>
      <c r="M94" s="4"/>
    </row>
    <row r="95" spans="1:13" ht="15.75" customHeight="1" x14ac:dyDescent="0.25">
      <c r="A95" s="31">
        <v>51</v>
      </c>
      <c r="B95" s="331">
        <v>11903</v>
      </c>
      <c r="C95" s="33" t="s">
        <v>121</v>
      </c>
      <c r="D95" s="1"/>
      <c r="E95" s="34" t="s">
        <v>154</v>
      </c>
      <c r="F95" s="32" t="s">
        <v>44</v>
      </c>
      <c r="G95" s="33">
        <f>+'PRESUPUESTO OFICIAL AGUAS DORAD'!G95+'PRESUPUESTO OFICIAL EL DESTINO'!G95+'PRESUPUESTO LAS MARGARITAS'!G95</f>
        <v>27</v>
      </c>
      <c r="H95" s="35">
        <v>1689</v>
      </c>
      <c r="I95" s="673">
        <f t="shared" ref="I95:I98" si="26">+ROUND((L95*G95),0)</f>
        <v>59454</v>
      </c>
      <c r="J95" s="3">
        <f t="shared" ref="J95:J98" si="27">+H95*$J$9</f>
        <v>2201.6115</v>
      </c>
      <c r="K95" s="398"/>
      <c r="L95" s="3">
        <f t="shared" si="23"/>
        <v>2202</v>
      </c>
      <c r="M95" s="4"/>
    </row>
    <row r="96" spans="1:13" ht="15.75" customHeight="1" x14ac:dyDescent="0.25">
      <c r="A96" s="31">
        <v>52</v>
      </c>
      <c r="B96" s="331">
        <v>11904</v>
      </c>
      <c r="C96" s="33" t="s">
        <v>121</v>
      </c>
      <c r="D96" s="1"/>
      <c r="E96" s="34" t="s">
        <v>155</v>
      </c>
      <c r="F96" s="32" t="s">
        <v>44</v>
      </c>
      <c r="G96" s="33">
        <f>+'PRESUPUESTO OFICIAL AGUAS DORAD'!G96+'PRESUPUESTO OFICIAL EL DESTINO'!G96+'PRESUPUESTO LAS MARGARITAS'!G96</f>
        <v>27</v>
      </c>
      <c r="H96" s="328">
        <v>2493</v>
      </c>
      <c r="I96" s="673">
        <f t="shared" si="26"/>
        <v>87750</v>
      </c>
      <c r="J96" s="3">
        <f t="shared" si="27"/>
        <v>3249.6255000000001</v>
      </c>
      <c r="K96" s="398"/>
      <c r="L96" s="3">
        <f t="shared" si="23"/>
        <v>3250</v>
      </c>
      <c r="M96" s="4"/>
    </row>
    <row r="97" spans="1:13" ht="15.75" customHeight="1" x14ac:dyDescent="0.25">
      <c r="A97" s="31">
        <v>53</v>
      </c>
      <c r="B97" s="331">
        <v>11951</v>
      </c>
      <c r="C97" s="33" t="s">
        <v>121</v>
      </c>
      <c r="D97" s="1"/>
      <c r="E97" s="34" t="s">
        <v>157</v>
      </c>
      <c r="F97" s="32" t="s">
        <v>44</v>
      </c>
      <c r="G97" s="33">
        <f>+'PRESUPUESTO OFICIAL AGUAS DORAD'!G97+'PRESUPUESTO OFICIAL EL DESTINO'!G97+'PRESUPUESTO LAS MARGARITAS'!G97</f>
        <v>6</v>
      </c>
      <c r="H97" s="35">
        <v>182070</v>
      </c>
      <c r="I97" s="673">
        <f t="shared" si="26"/>
        <v>1423968</v>
      </c>
      <c r="J97" s="3">
        <f t="shared" si="27"/>
        <v>237328.24500000002</v>
      </c>
      <c r="K97" s="398"/>
      <c r="L97" s="3">
        <f t="shared" si="23"/>
        <v>237328</v>
      </c>
      <c r="M97" s="4"/>
    </row>
    <row r="98" spans="1:13" ht="15.75" customHeight="1" x14ac:dyDescent="0.25">
      <c r="A98" s="31">
        <v>54</v>
      </c>
      <c r="B98" s="331">
        <v>11952</v>
      </c>
      <c r="C98" s="33" t="s">
        <v>121</v>
      </c>
      <c r="D98" s="1"/>
      <c r="E98" s="34" t="s">
        <v>158</v>
      </c>
      <c r="F98" s="32" t="s">
        <v>44</v>
      </c>
      <c r="G98" s="33">
        <f>+'PRESUPUESTO OFICIAL AGUAS DORAD'!G98+'PRESUPUESTO OFICIAL EL DESTINO'!G98+'PRESUPUESTO LAS MARGARITAS'!G98</f>
        <v>6</v>
      </c>
      <c r="H98" s="35">
        <v>199920</v>
      </c>
      <c r="I98" s="673">
        <f t="shared" si="26"/>
        <v>1563576</v>
      </c>
      <c r="J98" s="3">
        <f t="shared" si="27"/>
        <v>260595.72000000003</v>
      </c>
      <c r="K98" s="398"/>
      <c r="L98" s="3">
        <f t="shared" si="23"/>
        <v>260596</v>
      </c>
      <c r="M98" s="4"/>
    </row>
    <row r="99" spans="1:13" ht="15.75" customHeight="1" x14ac:dyDescent="0.25">
      <c r="A99" s="53" t="s">
        <v>33</v>
      </c>
      <c r="B99" s="54"/>
      <c r="C99" s="55"/>
      <c r="D99" s="55"/>
      <c r="E99" s="56"/>
      <c r="F99" s="54"/>
      <c r="G99" s="55"/>
      <c r="H99" s="57"/>
      <c r="I99" s="684">
        <f>SUM(I95:I98)</f>
        <v>3134748</v>
      </c>
      <c r="J99" s="3"/>
      <c r="K99" s="398"/>
      <c r="L99" s="3">
        <f t="shared" si="23"/>
        <v>0</v>
      </c>
      <c r="M99" s="4"/>
    </row>
    <row r="100" spans="1:13" ht="15.75" customHeight="1" x14ac:dyDescent="0.25">
      <c r="A100" s="63"/>
      <c r="B100" s="64" t="s">
        <v>159</v>
      </c>
      <c r="C100" s="65"/>
      <c r="D100" s="65"/>
      <c r="E100" s="66" t="s">
        <v>160</v>
      </c>
      <c r="F100" s="67"/>
      <c r="G100" s="65"/>
      <c r="H100" s="68"/>
      <c r="I100" s="682"/>
      <c r="J100" s="23"/>
      <c r="K100" s="398"/>
      <c r="L100" s="3">
        <f t="shared" si="23"/>
        <v>0</v>
      </c>
      <c r="M100" s="4"/>
    </row>
    <row r="101" spans="1:13" ht="15.75" customHeight="1" x14ac:dyDescent="0.25">
      <c r="A101" s="31">
        <v>55</v>
      </c>
      <c r="B101" s="32" t="s">
        <v>161</v>
      </c>
      <c r="C101" s="33" t="s">
        <v>21</v>
      </c>
      <c r="D101" s="1"/>
      <c r="E101" s="34" t="s">
        <v>162</v>
      </c>
      <c r="F101" s="32" t="s">
        <v>44</v>
      </c>
      <c r="G101" s="33">
        <f>+'PRESUPUESTO OFICIAL AGUAS DORAD'!G101+'PRESUPUESTO OFICIAL EL DESTINO'!G101+'PRESUPUESTO LAS MARGARITAS'!G101</f>
        <v>11</v>
      </c>
      <c r="H101" s="35">
        <v>3988</v>
      </c>
      <c r="I101" s="673">
        <f t="shared" ref="I101:I105" si="28">+ROUND((L101*G101),0)</f>
        <v>57178</v>
      </c>
      <c r="J101" s="3">
        <f t="shared" ref="J101:J105" si="29">+H101*$J$9</f>
        <v>5198.3580000000002</v>
      </c>
      <c r="K101" s="398"/>
      <c r="L101" s="3">
        <f t="shared" si="23"/>
        <v>5198</v>
      </c>
      <c r="M101" s="4"/>
    </row>
    <row r="102" spans="1:13" ht="15.75" customHeight="1" x14ac:dyDescent="0.25">
      <c r="A102" s="31">
        <v>56</v>
      </c>
      <c r="B102" s="32" t="s">
        <v>163</v>
      </c>
      <c r="C102" s="33" t="s">
        <v>21</v>
      </c>
      <c r="D102" s="1"/>
      <c r="E102" s="34" t="s">
        <v>164</v>
      </c>
      <c r="F102" s="32" t="s">
        <v>44</v>
      </c>
      <c r="G102" s="33">
        <f>+'PRESUPUESTO OFICIAL AGUAS DORAD'!G102+'PRESUPUESTO OFICIAL EL DESTINO'!G102+'PRESUPUESTO LAS MARGARITAS'!G102</f>
        <v>11</v>
      </c>
      <c r="H102" s="35">
        <v>3991</v>
      </c>
      <c r="I102" s="673">
        <f t="shared" si="28"/>
        <v>57222</v>
      </c>
      <c r="J102" s="3">
        <f t="shared" si="29"/>
        <v>5202.2685000000001</v>
      </c>
      <c r="K102" s="398"/>
      <c r="L102" s="3">
        <f t="shared" si="23"/>
        <v>5202</v>
      </c>
      <c r="M102" s="4"/>
    </row>
    <row r="103" spans="1:13" ht="15.75" customHeight="1" x14ac:dyDescent="0.25">
      <c r="A103" s="31">
        <v>57</v>
      </c>
      <c r="B103" s="32" t="s">
        <v>165</v>
      </c>
      <c r="C103" s="33" t="s">
        <v>21</v>
      </c>
      <c r="D103" s="1"/>
      <c r="E103" s="34" t="s">
        <v>166</v>
      </c>
      <c r="F103" s="32" t="s">
        <v>44</v>
      </c>
      <c r="G103" s="33">
        <f>+'PRESUPUESTO OFICIAL AGUAS DORAD'!G103+'PRESUPUESTO OFICIAL EL DESTINO'!G103+'PRESUPUESTO LAS MARGARITAS'!G103</f>
        <v>12</v>
      </c>
      <c r="H103" s="35">
        <v>3994</v>
      </c>
      <c r="I103" s="673">
        <f t="shared" si="28"/>
        <v>62472</v>
      </c>
      <c r="J103" s="3">
        <f t="shared" si="29"/>
        <v>5206.1790000000001</v>
      </c>
      <c r="K103" s="398"/>
      <c r="L103" s="3">
        <f t="shared" si="23"/>
        <v>5206</v>
      </c>
      <c r="M103" s="4"/>
    </row>
    <row r="104" spans="1:13" ht="15.75" customHeight="1" x14ac:dyDescent="0.25">
      <c r="A104" s="31">
        <v>58</v>
      </c>
      <c r="B104" s="32" t="s">
        <v>167</v>
      </c>
      <c r="C104" s="33" t="s">
        <v>21</v>
      </c>
      <c r="D104" s="1"/>
      <c r="E104" s="34" t="s">
        <v>168</v>
      </c>
      <c r="F104" s="32" t="s">
        <v>44</v>
      </c>
      <c r="G104" s="33">
        <f>+'PRESUPUESTO OFICIAL AGUAS DORAD'!G104+'PRESUPUESTO OFICIAL EL DESTINO'!G104+'PRESUPUESTO LAS MARGARITAS'!G104</f>
        <v>12</v>
      </c>
      <c r="H104" s="35">
        <v>4013</v>
      </c>
      <c r="I104" s="673">
        <f t="shared" si="28"/>
        <v>62772</v>
      </c>
      <c r="J104" s="3">
        <f t="shared" si="29"/>
        <v>5230.9455000000007</v>
      </c>
      <c r="K104" s="398"/>
      <c r="L104" s="3">
        <f t="shared" si="23"/>
        <v>5231</v>
      </c>
      <c r="M104" s="4"/>
    </row>
    <row r="105" spans="1:13" ht="15.75" customHeight="1" x14ac:dyDescent="0.25">
      <c r="A105" s="31">
        <v>59</v>
      </c>
      <c r="B105" s="32" t="s">
        <v>169</v>
      </c>
      <c r="C105" s="33" t="s">
        <v>21</v>
      </c>
      <c r="D105" s="1"/>
      <c r="E105" s="34" t="s">
        <v>170</v>
      </c>
      <c r="F105" s="32" t="s">
        <v>44</v>
      </c>
      <c r="G105" s="33">
        <f>+'PRESUPUESTO OFICIAL AGUAS DORAD'!G105+'PRESUPUESTO OFICIAL EL DESTINO'!G105+'PRESUPUESTO LAS MARGARITAS'!G105</f>
        <v>13</v>
      </c>
      <c r="H105" s="35">
        <v>4074</v>
      </c>
      <c r="I105" s="673">
        <f t="shared" si="28"/>
        <v>69030</v>
      </c>
      <c r="J105" s="3">
        <f t="shared" si="29"/>
        <v>5310.4590000000007</v>
      </c>
      <c r="K105" s="398"/>
      <c r="L105" s="3">
        <f t="shared" si="23"/>
        <v>5310</v>
      </c>
      <c r="M105" s="4"/>
    </row>
    <row r="106" spans="1:13" ht="15.75" customHeight="1" x14ac:dyDescent="0.25">
      <c r="A106" s="53" t="s">
        <v>33</v>
      </c>
      <c r="B106" s="54"/>
      <c r="C106" s="55"/>
      <c r="D106" s="55"/>
      <c r="E106" s="56"/>
      <c r="F106" s="54"/>
      <c r="G106" s="55"/>
      <c r="H106" s="57"/>
      <c r="I106" s="684">
        <f>SUM(I101:I105)</f>
        <v>308674</v>
      </c>
      <c r="J106" s="3"/>
      <c r="K106" s="398"/>
      <c r="L106" s="3">
        <f t="shared" si="23"/>
        <v>0</v>
      </c>
      <c r="M106" s="4"/>
    </row>
    <row r="107" spans="1:13" ht="15.75" customHeight="1" x14ac:dyDescent="0.25">
      <c r="A107" s="63"/>
      <c r="B107" s="64" t="s">
        <v>171</v>
      </c>
      <c r="C107" s="65"/>
      <c r="D107" s="65"/>
      <c r="E107" s="66" t="s">
        <v>172</v>
      </c>
      <c r="F107" s="67"/>
      <c r="G107" s="65"/>
      <c r="H107" s="68"/>
      <c r="I107" s="682"/>
      <c r="J107" s="23"/>
      <c r="K107" s="398"/>
      <c r="L107" s="3">
        <f t="shared" si="23"/>
        <v>0</v>
      </c>
      <c r="M107" s="4"/>
    </row>
    <row r="108" spans="1:13" ht="15.75" customHeight="1" x14ac:dyDescent="0.25">
      <c r="A108" s="31">
        <v>60</v>
      </c>
      <c r="B108" s="32" t="s">
        <v>173</v>
      </c>
      <c r="C108" s="33" t="s">
        <v>21</v>
      </c>
      <c r="D108" s="1"/>
      <c r="E108" s="34" t="s">
        <v>174</v>
      </c>
      <c r="F108" s="32" t="s">
        <v>44</v>
      </c>
      <c r="G108" s="33">
        <f>+'PRESUPUESTO OFICIAL AGUAS DORAD'!G108+'PRESUPUESTO OFICIAL EL DESTINO'!G108+'PRESUPUESTO LAS MARGARITAS'!G108</f>
        <v>4</v>
      </c>
      <c r="H108" s="35">
        <v>290033</v>
      </c>
      <c r="I108" s="673">
        <f t="shared" ref="I108:I115" si="30">+ROUND((L108*G108),0)</f>
        <v>1512232</v>
      </c>
      <c r="J108" s="3">
        <f t="shared" ref="J108:J115" si="31">+H108*$J$9</f>
        <v>378058.01550000004</v>
      </c>
      <c r="K108" s="398"/>
      <c r="L108" s="3">
        <f t="shared" si="23"/>
        <v>378058</v>
      </c>
      <c r="M108" s="4"/>
    </row>
    <row r="109" spans="1:13" ht="15.75" customHeight="1" x14ac:dyDescent="0.25">
      <c r="A109" s="31">
        <v>61</v>
      </c>
      <c r="B109" s="32" t="s">
        <v>175</v>
      </c>
      <c r="C109" s="33" t="s">
        <v>21</v>
      </c>
      <c r="D109" s="1"/>
      <c r="E109" s="34" t="s">
        <v>176</v>
      </c>
      <c r="F109" s="32" t="s">
        <v>44</v>
      </c>
      <c r="G109" s="33">
        <f>+'PRESUPUESTO OFICIAL AGUAS DORAD'!G109+'PRESUPUESTO OFICIAL EL DESTINO'!G109+'PRESUPUESTO LAS MARGARITAS'!G109</f>
        <v>4</v>
      </c>
      <c r="H109" s="35">
        <v>470735</v>
      </c>
      <c r="I109" s="673">
        <f t="shared" si="30"/>
        <v>2454412</v>
      </c>
      <c r="J109" s="3">
        <f t="shared" si="31"/>
        <v>613603.07250000001</v>
      </c>
      <c r="K109" s="398"/>
      <c r="L109" s="3">
        <f t="shared" si="23"/>
        <v>613603</v>
      </c>
      <c r="M109" s="4"/>
    </row>
    <row r="110" spans="1:13" ht="15.75" customHeight="1" x14ac:dyDescent="0.25">
      <c r="A110" s="31">
        <v>62</v>
      </c>
      <c r="B110" s="32" t="s">
        <v>177</v>
      </c>
      <c r="C110" s="33" t="s">
        <v>21</v>
      </c>
      <c r="D110" s="1"/>
      <c r="E110" s="34" t="s">
        <v>178</v>
      </c>
      <c r="F110" s="32" t="s">
        <v>44</v>
      </c>
      <c r="G110" s="33">
        <f>+'PRESUPUESTO OFICIAL AGUAS DORAD'!G110+'PRESUPUESTO OFICIAL EL DESTINO'!G110+'PRESUPUESTO LAS MARGARITAS'!G110</f>
        <v>4</v>
      </c>
      <c r="H110" s="35">
        <v>684497</v>
      </c>
      <c r="I110" s="673">
        <f t="shared" si="30"/>
        <v>3568968</v>
      </c>
      <c r="J110" s="3">
        <f t="shared" si="31"/>
        <v>892241.83950000012</v>
      </c>
      <c r="K110" s="398"/>
      <c r="L110" s="3">
        <f t="shared" si="23"/>
        <v>892242</v>
      </c>
      <c r="M110" s="4"/>
    </row>
    <row r="111" spans="1:13" ht="15.75" customHeight="1" x14ac:dyDescent="0.25">
      <c r="A111" s="31">
        <v>63</v>
      </c>
      <c r="B111" s="32" t="s">
        <v>179</v>
      </c>
      <c r="C111" s="33" t="s">
        <v>21</v>
      </c>
      <c r="D111" s="1"/>
      <c r="E111" s="34" t="s">
        <v>180</v>
      </c>
      <c r="F111" s="32" t="s">
        <v>44</v>
      </c>
      <c r="G111" s="33">
        <f>+'PRESUPUESTO OFICIAL AGUAS DORAD'!G111+'PRESUPUESTO OFICIAL EL DESTINO'!G111+'PRESUPUESTO LAS MARGARITAS'!G111</f>
        <v>4</v>
      </c>
      <c r="H111" s="35">
        <v>991029</v>
      </c>
      <c r="I111" s="673">
        <f t="shared" si="30"/>
        <v>5167224</v>
      </c>
      <c r="J111" s="3">
        <f t="shared" si="31"/>
        <v>1291806.3015000001</v>
      </c>
      <c r="K111" s="398"/>
      <c r="L111" s="3">
        <f t="shared" si="23"/>
        <v>1291806</v>
      </c>
      <c r="M111" s="4"/>
    </row>
    <row r="112" spans="1:13" ht="15.75" customHeight="1" x14ac:dyDescent="0.25">
      <c r="A112" s="31">
        <v>64</v>
      </c>
      <c r="B112" s="96" t="s">
        <v>553</v>
      </c>
      <c r="C112" s="33" t="s">
        <v>21</v>
      </c>
      <c r="D112" s="1"/>
      <c r="E112" s="34" t="s">
        <v>182</v>
      </c>
      <c r="F112" s="32" t="s">
        <v>44</v>
      </c>
      <c r="G112" s="33">
        <f>+'PRESUPUESTO OFICIAL AGUAS DORAD'!G112+'PRESUPUESTO OFICIAL EL DESTINO'!G112+'PRESUPUESTO LAS MARGARITAS'!G112</f>
        <v>4</v>
      </c>
      <c r="H112" s="35">
        <v>444114</v>
      </c>
      <c r="I112" s="673">
        <f t="shared" si="30"/>
        <v>2315612</v>
      </c>
      <c r="J112" s="3">
        <f t="shared" si="31"/>
        <v>578902.59900000005</v>
      </c>
      <c r="K112" s="398"/>
      <c r="L112" s="3">
        <f t="shared" si="23"/>
        <v>578903</v>
      </c>
      <c r="M112" s="4"/>
    </row>
    <row r="113" spans="1:13" ht="15.75" customHeight="1" x14ac:dyDescent="0.25">
      <c r="A113" s="31">
        <v>65</v>
      </c>
      <c r="B113" s="96" t="s">
        <v>181</v>
      </c>
      <c r="C113" s="33" t="s">
        <v>21</v>
      </c>
      <c r="D113" s="1"/>
      <c r="E113" s="34" t="s">
        <v>184</v>
      </c>
      <c r="F113" s="32" t="s">
        <v>44</v>
      </c>
      <c r="G113" s="33">
        <f>+'PRESUPUESTO OFICIAL AGUAS DORAD'!G113+'PRESUPUESTO OFICIAL EL DESTINO'!G113+'PRESUPUESTO LAS MARGARITAS'!G113</f>
        <v>4</v>
      </c>
      <c r="H113" s="35">
        <v>710834</v>
      </c>
      <c r="I113" s="673">
        <f t="shared" si="30"/>
        <v>3706288</v>
      </c>
      <c r="J113" s="3">
        <f t="shared" si="31"/>
        <v>926572.11900000006</v>
      </c>
      <c r="K113" s="398"/>
      <c r="L113" s="3">
        <f t="shared" si="23"/>
        <v>926572</v>
      </c>
      <c r="M113" s="4"/>
    </row>
    <row r="114" spans="1:13" ht="15.75" customHeight="1" x14ac:dyDescent="0.25">
      <c r="A114" s="31">
        <v>66</v>
      </c>
      <c r="B114" s="96" t="s">
        <v>183</v>
      </c>
      <c r="C114" s="33" t="s">
        <v>21</v>
      </c>
      <c r="D114" s="1"/>
      <c r="E114" s="34" t="s">
        <v>186</v>
      </c>
      <c r="F114" s="32" t="s">
        <v>44</v>
      </c>
      <c r="G114" s="33">
        <f>+'PRESUPUESTO OFICIAL AGUAS DORAD'!G114+'PRESUPUESTO OFICIAL EL DESTINO'!G114+'PRESUPUESTO LAS MARGARITAS'!G114</f>
        <v>3</v>
      </c>
      <c r="H114" s="35">
        <v>988604</v>
      </c>
      <c r="I114" s="673">
        <f t="shared" si="30"/>
        <v>3865935</v>
      </c>
      <c r="J114" s="3">
        <f t="shared" si="31"/>
        <v>1288645.314</v>
      </c>
      <c r="K114" s="398"/>
      <c r="L114" s="3">
        <f t="shared" si="23"/>
        <v>1288645</v>
      </c>
      <c r="M114" s="4"/>
    </row>
    <row r="115" spans="1:13" ht="15.75" customHeight="1" x14ac:dyDescent="0.25">
      <c r="A115" s="31">
        <v>67</v>
      </c>
      <c r="B115" s="96" t="s">
        <v>185</v>
      </c>
      <c r="C115" s="33" t="s">
        <v>21</v>
      </c>
      <c r="D115" s="1"/>
      <c r="E115" s="50" t="s">
        <v>187</v>
      </c>
      <c r="F115" s="51" t="s">
        <v>44</v>
      </c>
      <c r="G115" s="33">
        <f>+'PRESUPUESTO OFICIAL AGUAS DORAD'!G115+'PRESUPUESTO OFICIAL EL DESTINO'!G115+'PRESUPUESTO LAS MARGARITAS'!G115</f>
        <v>4</v>
      </c>
      <c r="H115" s="60">
        <v>1462162</v>
      </c>
      <c r="I115" s="673">
        <f t="shared" si="30"/>
        <v>7623712</v>
      </c>
      <c r="J115" s="3">
        <f t="shared" si="31"/>
        <v>1905928.1670000001</v>
      </c>
      <c r="K115" s="398"/>
      <c r="L115" s="3">
        <f t="shared" si="23"/>
        <v>1905928</v>
      </c>
      <c r="M115" s="4"/>
    </row>
    <row r="116" spans="1:13" ht="15.75" customHeight="1" x14ac:dyDescent="0.25">
      <c r="A116" s="53" t="s">
        <v>33</v>
      </c>
      <c r="B116" s="54"/>
      <c r="C116" s="55"/>
      <c r="D116" s="55"/>
      <c r="E116" s="56"/>
      <c r="F116" s="54"/>
      <c r="G116" s="55"/>
      <c r="H116" s="57"/>
      <c r="I116" s="684">
        <f>SUM(I108:I115)</f>
        <v>30214383</v>
      </c>
      <c r="J116" s="3"/>
      <c r="K116" s="398"/>
      <c r="L116" s="3">
        <f t="shared" si="23"/>
        <v>0</v>
      </c>
      <c r="M116" s="4"/>
    </row>
    <row r="117" spans="1:13" ht="32.25" customHeight="1" x14ac:dyDescent="0.25">
      <c r="A117" s="63"/>
      <c r="B117" s="64" t="s">
        <v>188</v>
      </c>
      <c r="C117" s="65"/>
      <c r="D117" s="65"/>
      <c r="E117" s="66" t="s">
        <v>189</v>
      </c>
      <c r="F117" s="67"/>
      <c r="G117" s="65"/>
      <c r="H117" s="68"/>
      <c r="I117" s="682"/>
      <c r="J117" s="23"/>
      <c r="K117" s="398"/>
      <c r="L117" s="3">
        <f t="shared" si="23"/>
        <v>0</v>
      </c>
      <c r="M117" s="4"/>
    </row>
    <row r="118" spans="1:13" ht="39" customHeight="1" x14ac:dyDescent="0.25">
      <c r="A118" s="31">
        <v>68</v>
      </c>
      <c r="B118" s="32" t="s">
        <v>190</v>
      </c>
      <c r="C118" s="33" t="s">
        <v>21</v>
      </c>
      <c r="D118" s="1"/>
      <c r="E118" s="47" t="s">
        <v>191</v>
      </c>
      <c r="F118" s="48" t="s">
        <v>44</v>
      </c>
      <c r="G118" s="49">
        <f>+'PRESUPUESTO OFICIAL AGUAS DORAD'!G118+'PRESUPUESTO OFICIAL EL DESTINO'!G118+'PRESUPUESTO LAS MARGARITAS'!G118</f>
        <v>3</v>
      </c>
      <c r="H118" s="59">
        <v>1020975</v>
      </c>
      <c r="I118" s="673">
        <f t="shared" ref="I118:I121" si="32">+ROUND((L118*G118),0)</f>
        <v>3992523</v>
      </c>
      <c r="J118" s="3">
        <f t="shared" ref="J118:J121" si="33">+H118*$J$9</f>
        <v>1330840.9125000001</v>
      </c>
      <c r="K118" s="398"/>
      <c r="L118" s="3">
        <f t="shared" si="23"/>
        <v>1330841</v>
      </c>
      <c r="M118" s="4"/>
    </row>
    <row r="119" spans="1:13" ht="39" customHeight="1" x14ac:dyDescent="0.25">
      <c r="A119" s="31">
        <v>69</v>
      </c>
      <c r="B119" s="32" t="s">
        <v>192</v>
      </c>
      <c r="C119" s="33" t="s">
        <v>21</v>
      </c>
      <c r="D119" s="1"/>
      <c r="E119" s="34" t="s">
        <v>193</v>
      </c>
      <c r="F119" s="32" t="s">
        <v>44</v>
      </c>
      <c r="G119" s="49">
        <f>+'PRESUPUESTO OFICIAL AGUAS DORAD'!G119+'PRESUPUESTO OFICIAL EL DESTINO'!G119+'PRESUPUESTO LAS MARGARITAS'!G119</f>
        <v>3</v>
      </c>
      <c r="H119" s="35">
        <v>1492674</v>
      </c>
      <c r="I119" s="673">
        <f t="shared" si="32"/>
        <v>5837103</v>
      </c>
      <c r="J119" s="3">
        <f t="shared" si="33"/>
        <v>1945700.5590000001</v>
      </c>
      <c r="K119" s="398"/>
      <c r="L119" s="3">
        <f t="shared" si="23"/>
        <v>1945701</v>
      </c>
      <c r="M119" s="4"/>
    </row>
    <row r="120" spans="1:13" ht="39" customHeight="1" x14ac:dyDescent="0.25">
      <c r="A120" s="31">
        <v>70</v>
      </c>
      <c r="B120" s="32" t="s">
        <v>194</v>
      </c>
      <c r="C120" s="33" t="s">
        <v>21</v>
      </c>
      <c r="D120" s="1"/>
      <c r="E120" s="34" t="s">
        <v>195</v>
      </c>
      <c r="F120" s="32" t="s">
        <v>44</v>
      </c>
      <c r="G120" s="49">
        <f>+'PRESUPUESTO OFICIAL AGUAS DORAD'!G120+'PRESUPUESTO OFICIAL EL DESTINO'!G120+'PRESUPUESTO LAS MARGARITAS'!G120</f>
        <v>3</v>
      </c>
      <c r="H120" s="35">
        <v>1818565</v>
      </c>
      <c r="I120" s="673">
        <f t="shared" si="32"/>
        <v>7111497</v>
      </c>
      <c r="J120" s="3">
        <f t="shared" si="33"/>
        <v>2370499.4775</v>
      </c>
      <c r="K120" s="398"/>
      <c r="L120" s="3">
        <f t="shared" si="23"/>
        <v>2370499</v>
      </c>
      <c r="M120" s="4"/>
    </row>
    <row r="121" spans="1:13" ht="39" customHeight="1" x14ac:dyDescent="0.25">
      <c r="A121" s="31">
        <v>71</v>
      </c>
      <c r="B121" s="32" t="s">
        <v>196</v>
      </c>
      <c r="C121" s="33" t="s">
        <v>21</v>
      </c>
      <c r="D121" s="1"/>
      <c r="E121" s="34" t="s">
        <v>197</v>
      </c>
      <c r="F121" s="32" t="s">
        <v>44</v>
      </c>
      <c r="G121" s="49">
        <f>+'PRESUPUESTO OFICIAL AGUAS DORAD'!G121+'PRESUPUESTO OFICIAL EL DESTINO'!G121+'PRESUPUESTO LAS MARGARITAS'!G121</f>
        <v>4</v>
      </c>
      <c r="H121" s="35">
        <v>3022810</v>
      </c>
      <c r="I121" s="673">
        <f t="shared" si="32"/>
        <v>15760932</v>
      </c>
      <c r="J121" s="3">
        <f t="shared" si="33"/>
        <v>3940232.8350000004</v>
      </c>
      <c r="K121" s="398"/>
      <c r="L121" s="3">
        <f t="shared" si="23"/>
        <v>3940233</v>
      </c>
      <c r="M121" s="4"/>
    </row>
    <row r="122" spans="1:13" ht="15.75" customHeight="1" x14ac:dyDescent="0.25">
      <c r="A122" s="53" t="s">
        <v>33</v>
      </c>
      <c r="B122" s="54"/>
      <c r="C122" s="55"/>
      <c r="D122" s="55"/>
      <c r="E122" s="56"/>
      <c r="F122" s="54"/>
      <c r="G122" s="55"/>
      <c r="H122" s="57"/>
      <c r="I122" s="684">
        <f>SUM(I118:I121)</f>
        <v>32702055</v>
      </c>
      <c r="J122" s="3"/>
      <c r="K122" s="398"/>
      <c r="L122" s="3">
        <f t="shared" si="23"/>
        <v>0</v>
      </c>
      <c r="M122" s="4"/>
    </row>
    <row r="123" spans="1:13" ht="15.75" customHeight="1" x14ac:dyDescent="0.25">
      <c r="A123" s="63"/>
      <c r="B123" s="64" t="s">
        <v>198</v>
      </c>
      <c r="C123" s="65"/>
      <c r="D123" s="65"/>
      <c r="E123" s="66" t="s">
        <v>199</v>
      </c>
      <c r="F123" s="67"/>
      <c r="G123" s="65"/>
      <c r="H123" s="68"/>
      <c r="I123" s="682"/>
      <c r="J123" s="23"/>
      <c r="K123" s="398"/>
      <c r="L123" s="3">
        <f t="shared" si="23"/>
        <v>0</v>
      </c>
      <c r="M123" s="4"/>
    </row>
    <row r="124" spans="1:13" ht="15.75" customHeight="1" x14ac:dyDescent="0.25">
      <c r="A124" s="31">
        <v>72</v>
      </c>
      <c r="B124" s="32" t="s">
        <v>200</v>
      </c>
      <c r="C124" s="33" t="s">
        <v>21</v>
      </c>
      <c r="D124" s="1"/>
      <c r="E124" s="34" t="s">
        <v>201</v>
      </c>
      <c r="F124" s="32" t="s">
        <v>44</v>
      </c>
      <c r="G124" s="33">
        <f>+'PRESUPUESTO OFICIAL AGUAS DORAD'!G124+'PRESUPUESTO OFICIAL EL DESTINO'!G124+'PRESUPUESTO LAS MARGARITAS'!G124</f>
        <v>18</v>
      </c>
      <c r="H124" s="35">
        <v>17708</v>
      </c>
      <c r="I124" s="673">
        <f t="shared" ref="I124:I129" si="34">+ROUND((L124*G124),0)</f>
        <v>415476</v>
      </c>
      <c r="J124" s="3">
        <f t="shared" ref="J124:J129" si="35">+H124*$J$9</f>
        <v>23082.378000000001</v>
      </c>
      <c r="K124" s="398"/>
      <c r="L124" s="3">
        <f t="shared" si="23"/>
        <v>23082</v>
      </c>
      <c r="M124" s="4"/>
    </row>
    <row r="125" spans="1:13" ht="15.75" customHeight="1" x14ac:dyDescent="0.25">
      <c r="A125" s="31">
        <v>73</v>
      </c>
      <c r="B125" s="32" t="s">
        <v>202</v>
      </c>
      <c r="C125" s="33" t="s">
        <v>21</v>
      </c>
      <c r="D125" s="1"/>
      <c r="E125" s="34" t="s">
        <v>203</v>
      </c>
      <c r="F125" s="32" t="s">
        <v>44</v>
      </c>
      <c r="G125" s="33">
        <f>+'PRESUPUESTO OFICIAL AGUAS DORAD'!G125+'PRESUPUESTO OFICIAL EL DESTINO'!G125+'PRESUPUESTO LAS MARGARITAS'!G125</f>
        <v>28</v>
      </c>
      <c r="H125" s="35">
        <v>22635</v>
      </c>
      <c r="I125" s="673">
        <f t="shared" si="34"/>
        <v>826140</v>
      </c>
      <c r="J125" s="3">
        <f t="shared" si="35"/>
        <v>29504.722500000003</v>
      </c>
      <c r="K125" s="398"/>
      <c r="L125" s="3">
        <f t="shared" si="23"/>
        <v>29505</v>
      </c>
      <c r="M125" s="4"/>
    </row>
    <row r="126" spans="1:13" ht="15.75" customHeight="1" x14ac:dyDescent="0.25">
      <c r="A126" s="31">
        <v>74</v>
      </c>
      <c r="B126" s="32" t="s">
        <v>204</v>
      </c>
      <c r="C126" s="33" t="s">
        <v>21</v>
      </c>
      <c r="D126" s="1"/>
      <c r="E126" s="34" t="s">
        <v>205</v>
      </c>
      <c r="F126" s="32" t="s">
        <v>44</v>
      </c>
      <c r="G126" s="33">
        <f>+'PRESUPUESTO OFICIAL AGUAS DORAD'!G126+'PRESUPUESTO OFICIAL EL DESTINO'!G126+'PRESUPUESTO LAS MARGARITAS'!G126</f>
        <v>30</v>
      </c>
      <c r="H126" s="35">
        <v>29689</v>
      </c>
      <c r="I126" s="673">
        <f t="shared" si="34"/>
        <v>1161000</v>
      </c>
      <c r="J126" s="3">
        <f t="shared" si="35"/>
        <v>38699.611500000006</v>
      </c>
      <c r="K126" s="398"/>
      <c r="L126" s="3">
        <f t="shared" si="23"/>
        <v>38700</v>
      </c>
      <c r="M126" s="4"/>
    </row>
    <row r="127" spans="1:13" ht="15.75" customHeight="1" x14ac:dyDescent="0.25">
      <c r="A127" s="31">
        <v>75</v>
      </c>
      <c r="B127" s="32" t="s">
        <v>206</v>
      </c>
      <c r="C127" s="33" t="s">
        <v>21</v>
      </c>
      <c r="D127" s="1"/>
      <c r="E127" s="34" t="s">
        <v>207</v>
      </c>
      <c r="F127" s="32" t="s">
        <v>44</v>
      </c>
      <c r="G127" s="33">
        <f>+'PRESUPUESTO OFICIAL AGUAS DORAD'!G127+'PRESUPUESTO OFICIAL EL DESTINO'!G127+'PRESUPUESTO LAS MARGARITAS'!G127</f>
        <v>25</v>
      </c>
      <c r="H127" s="35">
        <v>38537</v>
      </c>
      <c r="I127" s="673">
        <f t="shared" si="34"/>
        <v>1255825</v>
      </c>
      <c r="J127" s="3">
        <f t="shared" si="35"/>
        <v>50232.979500000001</v>
      </c>
      <c r="K127" s="398"/>
      <c r="L127" s="3">
        <f t="shared" si="23"/>
        <v>50233</v>
      </c>
      <c r="M127" s="4"/>
    </row>
    <row r="128" spans="1:13" ht="15.75" customHeight="1" x14ac:dyDescent="0.25">
      <c r="A128" s="31">
        <v>76</v>
      </c>
      <c r="B128" s="32" t="s">
        <v>208</v>
      </c>
      <c r="C128" s="33" t="s">
        <v>21</v>
      </c>
      <c r="D128" s="1"/>
      <c r="E128" s="34" t="s">
        <v>209</v>
      </c>
      <c r="F128" s="32" t="s">
        <v>44</v>
      </c>
      <c r="G128" s="33">
        <f>+'PRESUPUESTO OFICIAL AGUAS DORAD'!G128+'PRESUPUESTO OFICIAL EL DESTINO'!G128+'PRESUPUESTO LAS MARGARITAS'!G128</f>
        <v>18</v>
      </c>
      <c r="H128" s="35">
        <v>49750</v>
      </c>
      <c r="I128" s="673">
        <f t="shared" si="34"/>
        <v>1167282</v>
      </c>
      <c r="J128" s="3">
        <f t="shared" si="35"/>
        <v>64849.125000000007</v>
      </c>
      <c r="K128" s="398"/>
      <c r="L128" s="3">
        <f t="shared" si="23"/>
        <v>64849</v>
      </c>
      <c r="M128" s="4"/>
    </row>
    <row r="129" spans="1:13" ht="15.75" customHeight="1" x14ac:dyDescent="0.25">
      <c r="A129" s="31">
        <v>77</v>
      </c>
      <c r="B129" s="32" t="s">
        <v>210</v>
      </c>
      <c r="C129" s="33" t="s">
        <v>21</v>
      </c>
      <c r="D129" s="1"/>
      <c r="E129" s="34" t="s">
        <v>211</v>
      </c>
      <c r="F129" s="32" t="s">
        <v>44</v>
      </c>
      <c r="G129" s="33">
        <f>+'PRESUPUESTO OFICIAL AGUAS DORAD'!G129+'PRESUPUESTO OFICIAL EL DESTINO'!G129+'PRESUPUESTO LAS MARGARITAS'!G129</f>
        <v>18</v>
      </c>
      <c r="H129" s="35">
        <v>75445</v>
      </c>
      <c r="I129" s="673">
        <f t="shared" si="34"/>
        <v>1770174</v>
      </c>
      <c r="J129" s="3">
        <f t="shared" si="35"/>
        <v>98342.55750000001</v>
      </c>
      <c r="K129" s="398"/>
      <c r="L129" s="3">
        <f t="shared" si="23"/>
        <v>98343</v>
      </c>
      <c r="M129" s="4"/>
    </row>
    <row r="130" spans="1:13" ht="15.75" customHeight="1" x14ac:dyDescent="0.25">
      <c r="A130" s="53" t="s">
        <v>33</v>
      </c>
      <c r="B130" s="54"/>
      <c r="C130" s="55"/>
      <c r="D130" s="55"/>
      <c r="E130" s="56"/>
      <c r="F130" s="54"/>
      <c r="G130" s="55"/>
      <c r="H130" s="57"/>
      <c r="I130" s="684">
        <f>SUM(I124:I129)</f>
        <v>6595897</v>
      </c>
      <c r="J130" s="3"/>
      <c r="K130" s="398"/>
      <c r="L130" s="3">
        <f t="shared" si="23"/>
        <v>0</v>
      </c>
      <c r="M130" s="4"/>
    </row>
    <row r="131" spans="1:13" ht="15.75" customHeight="1" x14ac:dyDescent="0.25">
      <c r="A131" s="63"/>
      <c r="B131" s="64" t="s">
        <v>212</v>
      </c>
      <c r="C131" s="65"/>
      <c r="D131" s="65"/>
      <c r="E131" s="66" t="s">
        <v>213</v>
      </c>
      <c r="F131" s="67"/>
      <c r="G131" s="65"/>
      <c r="H131" s="68"/>
      <c r="I131" s="682"/>
      <c r="J131" s="23"/>
      <c r="K131" s="398"/>
      <c r="L131" s="3">
        <f t="shared" si="23"/>
        <v>0</v>
      </c>
      <c r="M131" s="4"/>
    </row>
    <row r="132" spans="1:13" ht="15.75" customHeight="1" x14ac:dyDescent="0.25">
      <c r="A132" s="31">
        <v>78</v>
      </c>
      <c r="B132" s="32" t="s">
        <v>214</v>
      </c>
      <c r="C132" s="33" t="s">
        <v>21</v>
      </c>
      <c r="D132" s="1"/>
      <c r="E132" s="34" t="s">
        <v>215</v>
      </c>
      <c r="F132" s="32" t="s">
        <v>44</v>
      </c>
      <c r="G132" s="33">
        <f>+'PRESUPUESTO OFICIAL AGUAS DORAD'!G132+'PRESUPUESTO OFICIAL EL DESTINO'!G132+'PRESUPUESTO LAS MARGARITAS'!G132</f>
        <v>4</v>
      </c>
      <c r="H132" s="35">
        <v>134298</v>
      </c>
      <c r="I132" s="673">
        <f t="shared" ref="I132:I138" si="36">+ROUND((L132*G132),0)</f>
        <v>700228</v>
      </c>
      <c r="J132" s="3">
        <f t="shared" ref="J132:J138" si="37">+H132*$J$9</f>
        <v>175057.443</v>
      </c>
      <c r="K132" s="398"/>
      <c r="L132" s="3">
        <f t="shared" si="23"/>
        <v>175057</v>
      </c>
      <c r="M132" s="4"/>
    </row>
    <row r="133" spans="1:13" ht="15.75" customHeight="1" x14ac:dyDescent="0.25">
      <c r="A133" s="31">
        <v>79</v>
      </c>
      <c r="B133" s="32" t="s">
        <v>216</v>
      </c>
      <c r="C133" s="33" t="s">
        <v>21</v>
      </c>
      <c r="D133" s="1"/>
      <c r="E133" s="34" t="s">
        <v>217</v>
      </c>
      <c r="F133" s="32" t="s">
        <v>44</v>
      </c>
      <c r="G133" s="33">
        <f>+'PRESUPUESTO OFICIAL AGUAS DORAD'!G133+'PRESUPUESTO OFICIAL EL DESTINO'!G133+'PRESUPUESTO LAS MARGARITAS'!G133</f>
        <v>4</v>
      </c>
      <c r="H133" s="35">
        <v>156007</v>
      </c>
      <c r="I133" s="673">
        <f t="shared" si="36"/>
        <v>813420</v>
      </c>
      <c r="J133" s="3">
        <f t="shared" si="37"/>
        <v>203355.12450000001</v>
      </c>
      <c r="K133" s="398"/>
      <c r="L133" s="3">
        <f t="shared" si="23"/>
        <v>203355</v>
      </c>
      <c r="M133" s="4"/>
    </row>
    <row r="134" spans="1:13" ht="15.75" customHeight="1" x14ac:dyDescent="0.25">
      <c r="A134" s="31">
        <v>80</v>
      </c>
      <c r="B134" s="32" t="s">
        <v>218</v>
      </c>
      <c r="C134" s="33" t="s">
        <v>21</v>
      </c>
      <c r="D134" s="1"/>
      <c r="E134" s="34" t="s">
        <v>219</v>
      </c>
      <c r="F134" s="32" t="s">
        <v>44</v>
      </c>
      <c r="G134" s="33">
        <f>+'PRESUPUESTO OFICIAL AGUAS DORAD'!G134+'PRESUPUESTO OFICIAL EL DESTINO'!G134+'PRESUPUESTO LAS MARGARITAS'!G134</f>
        <v>4</v>
      </c>
      <c r="H134" s="35">
        <v>235369</v>
      </c>
      <c r="I134" s="673">
        <f t="shared" si="36"/>
        <v>1227212</v>
      </c>
      <c r="J134" s="3">
        <f t="shared" si="37"/>
        <v>306803.4915</v>
      </c>
      <c r="K134" s="398"/>
      <c r="L134" s="3">
        <f t="shared" si="23"/>
        <v>306803</v>
      </c>
      <c r="M134" s="4"/>
    </row>
    <row r="135" spans="1:13" ht="15.75" customHeight="1" x14ac:dyDescent="0.25">
      <c r="A135" s="31">
        <v>81</v>
      </c>
      <c r="B135" s="32" t="s">
        <v>220</v>
      </c>
      <c r="C135" s="33" t="s">
        <v>21</v>
      </c>
      <c r="D135" s="1"/>
      <c r="E135" s="34" t="s">
        <v>221</v>
      </c>
      <c r="F135" s="32" t="s">
        <v>44</v>
      </c>
      <c r="G135" s="33">
        <f>+'PRESUPUESTO OFICIAL AGUAS DORAD'!G135+'PRESUPUESTO OFICIAL EL DESTINO'!G135+'PRESUPUESTO LAS MARGARITAS'!G135</f>
        <v>3</v>
      </c>
      <c r="H135" s="35">
        <v>266474</v>
      </c>
      <c r="I135" s="673">
        <f t="shared" si="36"/>
        <v>1042047</v>
      </c>
      <c r="J135" s="3">
        <f t="shared" si="37"/>
        <v>347348.85900000005</v>
      </c>
      <c r="K135" s="398"/>
      <c r="L135" s="3">
        <f t="shared" si="23"/>
        <v>347349</v>
      </c>
      <c r="M135" s="4"/>
    </row>
    <row r="136" spans="1:13" ht="15.75" customHeight="1" x14ac:dyDescent="0.25">
      <c r="A136" s="31">
        <v>82</v>
      </c>
      <c r="B136" s="32" t="s">
        <v>222</v>
      </c>
      <c r="C136" s="33" t="s">
        <v>21</v>
      </c>
      <c r="D136" s="1"/>
      <c r="E136" s="34" t="s">
        <v>223</v>
      </c>
      <c r="F136" s="32" t="s">
        <v>44</v>
      </c>
      <c r="G136" s="33">
        <f>+'PRESUPUESTO OFICIAL AGUAS DORAD'!G136+'PRESUPUESTO OFICIAL EL DESTINO'!G136+'PRESUPUESTO LAS MARGARITAS'!G136</f>
        <v>4</v>
      </c>
      <c r="H136" s="35">
        <v>429084</v>
      </c>
      <c r="I136" s="673">
        <f t="shared" si="36"/>
        <v>2237244</v>
      </c>
      <c r="J136" s="3">
        <f t="shared" si="37"/>
        <v>559310.99400000006</v>
      </c>
      <c r="K136" s="398"/>
      <c r="L136" s="3">
        <f t="shared" si="23"/>
        <v>559311</v>
      </c>
      <c r="M136" s="4"/>
    </row>
    <row r="137" spans="1:13" ht="15.75" customHeight="1" x14ac:dyDescent="0.25">
      <c r="A137" s="31">
        <v>83</v>
      </c>
      <c r="B137" s="32" t="s">
        <v>224</v>
      </c>
      <c r="C137" s="33" t="s">
        <v>21</v>
      </c>
      <c r="D137" s="1"/>
      <c r="E137" s="34" t="s">
        <v>225</v>
      </c>
      <c r="F137" s="32" t="s">
        <v>44</v>
      </c>
      <c r="G137" s="33">
        <f>+'PRESUPUESTO OFICIAL AGUAS DORAD'!G137+'PRESUPUESTO OFICIAL EL DESTINO'!G137+'PRESUPUESTO LAS MARGARITAS'!G137</f>
        <v>5</v>
      </c>
      <c r="H137" s="35">
        <v>591510</v>
      </c>
      <c r="I137" s="673">
        <f t="shared" si="36"/>
        <v>3855165</v>
      </c>
      <c r="J137" s="3">
        <f t="shared" si="37"/>
        <v>771033.28500000003</v>
      </c>
      <c r="K137" s="398"/>
      <c r="L137" s="3">
        <f t="shared" si="23"/>
        <v>771033</v>
      </c>
      <c r="M137" s="4"/>
    </row>
    <row r="138" spans="1:13" ht="15.75" customHeight="1" x14ac:dyDescent="0.25">
      <c r="A138" s="31">
        <v>84</v>
      </c>
      <c r="B138" s="32" t="s">
        <v>226</v>
      </c>
      <c r="C138" s="33" t="s">
        <v>21</v>
      </c>
      <c r="D138" s="1"/>
      <c r="E138" s="34" t="s">
        <v>227</v>
      </c>
      <c r="F138" s="32" t="s">
        <v>44</v>
      </c>
      <c r="G138" s="33">
        <f>+'PRESUPUESTO OFICIAL AGUAS DORAD'!G138+'PRESUPUESTO OFICIAL EL DESTINO'!G138+'PRESUPUESTO LAS MARGARITAS'!G138</f>
        <v>5</v>
      </c>
      <c r="H138" s="35">
        <v>947816</v>
      </c>
      <c r="I138" s="673">
        <f t="shared" si="36"/>
        <v>6177390</v>
      </c>
      <c r="J138" s="3">
        <f t="shared" si="37"/>
        <v>1235478.1560000002</v>
      </c>
      <c r="K138" s="398"/>
      <c r="L138" s="3">
        <f t="shared" si="23"/>
        <v>1235478</v>
      </c>
      <c r="M138" s="4"/>
    </row>
    <row r="139" spans="1:13" ht="15.75" customHeight="1" x14ac:dyDescent="0.25">
      <c r="A139" s="53" t="s">
        <v>33</v>
      </c>
      <c r="B139" s="54"/>
      <c r="C139" s="55"/>
      <c r="D139" s="55"/>
      <c r="E139" s="56"/>
      <c r="F139" s="54"/>
      <c r="G139" s="55"/>
      <c r="H139" s="57"/>
      <c r="I139" s="684">
        <f>SUM(I132:I138)</f>
        <v>16052706</v>
      </c>
      <c r="J139" s="3"/>
      <c r="K139" s="398"/>
      <c r="L139" s="3">
        <f t="shared" si="23"/>
        <v>0</v>
      </c>
      <c r="M139" s="4"/>
    </row>
    <row r="140" spans="1:13" ht="15.75" customHeight="1" x14ac:dyDescent="0.25">
      <c r="A140" s="63"/>
      <c r="B140" s="64" t="s">
        <v>228</v>
      </c>
      <c r="C140" s="65"/>
      <c r="D140" s="65"/>
      <c r="E140" s="66" t="s">
        <v>229</v>
      </c>
      <c r="F140" s="67"/>
      <c r="G140" s="65"/>
      <c r="H140" s="68"/>
      <c r="I140" s="682"/>
      <c r="J140" s="23"/>
      <c r="K140" s="398"/>
      <c r="L140" s="3">
        <f t="shared" si="23"/>
        <v>0</v>
      </c>
      <c r="M140" s="4"/>
    </row>
    <row r="141" spans="1:13" ht="45" x14ac:dyDescent="0.25">
      <c r="A141" s="31">
        <v>85</v>
      </c>
      <c r="B141" s="32" t="s">
        <v>230</v>
      </c>
      <c r="C141" s="33" t="s">
        <v>21</v>
      </c>
      <c r="D141" s="1"/>
      <c r="E141" s="34" t="s">
        <v>231</v>
      </c>
      <c r="F141" s="32" t="s">
        <v>44</v>
      </c>
      <c r="G141" s="33">
        <f>+'PRESUPUESTO OFICIAL AGUAS DORAD'!G141+'PRESUPUESTO OFICIAL EL DESTINO'!G141+'PRESUPUESTO LAS MARGARITAS'!G141</f>
        <v>3</v>
      </c>
      <c r="H141" s="35">
        <v>6120063</v>
      </c>
      <c r="I141" s="673">
        <f t="shared" ref="I141:I142" si="38">+ROUND((L141*G141),0)</f>
        <v>23932506</v>
      </c>
      <c r="J141" s="3">
        <f t="shared" ref="J141:J142" si="39">+H141*$J$9</f>
        <v>7977502.1205000002</v>
      </c>
      <c r="K141" s="398"/>
      <c r="L141" s="3">
        <f t="shared" si="23"/>
        <v>7977502</v>
      </c>
      <c r="M141" s="4"/>
    </row>
    <row r="142" spans="1:13" ht="45" x14ac:dyDescent="0.25">
      <c r="A142" s="31">
        <v>86</v>
      </c>
      <c r="B142" s="32" t="s">
        <v>232</v>
      </c>
      <c r="C142" s="33" t="s">
        <v>21</v>
      </c>
      <c r="D142" s="1"/>
      <c r="E142" s="84" t="s">
        <v>233</v>
      </c>
      <c r="F142" s="32" t="s">
        <v>44</v>
      </c>
      <c r="G142" s="33">
        <f>+'PRESUPUESTO OFICIAL AGUAS DORAD'!G142+'PRESUPUESTO OFICIAL EL DESTINO'!G142+'PRESUPUESTO LAS MARGARITAS'!G142</f>
        <v>3</v>
      </c>
      <c r="H142" s="35">
        <v>6664550</v>
      </c>
      <c r="I142" s="673">
        <f t="shared" si="38"/>
        <v>26061723</v>
      </c>
      <c r="J142" s="3">
        <f t="shared" si="39"/>
        <v>8687240.9250000007</v>
      </c>
      <c r="K142" s="398"/>
      <c r="L142" s="3">
        <f t="shared" si="23"/>
        <v>8687241</v>
      </c>
      <c r="M142" s="4"/>
    </row>
    <row r="143" spans="1:13" ht="15.75" customHeight="1" x14ac:dyDescent="0.25">
      <c r="A143" s="53" t="s">
        <v>33</v>
      </c>
      <c r="B143" s="54"/>
      <c r="C143" s="55"/>
      <c r="D143" s="55"/>
      <c r="E143" s="56"/>
      <c r="F143" s="54"/>
      <c r="G143" s="55"/>
      <c r="H143" s="57"/>
      <c r="I143" s="684">
        <f>SUM(I141:I142)</f>
        <v>49994229</v>
      </c>
      <c r="J143" s="3"/>
      <c r="K143" s="398"/>
      <c r="L143" s="3">
        <f t="shared" si="23"/>
        <v>0</v>
      </c>
      <c r="M143" s="4"/>
    </row>
    <row r="144" spans="1:13" ht="15.75" customHeight="1" x14ac:dyDescent="0.25">
      <c r="A144" s="63"/>
      <c r="B144" s="64" t="s">
        <v>234</v>
      </c>
      <c r="C144" s="65"/>
      <c r="D144" s="65"/>
      <c r="E144" s="66" t="s">
        <v>235</v>
      </c>
      <c r="F144" s="67"/>
      <c r="G144" s="65"/>
      <c r="H144" s="68"/>
      <c r="I144" s="682"/>
      <c r="J144" s="23"/>
      <c r="K144" s="398"/>
      <c r="L144" s="3">
        <f t="shared" si="23"/>
        <v>0</v>
      </c>
      <c r="M144" s="4"/>
    </row>
    <row r="145" spans="1:13" ht="15.75" customHeight="1" x14ac:dyDescent="0.25">
      <c r="A145" s="31">
        <v>87</v>
      </c>
      <c r="B145" s="32" t="s">
        <v>236</v>
      </c>
      <c r="C145" s="33" t="s">
        <v>21</v>
      </c>
      <c r="D145" s="1"/>
      <c r="E145" s="34" t="s">
        <v>237</v>
      </c>
      <c r="F145" s="32" t="s">
        <v>44</v>
      </c>
      <c r="G145" s="33">
        <f>+'PRESUPUESTO OFICIAL AGUAS DORAD'!G145+'PRESUPUESTO OFICIAL EL DESTINO'!G145+'PRESUPUESTO LAS MARGARITAS'!G145</f>
        <v>3</v>
      </c>
      <c r="H145" s="35">
        <v>497287</v>
      </c>
      <c r="I145" s="673">
        <f t="shared" ref="I145:I146" si="40">+ROUND((L145*G145),0)</f>
        <v>1944642</v>
      </c>
      <c r="J145" s="3">
        <f t="shared" ref="J145:J146" si="41">+H145*$J$9</f>
        <v>648213.60450000002</v>
      </c>
      <c r="K145" s="398"/>
      <c r="L145" s="3">
        <f t="shared" si="23"/>
        <v>648214</v>
      </c>
      <c r="M145" s="4"/>
    </row>
    <row r="146" spans="1:13" ht="15.75" customHeight="1" x14ac:dyDescent="0.25">
      <c r="A146" s="31">
        <v>88</v>
      </c>
      <c r="B146" s="32" t="s">
        <v>238</v>
      </c>
      <c r="C146" s="33" t="s">
        <v>21</v>
      </c>
      <c r="D146" s="1"/>
      <c r="E146" s="34" t="s">
        <v>239</v>
      </c>
      <c r="F146" s="32" t="s">
        <v>44</v>
      </c>
      <c r="G146" s="33">
        <f>+'PRESUPUESTO OFICIAL AGUAS DORAD'!G146+'PRESUPUESTO OFICIAL EL DESTINO'!G146+'PRESUPUESTO LAS MARGARITAS'!G146</f>
        <v>3</v>
      </c>
      <c r="H146" s="35">
        <v>692319</v>
      </c>
      <c r="I146" s="673">
        <f t="shared" si="40"/>
        <v>2707314</v>
      </c>
      <c r="J146" s="3">
        <f t="shared" si="41"/>
        <v>902437.81650000007</v>
      </c>
      <c r="K146" s="398"/>
      <c r="L146" s="3">
        <f t="shared" si="23"/>
        <v>902438</v>
      </c>
      <c r="M146" s="4"/>
    </row>
    <row r="147" spans="1:13" ht="15.75" customHeight="1" x14ac:dyDescent="0.25">
      <c r="A147" s="53" t="s">
        <v>33</v>
      </c>
      <c r="B147" s="54"/>
      <c r="C147" s="55"/>
      <c r="D147" s="55"/>
      <c r="E147" s="56"/>
      <c r="F147" s="54"/>
      <c r="G147" s="55"/>
      <c r="H147" s="57"/>
      <c r="I147" s="684">
        <f>SUM(I145:I146)</f>
        <v>4651956</v>
      </c>
      <c r="J147" s="3"/>
      <c r="K147" s="398"/>
      <c r="L147" s="3">
        <f t="shared" si="23"/>
        <v>0</v>
      </c>
      <c r="M147" s="4"/>
    </row>
    <row r="148" spans="1:13" ht="15.75" customHeight="1" x14ac:dyDescent="0.25">
      <c r="A148" s="63"/>
      <c r="B148" s="64" t="s">
        <v>240</v>
      </c>
      <c r="C148" s="65"/>
      <c r="D148" s="65"/>
      <c r="E148" s="66" t="s">
        <v>241</v>
      </c>
      <c r="F148" s="67"/>
      <c r="G148" s="65"/>
      <c r="H148" s="68"/>
      <c r="I148" s="682"/>
      <c r="J148" s="23"/>
      <c r="K148" s="398"/>
      <c r="L148" s="3">
        <f t="shared" ref="L148:L211" si="42">++ROUND(J148,0)</f>
        <v>0</v>
      </c>
      <c r="M148" s="4"/>
    </row>
    <row r="149" spans="1:13" ht="15.75" customHeight="1" x14ac:dyDescent="0.25">
      <c r="A149" s="31">
        <v>89</v>
      </c>
      <c r="B149" s="32" t="s">
        <v>242</v>
      </c>
      <c r="C149" s="33" t="s">
        <v>21</v>
      </c>
      <c r="D149" s="1"/>
      <c r="E149" s="34" t="s">
        <v>243</v>
      </c>
      <c r="F149" s="32" t="s">
        <v>44</v>
      </c>
      <c r="G149" s="33">
        <f>+'PRESUPUESTO OFICIAL AGUAS DORAD'!G149+'PRESUPUESTO OFICIAL EL DESTINO'!G149+'PRESUPUESTO LAS MARGARITAS'!G149</f>
        <v>4</v>
      </c>
      <c r="H149" s="85">
        <v>3738584</v>
      </c>
      <c r="I149" s="673">
        <f t="shared" ref="I149:I150" si="43">+ROUND((L149*G149),0)</f>
        <v>19492976</v>
      </c>
      <c r="J149" s="3">
        <f t="shared" ref="J149:J150" si="44">+H149*$J$9</f>
        <v>4873244.2439999999</v>
      </c>
      <c r="K149" s="398"/>
      <c r="L149" s="3">
        <f t="shared" si="42"/>
        <v>4873244</v>
      </c>
      <c r="M149" s="4"/>
    </row>
    <row r="150" spans="1:13" ht="15.75" customHeight="1" x14ac:dyDescent="0.25">
      <c r="A150" s="31">
        <v>90</v>
      </c>
      <c r="B150" s="32" t="s">
        <v>244</v>
      </c>
      <c r="C150" s="33" t="s">
        <v>21</v>
      </c>
      <c r="D150" s="1"/>
      <c r="E150" s="34" t="s">
        <v>245</v>
      </c>
      <c r="F150" s="32" t="s">
        <v>44</v>
      </c>
      <c r="G150" s="33">
        <f>+'PRESUPUESTO OFICIAL AGUAS DORAD'!G150+'PRESUPUESTO OFICIAL EL DESTINO'!G150+'PRESUPUESTO LAS MARGARITAS'!G150</f>
        <v>4</v>
      </c>
      <c r="H150" s="85">
        <v>4882459</v>
      </c>
      <c r="I150" s="673">
        <f t="shared" si="43"/>
        <v>25457140</v>
      </c>
      <c r="J150" s="3">
        <f t="shared" si="44"/>
        <v>6364285.3065000009</v>
      </c>
      <c r="K150" s="398"/>
      <c r="L150" s="3">
        <f t="shared" si="42"/>
        <v>6364285</v>
      </c>
      <c r="M150" s="4"/>
    </row>
    <row r="151" spans="1:13" ht="15.75" customHeight="1" x14ac:dyDescent="0.25">
      <c r="A151" s="53" t="s">
        <v>33</v>
      </c>
      <c r="B151" s="54"/>
      <c r="C151" s="55"/>
      <c r="D151" s="55"/>
      <c r="E151" s="56"/>
      <c r="F151" s="54"/>
      <c r="G151" s="55"/>
      <c r="H151" s="57"/>
      <c r="I151" s="684">
        <f>SUM(I149:I150)</f>
        <v>44950116</v>
      </c>
      <c r="J151" s="3"/>
      <c r="K151" s="398"/>
      <c r="L151" s="3">
        <f t="shared" si="42"/>
        <v>0</v>
      </c>
      <c r="M151" s="4"/>
    </row>
    <row r="152" spans="1:13" ht="15.75" customHeight="1" x14ac:dyDescent="0.25">
      <c r="A152" s="63"/>
      <c r="B152" s="64" t="s">
        <v>246</v>
      </c>
      <c r="C152" s="65"/>
      <c r="D152" s="65"/>
      <c r="E152" s="66" t="s">
        <v>247</v>
      </c>
      <c r="F152" s="67"/>
      <c r="G152" s="65"/>
      <c r="H152" s="68"/>
      <c r="I152" s="682"/>
      <c r="J152" s="23"/>
      <c r="K152" s="398"/>
      <c r="L152" s="3">
        <f t="shared" si="42"/>
        <v>0</v>
      </c>
      <c r="M152" s="4"/>
    </row>
    <row r="153" spans="1:13" s="326" customFormat="1" ht="30.75" customHeight="1" x14ac:dyDescent="0.25">
      <c r="A153" s="321">
        <v>91</v>
      </c>
      <c r="B153" s="32" t="s">
        <v>248</v>
      </c>
      <c r="C153" s="96" t="s">
        <v>21</v>
      </c>
      <c r="D153" s="322"/>
      <c r="E153" s="34" t="s">
        <v>249</v>
      </c>
      <c r="F153" s="32" t="s">
        <v>44</v>
      </c>
      <c r="G153" s="96">
        <f>+'PRESUPUESTO OFICIAL AGUAS DORAD'!G153+'PRESUPUESTO OFICIAL EL DESTINO'!G153+'PRESUPUESTO LAS MARGARITAS'!G153</f>
        <v>5</v>
      </c>
      <c r="H153" s="323">
        <v>351144</v>
      </c>
      <c r="I153" s="673">
        <f t="shared" ref="I153:I154" si="45">+ROUND((L153*G153),0)</f>
        <v>2288580</v>
      </c>
      <c r="J153" s="324">
        <f t="shared" ref="J153:J154" si="46">+H153*$J$9</f>
        <v>457716.20400000003</v>
      </c>
      <c r="K153" s="399"/>
      <c r="L153" s="3">
        <f t="shared" si="42"/>
        <v>457716</v>
      </c>
      <c r="M153" s="325"/>
    </row>
    <row r="154" spans="1:13" s="326" customFormat="1" ht="30.75" customHeight="1" x14ac:dyDescent="0.25">
      <c r="A154" s="321">
        <v>92</v>
      </c>
      <c r="B154" s="32" t="s">
        <v>250</v>
      </c>
      <c r="C154" s="96" t="s">
        <v>21</v>
      </c>
      <c r="D154" s="322"/>
      <c r="E154" s="34" t="s">
        <v>251</v>
      </c>
      <c r="F154" s="32" t="s">
        <v>44</v>
      </c>
      <c r="G154" s="96">
        <f>+'PRESUPUESTO OFICIAL AGUAS DORAD'!G154+'PRESUPUESTO OFICIAL EL DESTINO'!G154+'PRESUPUESTO LAS MARGARITAS'!G154</f>
        <v>5</v>
      </c>
      <c r="H154" s="323">
        <v>912697</v>
      </c>
      <c r="I154" s="673">
        <f t="shared" si="45"/>
        <v>5948505</v>
      </c>
      <c r="J154" s="324">
        <f t="shared" si="46"/>
        <v>1189700.5395000002</v>
      </c>
      <c r="K154" s="399"/>
      <c r="L154" s="3">
        <f t="shared" si="42"/>
        <v>1189701</v>
      </c>
      <c r="M154" s="325"/>
    </row>
    <row r="155" spans="1:13" ht="15.75" customHeight="1" x14ac:dyDescent="0.25">
      <c r="A155" s="53" t="s">
        <v>33</v>
      </c>
      <c r="B155" s="54"/>
      <c r="C155" s="55"/>
      <c r="D155" s="55"/>
      <c r="E155" s="56"/>
      <c r="F155" s="54"/>
      <c r="G155" s="55"/>
      <c r="H155" s="57"/>
      <c r="I155" s="684">
        <f>SUM(I153:I154)</f>
        <v>8237085</v>
      </c>
      <c r="J155" s="3"/>
      <c r="K155" s="398"/>
      <c r="L155" s="3">
        <f t="shared" si="42"/>
        <v>0</v>
      </c>
      <c r="M155" s="4"/>
    </row>
    <row r="156" spans="1:13" ht="15.75" customHeight="1" x14ac:dyDescent="0.25">
      <c r="A156" s="63"/>
      <c r="B156" s="64" t="s">
        <v>252</v>
      </c>
      <c r="C156" s="65"/>
      <c r="D156" s="65"/>
      <c r="E156" s="66" t="s">
        <v>253</v>
      </c>
      <c r="F156" s="67"/>
      <c r="G156" s="65"/>
      <c r="H156" s="68"/>
      <c r="I156" s="682"/>
      <c r="J156" s="23"/>
      <c r="K156" s="398"/>
      <c r="L156" s="3">
        <f t="shared" si="42"/>
        <v>0</v>
      </c>
      <c r="M156" s="4"/>
    </row>
    <row r="157" spans="1:13" ht="15.75" customHeight="1" x14ac:dyDescent="0.25">
      <c r="A157" s="31">
        <v>93</v>
      </c>
      <c r="B157" s="32" t="s">
        <v>254</v>
      </c>
      <c r="C157" s="33" t="s">
        <v>21</v>
      </c>
      <c r="D157" s="1"/>
      <c r="E157" s="34" t="s">
        <v>255</v>
      </c>
      <c r="F157" s="32" t="s">
        <v>39</v>
      </c>
      <c r="G157" s="33">
        <f>+'PRESUPUESTO OFICIAL AGUAS DORAD'!G157+'PRESUPUESTO OFICIAL EL DESTINO'!G157+'PRESUPUESTO LAS MARGARITAS'!G157</f>
        <v>10</v>
      </c>
      <c r="H157" s="35">
        <v>579452</v>
      </c>
      <c r="I157" s="673">
        <f t="shared" ref="I157" si="47">+ROUND((L157*G157),0)</f>
        <v>7553160</v>
      </c>
      <c r="J157" s="3">
        <f>+H157*$J$9</f>
        <v>755315.68200000003</v>
      </c>
      <c r="K157" s="398"/>
      <c r="L157" s="3">
        <f t="shared" si="42"/>
        <v>755316</v>
      </c>
      <c r="M157" s="4"/>
    </row>
    <row r="158" spans="1:13" ht="15.75" customHeight="1" x14ac:dyDescent="0.25">
      <c r="A158" s="53" t="s">
        <v>33</v>
      </c>
      <c r="B158" s="54"/>
      <c r="C158" s="55"/>
      <c r="D158" s="55"/>
      <c r="E158" s="56"/>
      <c r="F158" s="54"/>
      <c r="G158" s="55"/>
      <c r="H158" s="57"/>
      <c r="I158" s="684">
        <f>SUM(I157)</f>
        <v>7553160</v>
      </c>
      <c r="J158" s="3"/>
      <c r="K158" s="398"/>
      <c r="L158" s="3">
        <f t="shared" si="42"/>
        <v>0</v>
      </c>
      <c r="M158" s="4"/>
    </row>
    <row r="159" spans="1:13" ht="15.75" customHeight="1" x14ac:dyDescent="0.25">
      <c r="A159" s="63"/>
      <c r="B159" s="64" t="s">
        <v>256</v>
      </c>
      <c r="C159" s="65"/>
      <c r="D159" s="65"/>
      <c r="E159" s="66" t="s">
        <v>257</v>
      </c>
      <c r="F159" s="67"/>
      <c r="G159" s="65"/>
      <c r="H159" s="68"/>
      <c r="I159" s="682"/>
      <c r="J159" s="23"/>
      <c r="K159" s="398"/>
      <c r="L159" s="3">
        <f t="shared" si="42"/>
        <v>0</v>
      </c>
      <c r="M159" s="4"/>
    </row>
    <row r="160" spans="1:13" ht="15.75" customHeight="1" x14ac:dyDescent="0.25">
      <c r="A160" s="31">
        <v>94</v>
      </c>
      <c r="B160" s="32" t="s">
        <v>258</v>
      </c>
      <c r="C160" s="33" t="s">
        <v>21</v>
      </c>
      <c r="D160" s="1"/>
      <c r="E160" s="34" t="s">
        <v>259</v>
      </c>
      <c r="F160" s="32" t="s">
        <v>44</v>
      </c>
      <c r="G160" s="33">
        <f>+'PRESUPUESTO OFICIAL AGUAS DORAD'!G160+'PRESUPUESTO OFICIAL EL DESTINO'!G160+'PRESUPUESTO LAS MARGARITAS'!G160</f>
        <v>7</v>
      </c>
      <c r="H160" s="35">
        <v>239922</v>
      </c>
      <c r="I160" s="673">
        <f t="shared" ref="I160:I164" si="48">+ROUND((L160*G160),0)</f>
        <v>2189166</v>
      </c>
      <c r="J160" s="3">
        <f t="shared" ref="J160:J164" si="49">+H160*$J$9</f>
        <v>312738.32700000005</v>
      </c>
      <c r="K160" s="398"/>
      <c r="L160" s="3">
        <f t="shared" si="42"/>
        <v>312738</v>
      </c>
      <c r="M160" s="4"/>
    </row>
    <row r="161" spans="1:13" ht="15.75" customHeight="1" x14ac:dyDescent="0.25">
      <c r="A161" s="31">
        <v>95</v>
      </c>
      <c r="B161" s="32" t="s">
        <v>260</v>
      </c>
      <c r="C161" s="33" t="s">
        <v>21</v>
      </c>
      <c r="D161" s="1"/>
      <c r="E161" s="34" t="s">
        <v>261</v>
      </c>
      <c r="F161" s="32" t="s">
        <v>44</v>
      </c>
      <c r="G161" s="33">
        <f>+'PRESUPUESTO OFICIAL AGUAS DORAD'!G161+'PRESUPUESTO OFICIAL EL DESTINO'!G161+'PRESUPUESTO LAS MARGARITAS'!G161</f>
        <v>7</v>
      </c>
      <c r="H161" s="35">
        <v>359991</v>
      </c>
      <c r="I161" s="673">
        <f t="shared" si="48"/>
        <v>3284736</v>
      </c>
      <c r="J161" s="3">
        <f t="shared" si="49"/>
        <v>469248.26850000006</v>
      </c>
      <c r="K161" s="398"/>
      <c r="L161" s="3">
        <f t="shared" si="42"/>
        <v>469248</v>
      </c>
      <c r="M161" s="4"/>
    </row>
    <row r="162" spans="1:13" ht="15.75" customHeight="1" x14ac:dyDescent="0.25">
      <c r="A162" s="31">
        <v>96</v>
      </c>
      <c r="B162" s="32" t="s">
        <v>262</v>
      </c>
      <c r="C162" s="33" t="s">
        <v>21</v>
      </c>
      <c r="D162" s="1"/>
      <c r="E162" s="34" t="s">
        <v>263</v>
      </c>
      <c r="F162" s="32" t="s">
        <v>44</v>
      </c>
      <c r="G162" s="33">
        <f>+'PRESUPUESTO OFICIAL AGUAS DORAD'!G162+'PRESUPUESTO OFICIAL EL DESTINO'!G162+'PRESUPUESTO LAS MARGARITAS'!G162</f>
        <v>19</v>
      </c>
      <c r="H162" s="35">
        <v>567098</v>
      </c>
      <c r="I162" s="673">
        <f t="shared" si="48"/>
        <v>14045028</v>
      </c>
      <c r="J162" s="3">
        <f t="shared" si="49"/>
        <v>739212.24300000002</v>
      </c>
      <c r="K162" s="398"/>
      <c r="L162" s="3">
        <f t="shared" si="42"/>
        <v>739212</v>
      </c>
      <c r="M162" s="4"/>
    </row>
    <row r="163" spans="1:13" ht="15.75" customHeight="1" x14ac:dyDescent="0.25">
      <c r="A163" s="31">
        <v>97</v>
      </c>
      <c r="B163" s="32" t="s">
        <v>264</v>
      </c>
      <c r="C163" s="33" t="s">
        <v>21</v>
      </c>
      <c r="D163" s="1"/>
      <c r="E163" s="34" t="s">
        <v>265</v>
      </c>
      <c r="F163" s="32" t="s">
        <v>23</v>
      </c>
      <c r="G163" s="33">
        <f>+'PRESUPUESTO OFICIAL AGUAS DORAD'!G163+'PRESUPUESTO OFICIAL EL DESTINO'!G163+'PRESUPUESTO LAS MARGARITAS'!G163</f>
        <v>110</v>
      </c>
      <c r="H163" s="35">
        <v>5947</v>
      </c>
      <c r="I163" s="673">
        <f t="shared" si="48"/>
        <v>852720</v>
      </c>
      <c r="J163" s="3">
        <f t="shared" si="49"/>
        <v>7751.9145000000008</v>
      </c>
      <c r="K163" s="398"/>
      <c r="L163" s="3">
        <f t="shared" si="42"/>
        <v>7752</v>
      </c>
      <c r="M163" s="4"/>
    </row>
    <row r="164" spans="1:13" ht="15.75" customHeight="1" x14ac:dyDescent="0.25">
      <c r="A164" s="31">
        <v>98</v>
      </c>
      <c r="B164" s="32" t="s">
        <v>266</v>
      </c>
      <c r="C164" s="33" t="s">
        <v>21</v>
      </c>
      <c r="D164" s="1"/>
      <c r="E164" s="34" t="s">
        <v>267</v>
      </c>
      <c r="F164" s="32" t="s">
        <v>23</v>
      </c>
      <c r="G164" s="33">
        <f>+'PRESUPUESTO OFICIAL AGUAS DORAD'!G164+'PRESUPUESTO OFICIAL EL DESTINO'!G164+'PRESUPUESTO LAS MARGARITAS'!G164</f>
        <v>110</v>
      </c>
      <c r="H164" s="35">
        <v>8443</v>
      </c>
      <c r="I164" s="673">
        <f t="shared" si="48"/>
        <v>1210550</v>
      </c>
      <c r="J164" s="3">
        <f t="shared" si="49"/>
        <v>11005.450500000001</v>
      </c>
      <c r="K164" s="398"/>
      <c r="L164" s="3">
        <f t="shared" si="42"/>
        <v>11005</v>
      </c>
      <c r="M164" s="4"/>
    </row>
    <row r="165" spans="1:13" ht="15.75" customHeight="1" x14ac:dyDescent="0.25">
      <c r="A165" s="53" t="s">
        <v>33</v>
      </c>
      <c r="B165" s="54"/>
      <c r="C165" s="55"/>
      <c r="D165" s="55"/>
      <c r="E165" s="56"/>
      <c r="F165" s="54"/>
      <c r="G165" s="55"/>
      <c r="H165" s="57"/>
      <c r="I165" s="684">
        <f>SUM(I160:I164)</f>
        <v>21582200</v>
      </c>
      <c r="J165" s="3"/>
      <c r="K165" s="398"/>
      <c r="L165" s="3">
        <f t="shared" si="42"/>
        <v>0</v>
      </c>
      <c r="M165" s="4"/>
    </row>
    <row r="166" spans="1:13" ht="15.75" customHeight="1" x14ac:dyDescent="0.25">
      <c r="A166" s="63"/>
      <c r="B166" s="64" t="s">
        <v>268</v>
      </c>
      <c r="C166" s="65"/>
      <c r="D166" s="65"/>
      <c r="E166" s="66" t="s">
        <v>269</v>
      </c>
      <c r="F166" s="67"/>
      <c r="G166" s="65"/>
      <c r="H166" s="68"/>
      <c r="I166" s="682"/>
      <c r="J166" s="23"/>
      <c r="K166" s="398"/>
      <c r="L166" s="3">
        <f t="shared" si="42"/>
        <v>0</v>
      </c>
      <c r="M166" s="4"/>
    </row>
    <row r="167" spans="1:13" ht="15.75" customHeight="1" x14ac:dyDescent="0.25">
      <c r="A167" s="31">
        <v>99</v>
      </c>
      <c r="B167" s="32" t="s">
        <v>270</v>
      </c>
      <c r="C167" s="33" t="s">
        <v>21</v>
      </c>
      <c r="D167" s="1"/>
      <c r="E167" s="34" t="s">
        <v>271</v>
      </c>
      <c r="F167" s="32" t="s">
        <v>44</v>
      </c>
      <c r="G167" s="33">
        <f>+'PRESUPUESTO OFICIAL AGUAS DORAD'!G167+'PRESUPUESTO OFICIAL EL DESTINO'!G167+'PRESUPUESTO LAS MARGARITAS'!G167</f>
        <v>4</v>
      </c>
      <c r="H167" s="35">
        <v>2171588</v>
      </c>
      <c r="I167" s="673">
        <f t="shared" ref="I167:I169" si="50">+ROUND((L167*G167),0)</f>
        <v>11322660</v>
      </c>
      <c r="J167" s="3">
        <f t="shared" ref="J167:J169" si="51">+H167*$J$9</f>
        <v>2830664.9580000001</v>
      </c>
      <c r="K167" s="398"/>
      <c r="L167" s="3">
        <f t="shared" si="42"/>
        <v>2830665</v>
      </c>
      <c r="M167" s="4"/>
    </row>
    <row r="168" spans="1:13" ht="15.75" customHeight="1" x14ac:dyDescent="0.25">
      <c r="A168" s="31">
        <v>100</v>
      </c>
      <c r="B168" s="32" t="s">
        <v>272</v>
      </c>
      <c r="C168" s="33" t="s">
        <v>21</v>
      </c>
      <c r="D168" s="1"/>
      <c r="E168" s="34" t="s">
        <v>273</v>
      </c>
      <c r="F168" s="32" t="s">
        <v>44</v>
      </c>
      <c r="G168" s="33">
        <f>+'PRESUPUESTO OFICIAL AGUAS DORAD'!G168+'PRESUPUESTO OFICIAL EL DESTINO'!G168+'PRESUPUESTO LAS MARGARITAS'!G168</f>
        <v>4</v>
      </c>
      <c r="H168" s="35">
        <v>2718289</v>
      </c>
      <c r="I168" s="673">
        <f t="shared" si="50"/>
        <v>14173160</v>
      </c>
      <c r="J168" s="3">
        <f t="shared" si="51"/>
        <v>3543289.7115000002</v>
      </c>
      <c r="K168" s="398"/>
      <c r="L168" s="3">
        <f t="shared" si="42"/>
        <v>3543290</v>
      </c>
      <c r="M168" s="4"/>
    </row>
    <row r="169" spans="1:13" ht="15.75" customHeight="1" x14ac:dyDescent="0.25">
      <c r="A169" s="31">
        <v>101</v>
      </c>
      <c r="B169" s="32" t="s">
        <v>274</v>
      </c>
      <c r="C169" s="33" t="s">
        <v>21</v>
      </c>
      <c r="D169" s="1"/>
      <c r="E169" s="34" t="s">
        <v>275</v>
      </c>
      <c r="F169" s="32" t="s">
        <v>44</v>
      </c>
      <c r="G169" s="33">
        <f>+'PRESUPUESTO OFICIAL AGUAS DORAD'!G169+'PRESUPUESTO OFICIAL EL DESTINO'!G169+'PRESUPUESTO LAS MARGARITAS'!G169</f>
        <v>4</v>
      </c>
      <c r="H169" s="35">
        <v>3104538</v>
      </c>
      <c r="I169" s="673">
        <f t="shared" si="50"/>
        <v>16187060</v>
      </c>
      <c r="J169" s="3">
        <f t="shared" si="51"/>
        <v>4046765.2830000003</v>
      </c>
      <c r="K169" s="398"/>
      <c r="L169" s="3">
        <f t="shared" si="42"/>
        <v>4046765</v>
      </c>
      <c r="M169" s="4"/>
    </row>
    <row r="170" spans="1:13" ht="15.75" customHeight="1" x14ac:dyDescent="0.25">
      <c r="A170" s="53" t="s">
        <v>33</v>
      </c>
      <c r="B170" s="54"/>
      <c r="C170" s="55"/>
      <c r="D170" s="55"/>
      <c r="E170" s="56"/>
      <c r="F170" s="54"/>
      <c r="G170" s="55"/>
      <c r="H170" s="57"/>
      <c r="I170" s="684">
        <f>SUM(I167:I169)</f>
        <v>41682880</v>
      </c>
      <c r="J170" s="3"/>
      <c r="K170" s="398"/>
      <c r="L170" s="3">
        <f t="shared" si="42"/>
        <v>0</v>
      </c>
      <c r="M170" s="4"/>
    </row>
    <row r="171" spans="1:13" ht="15.75" customHeight="1" x14ac:dyDescent="0.25">
      <c r="A171" s="63"/>
      <c r="B171" s="64" t="s">
        <v>276</v>
      </c>
      <c r="C171" s="65"/>
      <c r="D171" s="65"/>
      <c r="E171" s="66" t="s">
        <v>277</v>
      </c>
      <c r="F171" s="67"/>
      <c r="G171" s="65"/>
      <c r="H171" s="68"/>
      <c r="I171" s="682"/>
      <c r="J171" s="23"/>
      <c r="K171" s="398"/>
      <c r="L171" s="3">
        <f t="shared" si="42"/>
        <v>0</v>
      </c>
      <c r="M171" s="4"/>
    </row>
    <row r="172" spans="1:13" ht="15.75" customHeight="1" x14ac:dyDescent="0.25">
      <c r="A172" s="31">
        <v>102</v>
      </c>
      <c r="B172" s="32" t="s">
        <v>278</v>
      </c>
      <c r="C172" s="33" t="s">
        <v>21</v>
      </c>
      <c r="D172" s="1"/>
      <c r="E172" s="34" t="s">
        <v>279</v>
      </c>
      <c r="F172" s="32" t="s">
        <v>44</v>
      </c>
      <c r="G172" s="33">
        <f>+'PRESUPUESTO OFICIAL AGUAS DORAD'!G172+'PRESUPUESTO OFICIAL EL DESTINO'!G172+'PRESUPUESTO LAS MARGARITAS'!G172</f>
        <v>17</v>
      </c>
      <c r="H172" s="35">
        <v>294350</v>
      </c>
      <c r="I172" s="673">
        <f t="shared" ref="I172" si="52">+ROUND((L172*G172),0)</f>
        <v>6522645</v>
      </c>
      <c r="J172" s="3">
        <f>+H172*$J$9</f>
        <v>383685.22500000003</v>
      </c>
      <c r="K172" s="398"/>
      <c r="L172" s="3">
        <f t="shared" si="42"/>
        <v>383685</v>
      </c>
      <c r="M172" s="4"/>
    </row>
    <row r="173" spans="1:13" ht="15.75" customHeight="1" x14ac:dyDescent="0.25">
      <c r="A173" s="53" t="s">
        <v>33</v>
      </c>
      <c r="B173" s="54"/>
      <c r="C173" s="55"/>
      <c r="D173" s="55"/>
      <c r="E173" s="56"/>
      <c r="F173" s="54"/>
      <c r="G173" s="55"/>
      <c r="H173" s="57"/>
      <c r="I173" s="684">
        <f>SUM(I172)</f>
        <v>6522645</v>
      </c>
      <c r="J173" s="3"/>
      <c r="K173" s="398"/>
      <c r="L173" s="3">
        <f t="shared" si="42"/>
        <v>0</v>
      </c>
      <c r="M173" s="4"/>
    </row>
    <row r="174" spans="1:13" ht="15.75" customHeight="1" x14ac:dyDescent="0.25">
      <c r="A174" s="63"/>
      <c r="B174" s="64" t="s">
        <v>280</v>
      </c>
      <c r="C174" s="65"/>
      <c r="D174" s="65"/>
      <c r="E174" s="66" t="s">
        <v>281</v>
      </c>
      <c r="F174" s="67"/>
      <c r="G174" s="65"/>
      <c r="H174" s="68"/>
      <c r="I174" s="682"/>
      <c r="J174" s="23"/>
      <c r="K174" s="398"/>
      <c r="L174" s="3">
        <f t="shared" si="42"/>
        <v>0</v>
      </c>
      <c r="M174" s="4"/>
    </row>
    <row r="175" spans="1:13" ht="30" customHeight="1" x14ac:dyDescent="0.25">
      <c r="A175" s="31">
        <v>103</v>
      </c>
      <c r="B175" s="32" t="s">
        <v>282</v>
      </c>
      <c r="C175" s="33" t="s">
        <v>21</v>
      </c>
      <c r="D175" s="1"/>
      <c r="E175" s="84" t="s">
        <v>283</v>
      </c>
      <c r="F175" s="32" t="s">
        <v>44</v>
      </c>
      <c r="G175" s="33">
        <f>+'PRESUPUESTO OFICIAL AGUAS DORAD'!G175+'PRESUPUESTO OFICIAL EL DESTINO'!G175+'PRESUPUESTO LAS MARGARITAS'!G175</f>
        <v>3</v>
      </c>
      <c r="H175" s="35">
        <v>450347</v>
      </c>
      <c r="I175" s="673">
        <f t="shared" ref="I175:I179" si="53">+ROUND((L175*G175),0)</f>
        <v>1761081</v>
      </c>
      <c r="J175" s="3">
        <f t="shared" ref="J175:J179" si="54">+H175*$J$9</f>
        <v>587027.31450000009</v>
      </c>
      <c r="K175" s="398"/>
      <c r="L175" s="3">
        <f t="shared" si="42"/>
        <v>587027</v>
      </c>
      <c r="M175" s="4"/>
    </row>
    <row r="176" spans="1:13" ht="31.5" customHeight="1" x14ac:dyDescent="0.25">
      <c r="A176" s="31">
        <v>104</v>
      </c>
      <c r="B176" s="32" t="s">
        <v>284</v>
      </c>
      <c r="C176" s="33" t="s">
        <v>21</v>
      </c>
      <c r="D176" s="1"/>
      <c r="E176" s="84" t="s">
        <v>285</v>
      </c>
      <c r="F176" s="32" t="s">
        <v>44</v>
      </c>
      <c r="G176" s="33">
        <f>+'PRESUPUESTO OFICIAL AGUAS DORAD'!G176+'PRESUPUESTO OFICIAL EL DESTINO'!G176+'PRESUPUESTO LAS MARGARITAS'!G176</f>
        <v>3</v>
      </c>
      <c r="H176" s="35">
        <v>511050</v>
      </c>
      <c r="I176" s="673">
        <f t="shared" si="53"/>
        <v>1998462</v>
      </c>
      <c r="J176" s="3">
        <f t="shared" si="54"/>
        <v>666153.67500000005</v>
      </c>
      <c r="K176" s="398"/>
      <c r="L176" s="3">
        <f t="shared" si="42"/>
        <v>666154</v>
      </c>
      <c r="M176" s="4"/>
    </row>
    <row r="177" spans="1:13" ht="36.75" customHeight="1" x14ac:dyDescent="0.25">
      <c r="A177" s="31">
        <v>105</v>
      </c>
      <c r="B177" s="32" t="s">
        <v>286</v>
      </c>
      <c r="C177" s="33" t="s">
        <v>21</v>
      </c>
      <c r="D177" s="1"/>
      <c r="E177" s="84" t="s">
        <v>287</v>
      </c>
      <c r="F177" s="32" t="s">
        <v>44</v>
      </c>
      <c r="G177" s="33">
        <f>+'PRESUPUESTO OFICIAL AGUAS DORAD'!G177+'PRESUPUESTO OFICIAL EL DESTINO'!G177+'PRESUPUESTO LAS MARGARITAS'!G177</f>
        <v>3</v>
      </c>
      <c r="H177" s="35">
        <v>816047</v>
      </c>
      <c r="I177" s="673">
        <f t="shared" si="53"/>
        <v>3191151</v>
      </c>
      <c r="J177" s="3">
        <f t="shared" si="54"/>
        <v>1063717.2645</v>
      </c>
      <c r="K177" s="398"/>
      <c r="L177" s="3">
        <f t="shared" si="42"/>
        <v>1063717</v>
      </c>
      <c r="M177" s="4"/>
    </row>
    <row r="178" spans="1:13" ht="36" customHeight="1" x14ac:dyDescent="0.25">
      <c r="A178" s="31">
        <v>106</v>
      </c>
      <c r="B178" s="32" t="s">
        <v>288</v>
      </c>
      <c r="C178" s="33" t="s">
        <v>21</v>
      </c>
      <c r="D178" s="1"/>
      <c r="E178" s="84" t="s">
        <v>289</v>
      </c>
      <c r="F178" s="32" t="s">
        <v>44</v>
      </c>
      <c r="G178" s="33">
        <f>+'PRESUPUESTO OFICIAL AGUAS DORAD'!G178+'PRESUPUESTO OFICIAL EL DESTINO'!G178+'PRESUPUESTO LAS MARGARITAS'!G178</f>
        <v>3</v>
      </c>
      <c r="H178" s="35">
        <v>538711</v>
      </c>
      <c r="I178" s="673">
        <f t="shared" si="53"/>
        <v>2106630</v>
      </c>
      <c r="J178" s="3">
        <f t="shared" si="54"/>
        <v>702209.78850000002</v>
      </c>
      <c r="K178" s="398"/>
      <c r="L178" s="3">
        <f t="shared" si="42"/>
        <v>702210</v>
      </c>
      <c r="M178" s="4"/>
    </row>
    <row r="179" spans="1:13" ht="45.75" customHeight="1" x14ac:dyDescent="0.25">
      <c r="A179" s="31">
        <v>107</v>
      </c>
      <c r="B179" s="32" t="s">
        <v>290</v>
      </c>
      <c r="C179" s="33" t="s">
        <v>21</v>
      </c>
      <c r="D179" s="1"/>
      <c r="E179" s="352" t="s">
        <v>291</v>
      </c>
      <c r="F179" s="51" t="s">
        <v>44</v>
      </c>
      <c r="G179" s="33">
        <f>+'PRESUPUESTO OFICIAL AGUAS DORAD'!G179+'PRESUPUESTO OFICIAL EL DESTINO'!G179+'PRESUPUESTO LAS MARGARITAS'!G179</f>
        <v>3</v>
      </c>
      <c r="H179" s="35">
        <v>914342</v>
      </c>
      <c r="I179" s="673">
        <f t="shared" si="53"/>
        <v>3575535</v>
      </c>
      <c r="J179" s="86">
        <f t="shared" si="54"/>
        <v>1191844.797</v>
      </c>
      <c r="K179" s="398"/>
      <c r="L179" s="3">
        <f t="shared" si="42"/>
        <v>1191845</v>
      </c>
      <c r="M179" s="4"/>
    </row>
    <row r="180" spans="1:13" ht="15.75" customHeight="1" x14ac:dyDescent="0.25">
      <c r="A180" s="53" t="s">
        <v>33</v>
      </c>
      <c r="B180" s="87"/>
      <c r="C180" s="55"/>
      <c r="D180" s="55"/>
      <c r="E180" s="88"/>
      <c r="F180" s="54"/>
      <c r="G180" s="55"/>
      <c r="H180" s="57"/>
      <c r="I180" s="687">
        <f>SUM(I175:I179)</f>
        <v>12632859</v>
      </c>
      <c r="J180" s="86"/>
      <c r="K180" s="398"/>
      <c r="L180" s="3">
        <f t="shared" si="42"/>
        <v>0</v>
      </c>
      <c r="M180" s="4"/>
    </row>
    <row r="181" spans="1:13" ht="15.75" customHeight="1" x14ac:dyDescent="0.25">
      <c r="A181" s="16"/>
      <c r="B181" s="89">
        <v>8</v>
      </c>
      <c r="C181" s="19"/>
      <c r="D181" s="19"/>
      <c r="E181" s="90" t="s">
        <v>292</v>
      </c>
      <c r="F181" s="91"/>
      <c r="G181" s="19"/>
      <c r="H181" s="43"/>
      <c r="I181" s="685"/>
      <c r="J181" s="92"/>
      <c r="K181" s="398"/>
      <c r="L181" s="3">
        <f t="shared" si="42"/>
        <v>0</v>
      </c>
      <c r="M181" s="4"/>
    </row>
    <row r="182" spans="1:13" ht="15.75" customHeight="1" x14ac:dyDescent="0.25">
      <c r="A182" s="24"/>
      <c r="B182" s="25" t="s">
        <v>293</v>
      </c>
      <c r="C182" s="27"/>
      <c r="D182" s="27"/>
      <c r="E182" s="28" t="s">
        <v>294</v>
      </c>
      <c r="F182" s="29"/>
      <c r="G182" s="27"/>
      <c r="H182" s="58"/>
      <c r="I182" s="686"/>
      <c r="J182" s="92"/>
      <c r="K182" s="398"/>
      <c r="L182" s="3">
        <f t="shared" si="42"/>
        <v>0</v>
      </c>
      <c r="M182" s="4"/>
    </row>
    <row r="183" spans="1:13" ht="15.75" customHeight="1" x14ac:dyDescent="0.25">
      <c r="A183" s="31">
        <v>108</v>
      </c>
      <c r="B183" s="32" t="s">
        <v>295</v>
      </c>
      <c r="C183" s="33" t="s">
        <v>21</v>
      </c>
      <c r="D183" s="1"/>
      <c r="E183" s="47" t="s">
        <v>296</v>
      </c>
      <c r="F183" s="48" t="s">
        <v>23</v>
      </c>
      <c r="G183" s="49">
        <f>+'PRESUPUESTO OFICIAL AGUAS DORAD'!G183+'PRESUPUESTO OFICIAL EL DESTINO'!G183+'PRESUPUESTO LAS MARGARITAS'!G183</f>
        <v>4</v>
      </c>
      <c r="H183" s="59">
        <v>849237</v>
      </c>
      <c r="I183" s="673">
        <f t="shared" ref="I183:I184" si="55">+ROUND((L183*G183),0)</f>
        <v>4427920</v>
      </c>
      <c r="J183" s="86">
        <f t="shared" ref="J183:J184" si="56">+H183*$J$9</f>
        <v>1106980.4295000001</v>
      </c>
      <c r="K183" s="398"/>
      <c r="L183" s="3">
        <f t="shared" si="42"/>
        <v>1106980</v>
      </c>
      <c r="M183" s="4"/>
    </row>
    <row r="184" spans="1:13" ht="15.75" customHeight="1" x14ac:dyDescent="0.25">
      <c r="A184" s="31">
        <v>109</v>
      </c>
      <c r="B184" s="32" t="s">
        <v>297</v>
      </c>
      <c r="C184" s="33" t="s">
        <v>21</v>
      </c>
      <c r="D184" s="1"/>
      <c r="E184" s="50" t="s">
        <v>298</v>
      </c>
      <c r="F184" s="51" t="s">
        <v>23</v>
      </c>
      <c r="G184" s="49">
        <f>+'PRESUPUESTO OFICIAL AGUAS DORAD'!G184+'PRESUPUESTO OFICIAL EL DESTINO'!G184+'PRESUPUESTO LAS MARGARITAS'!G184</f>
        <v>4</v>
      </c>
      <c r="H184" s="60">
        <v>2012020</v>
      </c>
      <c r="I184" s="673">
        <f t="shared" si="55"/>
        <v>10490672</v>
      </c>
      <c r="J184" s="86">
        <f t="shared" si="56"/>
        <v>2622668.0700000003</v>
      </c>
      <c r="K184" s="398"/>
      <c r="L184" s="3">
        <f t="shared" si="42"/>
        <v>2622668</v>
      </c>
      <c r="M184" s="4"/>
    </row>
    <row r="185" spans="1:13" ht="15.75" customHeight="1" x14ac:dyDescent="0.25">
      <c r="A185" s="53" t="s">
        <v>33</v>
      </c>
      <c r="B185" s="87"/>
      <c r="C185" s="55"/>
      <c r="D185" s="55"/>
      <c r="E185" s="88"/>
      <c r="F185" s="54"/>
      <c r="G185" s="55"/>
      <c r="H185" s="57"/>
      <c r="I185" s="687">
        <f>SUM(I183:I184)</f>
        <v>14918592</v>
      </c>
      <c r="J185" s="86"/>
      <c r="K185" s="398"/>
      <c r="L185" s="3">
        <f t="shared" si="42"/>
        <v>0</v>
      </c>
      <c r="M185" s="4"/>
    </row>
    <row r="186" spans="1:13" ht="15.75" customHeight="1" x14ac:dyDescent="0.25">
      <c r="A186" s="63"/>
      <c r="B186" s="64" t="s">
        <v>299</v>
      </c>
      <c r="C186" s="65"/>
      <c r="D186" s="65"/>
      <c r="E186" s="66" t="s">
        <v>300</v>
      </c>
      <c r="F186" s="67"/>
      <c r="G186" s="65"/>
      <c r="H186" s="68"/>
      <c r="I186" s="682"/>
      <c r="J186" s="92"/>
      <c r="K186" s="398"/>
      <c r="L186" s="3">
        <f t="shared" si="42"/>
        <v>0</v>
      </c>
      <c r="M186" s="4"/>
    </row>
    <row r="187" spans="1:13" ht="58.5" customHeight="1" x14ac:dyDescent="0.25">
      <c r="A187" s="31">
        <v>110</v>
      </c>
      <c r="B187" s="32" t="s">
        <v>301</v>
      </c>
      <c r="C187" s="33" t="s">
        <v>21</v>
      </c>
      <c r="D187" s="1"/>
      <c r="E187" s="47" t="s">
        <v>302</v>
      </c>
      <c r="F187" s="48" t="s">
        <v>44</v>
      </c>
      <c r="G187" s="49">
        <f>+'PRESUPUESTO OFICIAL AGUAS DORAD'!G187+'PRESUPUESTO OFICIAL EL DESTINO'!G187+'PRESUPUESTO LAS MARGARITAS'!G187</f>
        <v>3</v>
      </c>
      <c r="H187" s="59">
        <v>569763</v>
      </c>
      <c r="I187" s="673">
        <f t="shared" ref="I187:I189" si="57">+ROUND((L187*G187),0)</f>
        <v>2228058</v>
      </c>
      <c r="J187" s="86">
        <f t="shared" ref="J187:J189" si="58">+H187*$J$9</f>
        <v>742686.07050000003</v>
      </c>
      <c r="K187" s="398"/>
      <c r="L187" s="3">
        <f t="shared" si="42"/>
        <v>742686</v>
      </c>
      <c r="M187" s="4"/>
    </row>
    <row r="188" spans="1:13" ht="56.25" customHeight="1" x14ac:dyDescent="0.25">
      <c r="A188" s="31">
        <v>111</v>
      </c>
      <c r="B188" s="32" t="s">
        <v>303</v>
      </c>
      <c r="C188" s="33" t="s">
        <v>21</v>
      </c>
      <c r="D188" s="1"/>
      <c r="E188" s="34" t="s">
        <v>304</v>
      </c>
      <c r="F188" s="32" t="s">
        <v>44</v>
      </c>
      <c r="G188" s="49">
        <f>+'PRESUPUESTO OFICIAL AGUAS DORAD'!G188+'PRESUPUESTO OFICIAL EL DESTINO'!G188+'PRESUPUESTO LAS MARGARITAS'!G188</f>
        <v>3</v>
      </c>
      <c r="H188" s="35">
        <v>626626</v>
      </c>
      <c r="I188" s="673">
        <f t="shared" si="57"/>
        <v>2450421</v>
      </c>
      <c r="J188" s="86">
        <f t="shared" si="58"/>
        <v>816806.99100000004</v>
      </c>
      <c r="K188" s="398"/>
      <c r="L188" s="3">
        <f t="shared" si="42"/>
        <v>816807</v>
      </c>
      <c r="M188" s="4"/>
    </row>
    <row r="189" spans="1:13" ht="45.75" customHeight="1" x14ac:dyDescent="0.25">
      <c r="A189" s="31">
        <v>112</v>
      </c>
      <c r="B189" s="32" t="s">
        <v>305</v>
      </c>
      <c r="C189" s="33" t="s">
        <v>21</v>
      </c>
      <c r="D189" s="1"/>
      <c r="E189" s="50" t="s">
        <v>306</v>
      </c>
      <c r="F189" s="51" t="s">
        <v>44</v>
      </c>
      <c r="G189" s="49">
        <f>+'PRESUPUESTO OFICIAL AGUAS DORAD'!G189+'PRESUPUESTO OFICIAL EL DESTINO'!G189+'PRESUPUESTO LAS MARGARITAS'!G189</f>
        <v>3</v>
      </c>
      <c r="H189" s="60">
        <v>805970</v>
      </c>
      <c r="I189" s="673">
        <f t="shared" si="57"/>
        <v>3151746</v>
      </c>
      <c r="J189" s="86">
        <f t="shared" si="58"/>
        <v>1050581.895</v>
      </c>
      <c r="K189" s="398"/>
      <c r="L189" s="3">
        <f t="shared" si="42"/>
        <v>1050582</v>
      </c>
      <c r="M189" s="4"/>
    </row>
    <row r="190" spans="1:13" ht="15.75" customHeight="1" x14ac:dyDescent="0.25">
      <c r="A190" s="53" t="s">
        <v>33</v>
      </c>
      <c r="B190" s="87"/>
      <c r="C190" s="55"/>
      <c r="D190" s="55"/>
      <c r="E190" s="88"/>
      <c r="F190" s="54"/>
      <c r="G190" s="55"/>
      <c r="H190" s="57"/>
      <c r="I190" s="687">
        <f>SUM(I187:I189)</f>
        <v>7830225</v>
      </c>
      <c r="J190" s="86"/>
      <c r="K190" s="398"/>
      <c r="L190" s="3">
        <f t="shared" si="42"/>
        <v>0</v>
      </c>
      <c r="M190" s="4"/>
    </row>
    <row r="191" spans="1:13" ht="15.75" customHeight="1" x14ac:dyDescent="0.25">
      <c r="A191" s="63"/>
      <c r="B191" s="64" t="s">
        <v>307</v>
      </c>
      <c r="C191" s="65"/>
      <c r="D191" s="65"/>
      <c r="E191" s="66" t="s">
        <v>308</v>
      </c>
      <c r="F191" s="67"/>
      <c r="G191" s="65"/>
      <c r="H191" s="68"/>
      <c r="I191" s="682"/>
      <c r="J191" s="92"/>
      <c r="K191" s="398"/>
      <c r="L191" s="3">
        <f t="shared" si="42"/>
        <v>0</v>
      </c>
      <c r="M191" s="4"/>
    </row>
    <row r="192" spans="1:13" ht="15.75" customHeight="1" x14ac:dyDescent="0.25">
      <c r="A192" s="31">
        <v>113</v>
      </c>
      <c r="B192" s="32" t="s">
        <v>309</v>
      </c>
      <c r="C192" s="33" t="s">
        <v>21</v>
      </c>
      <c r="D192" s="1"/>
      <c r="E192" s="47" t="s">
        <v>310</v>
      </c>
      <c r="F192" s="48" t="s">
        <v>23</v>
      </c>
      <c r="G192" s="49">
        <f>+'PRESUPUESTO OFICIAL AGUAS DORAD'!G192+'PRESUPUESTO OFICIAL EL DESTINO'!G192+'PRESUPUESTO LAS MARGARITAS'!G192</f>
        <v>50</v>
      </c>
      <c r="H192" s="59">
        <v>4426</v>
      </c>
      <c r="I192" s="673">
        <f t="shared" ref="I192:I195" si="59">+ROUND((L192*G192),0)</f>
        <v>288450</v>
      </c>
      <c r="J192" s="86">
        <f t="shared" ref="J192:J196" si="60">+H192*$J$9</f>
        <v>5769.2910000000002</v>
      </c>
      <c r="K192" s="398"/>
      <c r="L192" s="3">
        <f t="shared" si="42"/>
        <v>5769</v>
      </c>
      <c r="M192" s="4"/>
    </row>
    <row r="193" spans="1:13" ht="15.75" customHeight="1" x14ac:dyDescent="0.25">
      <c r="A193" s="31">
        <v>114</v>
      </c>
      <c r="B193" s="32" t="s">
        <v>311</v>
      </c>
      <c r="C193" s="33" t="s">
        <v>21</v>
      </c>
      <c r="D193" s="1"/>
      <c r="E193" s="34" t="s">
        <v>312</v>
      </c>
      <c r="F193" s="32" t="s">
        <v>23</v>
      </c>
      <c r="G193" s="49">
        <f>+'PRESUPUESTO OFICIAL AGUAS DORAD'!G193+'PRESUPUESTO OFICIAL EL DESTINO'!G193+'PRESUPUESTO LAS MARGARITAS'!G193</f>
        <v>50</v>
      </c>
      <c r="H193" s="35">
        <v>4796</v>
      </c>
      <c r="I193" s="673">
        <f t="shared" si="59"/>
        <v>312600</v>
      </c>
      <c r="J193" s="86">
        <f t="shared" si="60"/>
        <v>6251.5860000000002</v>
      </c>
      <c r="K193" s="398"/>
      <c r="L193" s="3">
        <f t="shared" si="42"/>
        <v>6252</v>
      </c>
      <c r="M193" s="4"/>
    </row>
    <row r="194" spans="1:13" ht="15.75" customHeight="1" x14ac:dyDescent="0.25">
      <c r="A194" s="31">
        <v>115</v>
      </c>
      <c r="B194" s="32" t="s">
        <v>313</v>
      </c>
      <c r="C194" s="33" t="s">
        <v>21</v>
      </c>
      <c r="D194" s="1"/>
      <c r="E194" s="34" t="s">
        <v>314</v>
      </c>
      <c r="F194" s="32" t="s">
        <v>23</v>
      </c>
      <c r="G194" s="49">
        <f>+'PRESUPUESTO OFICIAL AGUAS DORAD'!G194+'PRESUPUESTO OFICIAL EL DESTINO'!G194+'PRESUPUESTO LAS MARGARITAS'!G194</f>
        <v>50</v>
      </c>
      <c r="H194" s="35">
        <v>5815</v>
      </c>
      <c r="I194" s="673">
        <f t="shared" si="59"/>
        <v>379000</v>
      </c>
      <c r="J194" s="86">
        <f t="shared" si="60"/>
        <v>7579.8525000000009</v>
      </c>
      <c r="K194" s="398"/>
      <c r="L194" s="3">
        <f t="shared" si="42"/>
        <v>7580</v>
      </c>
      <c r="M194" s="4"/>
    </row>
    <row r="195" spans="1:13" ht="15.75" customHeight="1" x14ac:dyDescent="0.25">
      <c r="A195" s="31">
        <v>116</v>
      </c>
      <c r="B195" s="32" t="s">
        <v>315</v>
      </c>
      <c r="C195" s="33" t="s">
        <v>21</v>
      </c>
      <c r="D195" s="1"/>
      <c r="E195" s="34" t="s">
        <v>316</v>
      </c>
      <c r="F195" s="32" t="s">
        <v>23</v>
      </c>
      <c r="G195" s="49">
        <f>+'PRESUPUESTO OFICIAL AGUAS DORAD'!G195+'PRESUPUESTO OFICIAL EL DESTINO'!G195+'PRESUPUESTO LAS MARGARITAS'!G195</f>
        <v>50</v>
      </c>
      <c r="H195" s="35">
        <v>8028</v>
      </c>
      <c r="I195" s="673">
        <f t="shared" si="59"/>
        <v>523200</v>
      </c>
      <c r="J195" s="86">
        <f t="shared" si="60"/>
        <v>10464.498000000001</v>
      </c>
      <c r="K195" s="398"/>
      <c r="L195" s="3">
        <f t="shared" si="42"/>
        <v>10464</v>
      </c>
      <c r="M195" s="4"/>
    </row>
    <row r="196" spans="1:13" ht="15.75" customHeight="1" x14ac:dyDescent="0.25">
      <c r="A196" s="93" t="s">
        <v>33</v>
      </c>
      <c r="B196" s="54"/>
      <c r="C196" s="55"/>
      <c r="D196" s="55"/>
      <c r="E196" s="88"/>
      <c r="F196" s="54"/>
      <c r="G196" s="55"/>
      <c r="H196" s="57"/>
      <c r="I196" s="687">
        <f>SUM(I192:I195)</f>
        <v>1503250</v>
      </c>
      <c r="J196" s="86">
        <f t="shared" si="60"/>
        <v>0</v>
      </c>
      <c r="K196" s="398"/>
      <c r="L196" s="3">
        <f t="shared" si="42"/>
        <v>0</v>
      </c>
      <c r="M196" s="4"/>
    </row>
    <row r="197" spans="1:13" ht="15.75" customHeight="1" x14ac:dyDescent="0.25">
      <c r="A197" s="16"/>
      <c r="B197" s="17">
        <v>9</v>
      </c>
      <c r="C197" s="19"/>
      <c r="D197" s="19"/>
      <c r="E197" s="20" t="s">
        <v>317</v>
      </c>
      <c r="F197" s="21"/>
      <c r="G197" s="19"/>
      <c r="H197" s="43"/>
      <c r="I197" s="685"/>
      <c r="J197" s="92"/>
      <c r="K197" s="398"/>
      <c r="L197" s="3">
        <f t="shared" si="42"/>
        <v>0</v>
      </c>
      <c r="M197" s="4"/>
    </row>
    <row r="198" spans="1:13" ht="15.75" customHeight="1" x14ac:dyDescent="0.25">
      <c r="A198" s="24"/>
      <c r="B198" s="25" t="s">
        <v>318</v>
      </c>
      <c r="C198" s="27"/>
      <c r="D198" s="27"/>
      <c r="E198" s="28" t="s">
        <v>319</v>
      </c>
      <c r="F198" s="29"/>
      <c r="G198" s="27"/>
      <c r="H198" s="58"/>
      <c r="I198" s="686"/>
      <c r="J198" s="92"/>
      <c r="K198" s="398"/>
      <c r="L198" s="3">
        <f t="shared" si="42"/>
        <v>0</v>
      </c>
      <c r="M198" s="4"/>
    </row>
    <row r="199" spans="1:13" ht="15.75" customHeight="1" x14ac:dyDescent="0.25">
      <c r="A199" s="31">
        <v>121</v>
      </c>
      <c r="B199" s="32" t="s">
        <v>320</v>
      </c>
      <c r="C199" s="33" t="s">
        <v>21</v>
      </c>
      <c r="D199" s="1"/>
      <c r="E199" s="34" t="s">
        <v>321</v>
      </c>
      <c r="F199" s="32" t="s">
        <v>39</v>
      </c>
      <c r="G199" s="49">
        <f>+'PRESUPUESTO OFICIAL AGUAS DORAD'!G199+'PRESUPUESTO OFICIAL EL DESTINO'!G199+'PRESUPUESTO LAS MARGARITAS'!G199</f>
        <v>10</v>
      </c>
      <c r="H199" s="35">
        <v>582591</v>
      </c>
      <c r="I199" s="673">
        <f t="shared" ref="I199" si="61">+ROUND((L199*G199),0)</f>
        <v>7594070</v>
      </c>
      <c r="J199" s="86">
        <f t="shared" ref="J199" si="62">+H199*$J$9</f>
        <v>759407.3685000001</v>
      </c>
      <c r="K199" s="398"/>
      <c r="L199" s="3">
        <f t="shared" si="42"/>
        <v>759407</v>
      </c>
      <c r="M199" s="4"/>
    </row>
    <row r="200" spans="1:13" ht="15.75" customHeight="1" x14ac:dyDescent="0.25">
      <c r="A200" s="93" t="s">
        <v>33</v>
      </c>
      <c r="B200" s="54"/>
      <c r="C200" s="55"/>
      <c r="D200" s="55"/>
      <c r="E200" s="88"/>
      <c r="F200" s="54"/>
      <c r="G200" s="55"/>
      <c r="H200" s="57"/>
      <c r="I200" s="687">
        <f>SUM(I199:I199)</f>
        <v>7594070</v>
      </c>
      <c r="J200" s="86"/>
      <c r="K200" s="398"/>
      <c r="L200" s="3">
        <f t="shared" si="42"/>
        <v>0</v>
      </c>
      <c r="M200" s="4"/>
    </row>
    <row r="201" spans="1:13" ht="32.25" customHeight="1" x14ac:dyDescent="0.25">
      <c r="A201" s="63"/>
      <c r="B201" s="64" t="s">
        <v>322</v>
      </c>
      <c r="C201" s="65"/>
      <c r="D201" s="65"/>
      <c r="E201" s="66" t="s">
        <v>323</v>
      </c>
      <c r="F201" s="67"/>
      <c r="G201" s="65"/>
      <c r="H201" s="68"/>
      <c r="I201" s="688"/>
      <c r="J201" s="95"/>
      <c r="K201" s="4"/>
      <c r="L201" s="3">
        <f t="shared" si="42"/>
        <v>0</v>
      </c>
      <c r="M201" s="4"/>
    </row>
    <row r="202" spans="1:13" ht="45.75" customHeight="1" x14ac:dyDescent="0.25">
      <c r="A202" s="31">
        <v>111</v>
      </c>
      <c r="B202" s="32" t="s">
        <v>324</v>
      </c>
      <c r="C202" s="33" t="s">
        <v>21</v>
      </c>
      <c r="D202" s="436"/>
      <c r="E202" s="437" t="s">
        <v>325</v>
      </c>
      <c r="F202" s="438" t="s">
        <v>39</v>
      </c>
      <c r="G202" s="439">
        <f>+'PRESUPUESTO OFICIAL AGUAS DORAD'!G202+'PRESUPUESTO OFICIAL EL DESTINO'!G202+'PRESUPUESTO LAS MARGARITAS'!G202</f>
        <v>11.85</v>
      </c>
      <c r="H202" s="411">
        <v>780247</v>
      </c>
      <c r="I202" s="673">
        <f t="shared" ref="I202" si="63">+ROUND((L202*G202),0)</f>
        <v>12052066</v>
      </c>
      <c r="J202" s="86">
        <f t="shared" ref="J202" si="64">+H202*$J$9</f>
        <v>1017051.9645000001</v>
      </c>
      <c r="K202" s="4"/>
      <c r="L202" s="3">
        <f t="shared" si="42"/>
        <v>1017052</v>
      </c>
      <c r="M202" s="4"/>
    </row>
    <row r="203" spans="1:13" ht="15.75" customHeight="1" x14ac:dyDescent="0.25">
      <c r="A203" s="479" t="s">
        <v>33</v>
      </c>
      <c r="B203" s="445"/>
      <c r="C203" s="446"/>
      <c r="D203" s="446"/>
      <c r="E203" s="475"/>
      <c r="F203" s="445"/>
      <c r="G203" s="446"/>
      <c r="H203" s="334"/>
      <c r="I203" s="689">
        <f>SUM(I202:I202)</f>
        <v>12052066</v>
      </c>
      <c r="J203" s="86"/>
      <c r="K203" s="4"/>
      <c r="L203" s="3">
        <f t="shared" si="42"/>
        <v>0</v>
      </c>
      <c r="M203" s="4"/>
    </row>
    <row r="204" spans="1:13" ht="15.75" customHeight="1" x14ac:dyDescent="0.25">
      <c r="A204" s="63"/>
      <c r="B204" s="64" t="s">
        <v>327</v>
      </c>
      <c r="C204" s="65"/>
      <c r="D204" s="65"/>
      <c r="E204" s="66" t="s">
        <v>328</v>
      </c>
      <c r="F204" s="67"/>
      <c r="G204" s="65"/>
      <c r="H204" s="68"/>
      <c r="I204" s="682"/>
      <c r="J204" s="92"/>
      <c r="K204" s="398"/>
      <c r="L204" s="3">
        <f t="shared" si="42"/>
        <v>0</v>
      </c>
      <c r="M204" s="4"/>
    </row>
    <row r="205" spans="1:13" ht="15.75" customHeight="1" x14ac:dyDescent="0.25">
      <c r="A205" s="31">
        <v>123</v>
      </c>
      <c r="B205" s="32" t="s">
        <v>329</v>
      </c>
      <c r="C205" s="33" t="s">
        <v>21</v>
      </c>
      <c r="D205" s="1"/>
      <c r="E205" s="47" t="s">
        <v>330</v>
      </c>
      <c r="F205" s="48" t="s">
        <v>39</v>
      </c>
      <c r="G205" s="49">
        <f>+'PRESUPUESTO OFICIAL AGUAS DORAD'!G205+'PRESUPUESTO OFICIAL EL DESTINO'!G205+'PRESUPUESTO LAS MARGARITAS'!G205</f>
        <v>7</v>
      </c>
      <c r="H205" s="59">
        <v>459952</v>
      </c>
      <c r="I205" s="673">
        <f t="shared" ref="I205:I207" si="65">+ROUND((L205*G205),0)</f>
        <v>4196829</v>
      </c>
      <c r="J205" s="86">
        <f t="shared" ref="J205:J207" si="66">+H205*$J$9</f>
        <v>599547.43200000003</v>
      </c>
      <c r="K205" s="398"/>
      <c r="L205" s="3">
        <f t="shared" si="42"/>
        <v>599547</v>
      </c>
      <c r="M205" s="4"/>
    </row>
    <row r="206" spans="1:13" ht="15.75" customHeight="1" x14ac:dyDescent="0.25">
      <c r="A206" s="31">
        <v>124</v>
      </c>
      <c r="B206" s="32" t="s">
        <v>331</v>
      </c>
      <c r="C206" s="33" t="s">
        <v>21</v>
      </c>
      <c r="D206" s="1"/>
      <c r="E206" s="34" t="s">
        <v>332</v>
      </c>
      <c r="F206" s="32" t="s">
        <v>39</v>
      </c>
      <c r="G206" s="49">
        <f>+'PRESUPUESTO OFICIAL AGUAS DORAD'!G206+'PRESUPUESTO OFICIAL EL DESTINO'!G206+'PRESUPUESTO LAS MARGARITAS'!G206</f>
        <v>4</v>
      </c>
      <c r="H206" s="35">
        <v>478003</v>
      </c>
      <c r="I206" s="673">
        <f t="shared" si="65"/>
        <v>2492308</v>
      </c>
      <c r="J206" s="86">
        <f t="shared" si="66"/>
        <v>623076.9105</v>
      </c>
      <c r="K206" s="398"/>
      <c r="L206" s="3">
        <f t="shared" si="42"/>
        <v>623077</v>
      </c>
      <c r="M206" s="4"/>
    </row>
    <row r="207" spans="1:13" ht="15.75" customHeight="1" x14ac:dyDescent="0.25">
      <c r="A207" s="31">
        <v>125</v>
      </c>
      <c r="B207" s="32">
        <v>6.5</v>
      </c>
      <c r="C207" s="33" t="s">
        <v>333</v>
      </c>
      <c r="D207" s="1"/>
      <c r="E207" s="34" t="s">
        <v>334</v>
      </c>
      <c r="F207" s="32" t="s">
        <v>26</v>
      </c>
      <c r="G207" s="49">
        <f>+'PRESUPUESTO OFICIAL AGUAS DORAD'!G207+'PRESUPUESTO OFICIAL EL DESTINO'!G207+'PRESUPUESTO LAS MARGARITAS'!G207</f>
        <v>379</v>
      </c>
      <c r="H207" s="35">
        <v>10224</v>
      </c>
      <c r="I207" s="673">
        <f t="shared" si="65"/>
        <v>5050933</v>
      </c>
      <c r="J207" s="86">
        <f t="shared" si="66"/>
        <v>13326.984</v>
      </c>
      <c r="K207" s="398"/>
      <c r="L207" s="3">
        <f t="shared" si="42"/>
        <v>13327</v>
      </c>
      <c r="M207" s="4"/>
    </row>
    <row r="208" spans="1:13" ht="15.75" customHeight="1" x14ac:dyDescent="0.25">
      <c r="A208" s="93" t="s">
        <v>33</v>
      </c>
      <c r="B208" s="54"/>
      <c r="C208" s="55"/>
      <c r="D208" s="55"/>
      <c r="E208" s="88"/>
      <c r="F208" s="54"/>
      <c r="G208" s="55"/>
      <c r="H208" s="57"/>
      <c r="I208" s="687">
        <f>SUM(I205:I207)</f>
        <v>11740070</v>
      </c>
      <c r="J208" s="86"/>
      <c r="K208" s="398"/>
      <c r="L208" s="3">
        <f t="shared" si="42"/>
        <v>0</v>
      </c>
      <c r="M208" s="4"/>
    </row>
    <row r="209" spans="1:13" ht="15.75" customHeight="1" x14ac:dyDescent="0.25">
      <c r="A209" s="63"/>
      <c r="B209" s="64" t="s">
        <v>335</v>
      </c>
      <c r="C209" s="65"/>
      <c r="D209" s="65"/>
      <c r="E209" s="66" t="s">
        <v>336</v>
      </c>
      <c r="F209" s="67"/>
      <c r="G209" s="65"/>
      <c r="H209" s="68"/>
      <c r="I209" s="682"/>
      <c r="J209" s="92"/>
      <c r="K209" s="398"/>
      <c r="L209" s="3">
        <f t="shared" si="42"/>
        <v>0</v>
      </c>
      <c r="M209" s="4"/>
    </row>
    <row r="210" spans="1:13" ht="15.75" customHeight="1" x14ac:dyDescent="0.25">
      <c r="A210" s="31">
        <v>126</v>
      </c>
      <c r="B210" s="32">
        <v>11774</v>
      </c>
      <c r="C210" s="327" t="s">
        <v>151</v>
      </c>
      <c r="D210" s="1"/>
      <c r="E210" s="34" t="s">
        <v>337</v>
      </c>
      <c r="F210" s="32" t="s">
        <v>338</v>
      </c>
      <c r="G210" s="33">
        <f>+'PRESUPUESTO OFICIAL AGUAS DORAD'!G210+'PRESUPUESTO OFICIAL EL DESTINO'!G210+'PRESUPUESTO LAS MARGARITAS'!G210</f>
        <v>685</v>
      </c>
      <c r="H210" s="35">
        <v>6157</v>
      </c>
      <c r="I210" s="673">
        <f t="shared" ref="I210:I212" si="67">+ROUND((L210*G210),0)</f>
        <v>5497810</v>
      </c>
      <c r="J210" s="86">
        <f t="shared" ref="J210:J212" si="68">+H210*$J$9</f>
        <v>8025.6495000000004</v>
      </c>
      <c r="K210" s="398"/>
      <c r="L210" s="3">
        <f t="shared" si="42"/>
        <v>8026</v>
      </c>
      <c r="M210" s="4"/>
    </row>
    <row r="211" spans="1:13" ht="15.75" customHeight="1" x14ac:dyDescent="0.25">
      <c r="A211" s="31">
        <v>177</v>
      </c>
      <c r="B211" s="32" t="s">
        <v>339</v>
      </c>
      <c r="C211" s="33" t="s">
        <v>21</v>
      </c>
      <c r="D211" s="1"/>
      <c r="E211" s="34" t="s">
        <v>340</v>
      </c>
      <c r="F211" s="32" t="s">
        <v>338</v>
      </c>
      <c r="G211" s="33">
        <f>+'PRESUPUESTO OFICIAL AGUAS DORAD'!G211+'PRESUPUESTO OFICIAL EL DESTINO'!G211+'PRESUPUESTO LAS MARGARITAS'!G211</f>
        <v>275.5</v>
      </c>
      <c r="H211" s="35">
        <v>6554</v>
      </c>
      <c r="I211" s="673">
        <f t="shared" si="67"/>
        <v>2353597</v>
      </c>
      <c r="J211" s="86">
        <f t="shared" si="68"/>
        <v>8543.139000000001</v>
      </c>
      <c r="K211" s="398"/>
      <c r="L211" s="3">
        <f t="shared" si="42"/>
        <v>8543</v>
      </c>
      <c r="M211" s="4"/>
    </row>
    <row r="212" spans="1:13" ht="15.75" customHeight="1" x14ac:dyDescent="0.25">
      <c r="A212" s="31">
        <v>178</v>
      </c>
      <c r="B212" s="32" t="s">
        <v>341</v>
      </c>
      <c r="C212" s="33" t="s">
        <v>21</v>
      </c>
      <c r="D212" s="1"/>
      <c r="E212" s="34" t="s">
        <v>342</v>
      </c>
      <c r="F212" s="32" t="s">
        <v>338</v>
      </c>
      <c r="G212" s="33">
        <f>+'PRESUPUESTO OFICIAL AGUAS DORAD'!G212+'PRESUPUESTO OFICIAL EL DESTINO'!G212+'PRESUPUESTO LAS MARGARITAS'!G212</f>
        <v>150</v>
      </c>
      <c r="H212" s="35">
        <v>10021</v>
      </c>
      <c r="I212" s="673">
        <f t="shared" si="67"/>
        <v>1959300</v>
      </c>
      <c r="J212" s="86">
        <f t="shared" si="68"/>
        <v>13062.373500000002</v>
      </c>
      <c r="K212" s="398"/>
      <c r="L212" s="3">
        <f t="shared" ref="L212:L275" si="69">++ROUND(J212,0)</f>
        <v>13062</v>
      </c>
      <c r="M212" s="4"/>
    </row>
    <row r="213" spans="1:13" ht="15.75" customHeight="1" x14ac:dyDescent="0.25">
      <c r="A213" s="93" t="s">
        <v>33</v>
      </c>
      <c r="B213" s="54"/>
      <c r="C213" s="55"/>
      <c r="D213" s="55"/>
      <c r="E213" s="88"/>
      <c r="F213" s="54"/>
      <c r="G213" s="55"/>
      <c r="H213" s="57"/>
      <c r="I213" s="687">
        <f>SUM(I210:I212)</f>
        <v>9810707</v>
      </c>
      <c r="J213" s="86"/>
      <c r="K213" s="398"/>
      <c r="L213" s="3">
        <f t="shared" si="69"/>
        <v>0</v>
      </c>
      <c r="M213" s="4"/>
    </row>
    <row r="214" spans="1:13" ht="15.75" customHeight="1" x14ac:dyDescent="0.25">
      <c r="A214" s="63"/>
      <c r="B214" s="64" t="s">
        <v>343</v>
      </c>
      <c r="C214" s="65"/>
      <c r="D214" s="65"/>
      <c r="E214" s="66" t="s">
        <v>344</v>
      </c>
      <c r="F214" s="67"/>
      <c r="G214" s="65"/>
      <c r="H214" s="68"/>
      <c r="I214" s="682"/>
      <c r="J214" s="92"/>
      <c r="K214" s="398"/>
      <c r="L214" s="3">
        <f t="shared" si="69"/>
        <v>0</v>
      </c>
      <c r="M214" s="4"/>
    </row>
    <row r="215" spans="1:13" ht="15.75" customHeight="1" x14ac:dyDescent="0.25">
      <c r="A215" s="31">
        <v>179</v>
      </c>
      <c r="B215" s="32" t="s">
        <v>345</v>
      </c>
      <c r="C215" s="33" t="s">
        <v>21</v>
      </c>
      <c r="D215" s="1"/>
      <c r="E215" s="34" t="s">
        <v>346</v>
      </c>
      <c r="F215" s="32" t="s">
        <v>338</v>
      </c>
      <c r="G215" s="33">
        <f>+'PRESUPUESTO OFICIAL AGUAS DORAD'!G215+'PRESUPUESTO OFICIAL EL DESTINO'!G215+'PRESUPUESTO LAS MARGARITAS'!G215</f>
        <v>75</v>
      </c>
      <c r="H215" s="35">
        <v>204365</v>
      </c>
      <c r="I215" s="673">
        <f t="shared" ref="I215:I217" si="70">+ROUND((L215*G215),0)</f>
        <v>19979250</v>
      </c>
      <c r="J215" s="86">
        <f t="shared" ref="J215:J217" si="71">+H215*$J$9</f>
        <v>266389.77750000003</v>
      </c>
      <c r="K215" s="398"/>
      <c r="L215" s="3">
        <f t="shared" si="69"/>
        <v>266390</v>
      </c>
      <c r="M215" s="4"/>
    </row>
    <row r="216" spans="1:13" ht="15.75" customHeight="1" x14ac:dyDescent="0.25">
      <c r="A216" s="31">
        <v>127</v>
      </c>
      <c r="B216" s="32" t="s">
        <v>347</v>
      </c>
      <c r="C216" s="33" t="s">
        <v>21</v>
      </c>
      <c r="D216" s="1"/>
      <c r="E216" s="34" t="s">
        <v>348</v>
      </c>
      <c r="F216" s="32" t="s">
        <v>338</v>
      </c>
      <c r="G216" s="33">
        <f>+'PRESUPUESTO OFICIAL AGUAS DORAD'!G216+'PRESUPUESTO OFICIAL EL DESTINO'!G216+'PRESUPUESTO LAS MARGARITAS'!G216</f>
        <v>131</v>
      </c>
      <c r="H216" s="35">
        <v>26669</v>
      </c>
      <c r="I216" s="673">
        <f t="shared" si="70"/>
        <v>4553953</v>
      </c>
      <c r="J216" s="86">
        <f t="shared" si="71"/>
        <v>34763.041499999999</v>
      </c>
      <c r="K216" s="398"/>
      <c r="L216" s="3">
        <f t="shared" si="69"/>
        <v>34763</v>
      </c>
      <c r="M216" s="4"/>
    </row>
    <row r="217" spans="1:13" ht="15.75" customHeight="1" x14ac:dyDescent="0.25">
      <c r="A217" s="31">
        <v>181</v>
      </c>
      <c r="B217" s="32" t="s">
        <v>349</v>
      </c>
      <c r="C217" s="33" t="s">
        <v>21</v>
      </c>
      <c r="D217" s="1"/>
      <c r="E217" s="34" t="s">
        <v>350</v>
      </c>
      <c r="F217" s="32" t="s">
        <v>338</v>
      </c>
      <c r="G217" s="33">
        <f>+'PRESUPUESTO OFICIAL AGUAS DORAD'!G217+'PRESUPUESTO OFICIAL EL DESTINO'!G217+'PRESUPUESTO LAS MARGARITAS'!G217</f>
        <v>75</v>
      </c>
      <c r="H217" s="35">
        <v>20295</v>
      </c>
      <c r="I217" s="673">
        <f t="shared" si="70"/>
        <v>1984125</v>
      </c>
      <c r="J217" s="86">
        <f t="shared" si="71"/>
        <v>26454.532500000001</v>
      </c>
      <c r="K217" s="398"/>
      <c r="L217" s="3">
        <f t="shared" si="69"/>
        <v>26455</v>
      </c>
      <c r="M217" s="4"/>
    </row>
    <row r="218" spans="1:13" ht="15.75" customHeight="1" x14ac:dyDescent="0.25">
      <c r="A218" s="93" t="s">
        <v>33</v>
      </c>
      <c r="B218" s="54"/>
      <c r="C218" s="55"/>
      <c r="D218" s="55"/>
      <c r="E218" s="88"/>
      <c r="F218" s="54"/>
      <c r="G218" s="55"/>
      <c r="H218" s="57"/>
      <c r="I218" s="687">
        <f>SUM(I215:I217)</f>
        <v>26517328</v>
      </c>
      <c r="J218" s="86"/>
      <c r="K218" s="398"/>
      <c r="L218" s="3">
        <f t="shared" si="69"/>
        <v>0</v>
      </c>
      <c r="M218" s="4"/>
    </row>
    <row r="219" spans="1:13" ht="15.75" customHeight="1" x14ac:dyDescent="0.25">
      <c r="A219" s="63"/>
      <c r="B219" s="64" t="s">
        <v>351</v>
      </c>
      <c r="C219" s="65"/>
      <c r="D219" s="65"/>
      <c r="E219" s="66" t="s">
        <v>352</v>
      </c>
      <c r="F219" s="67"/>
      <c r="G219" s="65"/>
      <c r="H219" s="68"/>
      <c r="I219" s="682"/>
      <c r="J219" s="92"/>
      <c r="K219" s="398"/>
      <c r="L219" s="3">
        <f t="shared" si="69"/>
        <v>0</v>
      </c>
      <c r="M219" s="4"/>
    </row>
    <row r="220" spans="1:13" ht="15.75" customHeight="1" x14ac:dyDescent="0.25">
      <c r="A220" s="31">
        <v>128</v>
      </c>
      <c r="B220" s="32" t="s">
        <v>353</v>
      </c>
      <c r="C220" s="33" t="s">
        <v>21</v>
      </c>
      <c r="D220" s="1"/>
      <c r="E220" s="34" t="s">
        <v>354</v>
      </c>
      <c r="F220" s="32" t="s">
        <v>23</v>
      </c>
      <c r="G220" s="33">
        <f>+'PRESUPUESTO OFICIAL AGUAS DORAD'!G220+'PRESUPUESTO OFICIAL EL DESTINO'!G220+'PRESUPUESTO LAS MARGARITAS'!G220</f>
        <v>30</v>
      </c>
      <c r="H220" s="35">
        <v>62604</v>
      </c>
      <c r="I220" s="673">
        <f t="shared" ref="I220:I221" si="72">+ROUND((L220*G220),0)</f>
        <v>2448120</v>
      </c>
      <c r="J220" s="86">
        <f t="shared" ref="J220:J221" si="73">+H220*$J$9</f>
        <v>81604.314000000013</v>
      </c>
      <c r="K220" s="398"/>
      <c r="L220" s="3">
        <f t="shared" si="69"/>
        <v>81604</v>
      </c>
      <c r="M220" s="4"/>
    </row>
    <row r="221" spans="1:13" ht="15.75" customHeight="1" x14ac:dyDescent="0.25">
      <c r="A221" s="31">
        <v>129</v>
      </c>
      <c r="B221" s="32" t="s">
        <v>355</v>
      </c>
      <c r="C221" s="33" t="s">
        <v>21</v>
      </c>
      <c r="D221" s="1"/>
      <c r="E221" s="50" t="s">
        <v>356</v>
      </c>
      <c r="F221" s="51" t="s">
        <v>23</v>
      </c>
      <c r="G221" s="33">
        <f>+'PRESUPUESTO OFICIAL AGUAS DORAD'!G221+'PRESUPUESTO OFICIAL EL DESTINO'!G221+'PRESUPUESTO LAS MARGARITAS'!G221</f>
        <v>25</v>
      </c>
      <c r="H221" s="35">
        <v>110863</v>
      </c>
      <c r="I221" s="673">
        <f t="shared" si="72"/>
        <v>3612750</v>
      </c>
      <c r="J221" s="86">
        <f t="shared" si="73"/>
        <v>144509.92050000001</v>
      </c>
      <c r="K221" s="398"/>
      <c r="L221" s="3">
        <f t="shared" si="69"/>
        <v>144510</v>
      </c>
      <c r="M221" s="4"/>
    </row>
    <row r="222" spans="1:13" ht="15.75" customHeight="1" x14ac:dyDescent="0.25">
      <c r="A222" s="93" t="s">
        <v>33</v>
      </c>
      <c r="B222" s="54"/>
      <c r="C222" s="55"/>
      <c r="D222" s="55"/>
      <c r="E222" s="88"/>
      <c r="F222" s="54"/>
      <c r="G222" s="55"/>
      <c r="H222" s="57"/>
      <c r="I222" s="687">
        <f>SUM(I220:I221)</f>
        <v>6060870</v>
      </c>
      <c r="J222" s="86"/>
      <c r="K222" s="398"/>
      <c r="L222" s="3">
        <f t="shared" si="69"/>
        <v>0</v>
      </c>
      <c r="M222" s="4"/>
    </row>
    <row r="223" spans="1:13" ht="15.75" customHeight="1" x14ac:dyDescent="0.25">
      <c r="A223" s="63"/>
      <c r="B223" s="65" t="s">
        <v>357</v>
      </c>
      <c r="C223" s="65"/>
      <c r="D223" s="65"/>
      <c r="E223" s="66" t="s">
        <v>358</v>
      </c>
      <c r="F223" s="65"/>
      <c r="G223" s="65"/>
      <c r="H223" s="68"/>
      <c r="I223" s="682"/>
      <c r="J223" s="92"/>
      <c r="K223" s="398"/>
      <c r="L223" s="3">
        <f t="shared" si="69"/>
        <v>0</v>
      </c>
      <c r="M223" s="4"/>
    </row>
    <row r="224" spans="1:13" ht="15.75" customHeight="1" x14ac:dyDescent="0.25">
      <c r="A224" s="31">
        <v>130</v>
      </c>
      <c r="B224" s="32" t="s">
        <v>359</v>
      </c>
      <c r="C224" s="33" t="s">
        <v>21</v>
      </c>
      <c r="D224" s="1"/>
      <c r="E224" s="34" t="s">
        <v>360</v>
      </c>
      <c r="F224" s="32" t="s">
        <v>26</v>
      </c>
      <c r="G224" s="33">
        <f>+'PRESUPUESTO OFICIAL AGUAS DORAD'!G224+'PRESUPUESTO OFICIAL EL DESTINO'!G224+'PRESUPUESTO LAS MARGARITAS'!G224</f>
        <v>30</v>
      </c>
      <c r="H224" s="35">
        <v>78962</v>
      </c>
      <c r="I224" s="673">
        <f t="shared" ref="I224:I228" si="74">+ROUND((L224*G224),0)</f>
        <v>3087810</v>
      </c>
      <c r="J224" s="86">
        <f t="shared" ref="J224:J228" si="75">+H224*$J$9</f>
        <v>102926.967</v>
      </c>
      <c r="K224" s="398"/>
      <c r="L224" s="3">
        <f t="shared" si="69"/>
        <v>102927</v>
      </c>
      <c r="M224" s="4"/>
    </row>
    <row r="225" spans="1:13" ht="15.75" customHeight="1" x14ac:dyDescent="0.25">
      <c r="A225" s="31">
        <v>131</v>
      </c>
      <c r="B225" s="32" t="s">
        <v>361</v>
      </c>
      <c r="C225" s="33" t="s">
        <v>21</v>
      </c>
      <c r="D225" s="1"/>
      <c r="E225" s="34" t="s">
        <v>362</v>
      </c>
      <c r="F225" s="32" t="s">
        <v>26</v>
      </c>
      <c r="G225" s="33">
        <f>+'PRESUPUESTO OFICIAL AGUAS DORAD'!G225+'PRESUPUESTO OFICIAL EL DESTINO'!G225+'PRESUPUESTO LAS MARGARITAS'!G225</f>
        <v>30</v>
      </c>
      <c r="H225" s="35">
        <v>103322</v>
      </c>
      <c r="I225" s="673">
        <f t="shared" si="74"/>
        <v>4040400</v>
      </c>
      <c r="J225" s="86">
        <f t="shared" si="75"/>
        <v>134680.22700000001</v>
      </c>
      <c r="K225" s="398"/>
      <c r="L225" s="3">
        <f t="shared" si="69"/>
        <v>134680</v>
      </c>
      <c r="M225" s="4"/>
    </row>
    <row r="226" spans="1:13" ht="15.75" customHeight="1" x14ac:dyDescent="0.25">
      <c r="A226" s="31">
        <v>132</v>
      </c>
      <c r="B226" s="32" t="s">
        <v>363</v>
      </c>
      <c r="C226" s="33" t="s">
        <v>21</v>
      </c>
      <c r="D226" s="1"/>
      <c r="E226" s="34" t="s">
        <v>364</v>
      </c>
      <c r="F226" s="32" t="s">
        <v>26</v>
      </c>
      <c r="G226" s="33">
        <f>+'PRESUPUESTO OFICIAL AGUAS DORAD'!G226+'PRESUPUESTO OFICIAL EL DESTINO'!G226+'PRESUPUESTO LAS MARGARITAS'!G226</f>
        <v>30</v>
      </c>
      <c r="H226" s="35">
        <v>25782</v>
      </c>
      <c r="I226" s="673">
        <f t="shared" si="74"/>
        <v>1008210</v>
      </c>
      <c r="J226" s="86">
        <f t="shared" si="75"/>
        <v>33606.837</v>
      </c>
      <c r="K226" s="398"/>
      <c r="L226" s="3">
        <f t="shared" si="69"/>
        <v>33607</v>
      </c>
      <c r="M226" s="4"/>
    </row>
    <row r="227" spans="1:13" ht="15.75" customHeight="1" x14ac:dyDescent="0.25">
      <c r="A227" s="31">
        <v>133</v>
      </c>
      <c r="B227" s="32" t="s">
        <v>365</v>
      </c>
      <c r="C227" s="33" t="s">
        <v>21</v>
      </c>
      <c r="D227" s="1"/>
      <c r="E227" s="34" t="s">
        <v>366</v>
      </c>
      <c r="F227" s="32" t="s">
        <v>26</v>
      </c>
      <c r="G227" s="33">
        <f>+'PRESUPUESTO OFICIAL AGUAS DORAD'!G227+'PRESUPUESTO OFICIAL EL DESTINO'!G227+'PRESUPUESTO LAS MARGARITAS'!G227</f>
        <v>30</v>
      </c>
      <c r="H227" s="35">
        <v>35703</v>
      </c>
      <c r="I227" s="673">
        <f t="shared" si="74"/>
        <v>1396170</v>
      </c>
      <c r="J227" s="86">
        <f t="shared" si="75"/>
        <v>46538.860500000003</v>
      </c>
      <c r="K227" s="398"/>
      <c r="L227" s="3">
        <f t="shared" si="69"/>
        <v>46539</v>
      </c>
      <c r="M227" s="4"/>
    </row>
    <row r="228" spans="1:13" ht="15.75" customHeight="1" x14ac:dyDescent="0.25">
      <c r="A228" s="31">
        <v>134</v>
      </c>
      <c r="B228" s="32" t="s">
        <v>367</v>
      </c>
      <c r="C228" s="33" t="s">
        <v>21</v>
      </c>
      <c r="D228" s="1"/>
      <c r="E228" s="34" t="s">
        <v>368</v>
      </c>
      <c r="F228" s="32" t="s">
        <v>26</v>
      </c>
      <c r="G228" s="33">
        <f>+'PRESUPUESTO OFICIAL AGUAS DORAD'!G228+'PRESUPUESTO OFICIAL EL DESTINO'!G228+'PRESUPUESTO LAS MARGARITAS'!G228</f>
        <v>30</v>
      </c>
      <c r="H228" s="35">
        <v>40830</v>
      </c>
      <c r="I228" s="673">
        <f t="shared" si="74"/>
        <v>1596660</v>
      </c>
      <c r="J228" s="86">
        <f t="shared" si="75"/>
        <v>53221.905000000006</v>
      </c>
      <c r="K228" s="398"/>
      <c r="L228" s="3">
        <f t="shared" si="69"/>
        <v>53222</v>
      </c>
      <c r="M228" s="4"/>
    </row>
    <row r="229" spans="1:13" ht="15.75" customHeight="1" x14ac:dyDescent="0.25">
      <c r="A229" s="93" t="s">
        <v>33</v>
      </c>
      <c r="B229" s="54"/>
      <c r="C229" s="55"/>
      <c r="D229" s="55"/>
      <c r="E229" s="88"/>
      <c r="F229" s="54"/>
      <c r="G229" s="55"/>
      <c r="H229" s="57"/>
      <c r="I229" s="687">
        <f>SUM(I224:I228)</f>
        <v>11129250</v>
      </c>
      <c r="J229" s="3"/>
      <c r="K229" s="398"/>
      <c r="L229" s="3">
        <f t="shared" si="69"/>
        <v>0</v>
      </c>
      <c r="M229" s="4"/>
    </row>
    <row r="230" spans="1:13" ht="15.75" customHeight="1" x14ac:dyDescent="0.25">
      <c r="A230" s="63"/>
      <c r="B230" s="65" t="s">
        <v>369</v>
      </c>
      <c r="C230" s="65"/>
      <c r="D230" s="65"/>
      <c r="E230" s="66" t="s">
        <v>370</v>
      </c>
      <c r="F230" s="65"/>
      <c r="G230" s="65"/>
      <c r="H230" s="68"/>
      <c r="I230" s="682"/>
      <c r="J230" s="92"/>
      <c r="K230" s="398"/>
      <c r="L230" s="3">
        <f t="shared" si="69"/>
        <v>0</v>
      </c>
      <c r="M230" s="4"/>
    </row>
    <row r="231" spans="1:13" ht="15.75" customHeight="1" x14ac:dyDescent="0.25">
      <c r="A231" s="31">
        <v>135</v>
      </c>
      <c r="B231" s="32" t="s">
        <v>371</v>
      </c>
      <c r="C231" s="33" t="s">
        <v>21</v>
      </c>
      <c r="D231" s="1"/>
      <c r="E231" s="34" t="s">
        <v>372</v>
      </c>
      <c r="F231" s="32" t="s">
        <v>26</v>
      </c>
      <c r="G231" s="33">
        <f>+'PRESUPUESTO OFICIAL AGUAS DORAD'!G231+'PRESUPUESTO OFICIAL EL DESTINO'!G231+'PRESUPUESTO LAS MARGARITAS'!G231</f>
        <v>115</v>
      </c>
      <c r="H231" s="35">
        <v>45399</v>
      </c>
      <c r="I231" s="673">
        <f t="shared" ref="I231:I234" si="76">+ROUND((L231*G231),0)</f>
        <v>6805470</v>
      </c>
      <c r="J231" s="86">
        <f t="shared" ref="J231:J234" si="77">+H231*$J$9</f>
        <v>59177.596500000007</v>
      </c>
      <c r="K231" s="398"/>
      <c r="L231" s="3">
        <f t="shared" si="69"/>
        <v>59178</v>
      </c>
      <c r="M231" s="4"/>
    </row>
    <row r="232" spans="1:13" ht="15.75" customHeight="1" x14ac:dyDescent="0.25">
      <c r="A232" s="31">
        <v>137</v>
      </c>
      <c r="B232" s="32" t="s">
        <v>375</v>
      </c>
      <c r="C232" s="33" t="s">
        <v>21</v>
      </c>
      <c r="D232" s="1"/>
      <c r="E232" s="34" t="s">
        <v>376</v>
      </c>
      <c r="F232" s="32" t="s">
        <v>26</v>
      </c>
      <c r="G232" s="33">
        <f>+'PRESUPUESTO OFICIAL AGUAS DORAD'!G232+'PRESUPUESTO OFICIAL EL DESTINO'!G232+'PRESUPUESTO LAS MARGARITAS'!G232</f>
        <v>55</v>
      </c>
      <c r="H232" s="35">
        <v>52173</v>
      </c>
      <c r="I232" s="673">
        <f t="shared" si="76"/>
        <v>3740440</v>
      </c>
      <c r="J232" s="86">
        <f t="shared" si="77"/>
        <v>68007.505499999999</v>
      </c>
      <c r="K232" s="398"/>
      <c r="L232" s="3">
        <f t="shared" si="69"/>
        <v>68008</v>
      </c>
      <c r="M232" s="4"/>
    </row>
    <row r="233" spans="1:13" ht="15.75" customHeight="1" x14ac:dyDescent="0.25">
      <c r="A233" s="31">
        <v>136</v>
      </c>
      <c r="B233" s="32" t="s">
        <v>373</v>
      </c>
      <c r="C233" s="33" t="s">
        <v>21</v>
      </c>
      <c r="D233" s="1"/>
      <c r="E233" s="34" t="s">
        <v>374</v>
      </c>
      <c r="F233" s="32" t="s">
        <v>26</v>
      </c>
      <c r="G233" s="33">
        <f>+'PRESUPUESTO OFICIAL AGUAS DORAD'!G233+'PRESUPUESTO OFICIAL EL DESTINO'!G233+'PRESUPUESTO LAS MARGARITAS'!G233</f>
        <v>70</v>
      </c>
      <c r="H233" s="35">
        <v>104969</v>
      </c>
      <c r="I233" s="673">
        <f t="shared" si="76"/>
        <v>9577890</v>
      </c>
      <c r="J233" s="86">
        <f>+H233*$J$9</f>
        <v>136827.09150000001</v>
      </c>
      <c r="K233" s="398"/>
      <c r="L233" s="3">
        <f t="shared" si="69"/>
        <v>136827</v>
      </c>
      <c r="M233" s="4"/>
    </row>
    <row r="234" spans="1:13" ht="15.75" customHeight="1" x14ac:dyDescent="0.25">
      <c r="A234" s="31">
        <v>138</v>
      </c>
      <c r="B234" s="32">
        <v>7.12</v>
      </c>
      <c r="C234" s="33" t="s">
        <v>333</v>
      </c>
      <c r="D234" s="1"/>
      <c r="E234" s="34" t="s">
        <v>377</v>
      </c>
      <c r="F234" s="32" t="s">
        <v>23</v>
      </c>
      <c r="G234" s="33">
        <f>+'PRESUPUESTO OFICIAL AGUAS DORAD'!G234+'PRESUPUESTO OFICIAL EL DESTINO'!G234+'PRESUPUESTO LAS MARGARITAS'!G234</f>
        <v>44</v>
      </c>
      <c r="H234" s="35">
        <v>84588</v>
      </c>
      <c r="I234" s="673">
        <f t="shared" si="76"/>
        <v>4851440</v>
      </c>
      <c r="J234" s="86">
        <f t="shared" si="77"/>
        <v>110260.45800000001</v>
      </c>
      <c r="K234" s="398"/>
      <c r="L234" s="3">
        <f t="shared" si="69"/>
        <v>110260</v>
      </c>
      <c r="M234" s="4"/>
    </row>
    <row r="235" spans="1:13" ht="15.75" customHeight="1" x14ac:dyDescent="0.25">
      <c r="A235" s="93" t="s">
        <v>33</v>
      </c>
      <c r="B235" s="54"/>
      <c r="C235" s="55"/>
      <c r="D235" s="55"/>
      <c r="E235" s="88"/>
      <c r="F235" s="54"/>
      <c r="G235" s="55"/>
      <c r="H235" s="57"/>
      <c r="I235" s="687">
        <f>SUM(I231:I234)</f>
        <v>24975240</v>
      </c>
      <c r="J235" s="3"/>
      <c r="K235" s="398"/>
      <c r="L235" s="3">
        <f t="shared" si="69"/>
        <v>0</v>
      </c>
      <c r="M235" s="4"/>
    </row>
    <row r="236" spans="1:13" ht="15.75" customHeight="1" x14ac:dyDescent="0.25">
      <c r="A236" s="63"/>
      <c r="B236" s="65" t="s">
        <v>378</v>
      </c>
      <c r="C236" s="65"/>
      <c r="D236" s="65"/>
      <c r="E236" s="66" t="s">
        <v>379</v>
      </c>
      <c r="F236" s="65"/>
      <c r="G236" s="65"/>
      <c r="H236" s="68"/>
      <c r="I236" s="682"/>
      <c r="J236" s="92"/>
      <c r="K236" s="398"/>
      <c r="L236" s="3">
        <f t="shared" si="69"/>
        <v>0</v>
      </c>
      <c r="M236" s="4"/>
    </row>
    <row r="237" spans="1:13" ht="15.75" customHeight="1" x14ac:dyDescent="0.25">
      <c r="A237" s="31">
        <v>196</v>
      </c>
      <c r="B237" s="32" t="s">
        <v>380</v>
      </c>
      <c r="C237" s="33" t="s">
        <v>21</v>
      </c>
      <c r="D237" s="1"/>
      <c r="E237" s="34" t="s">
        <v>381</v>
      </c>
      <c r="F237" s="32" t="s">
        <v>44</v>
      </c>
      <c r="G237" s="33">
        <f>+'PRESUPUESTO OFICIAL AGUAS DORAD'!G237+'PRESUPUESTO OFICIAL EL DESTINO'!G237+'PRESUPUESTO LAS MARGARITAS'!G237</f>
        <v>7</v>
      </c>
      <c r="H237" s="35">
        <v>40646</v>
      </c>
      <c r="I237" s="673">
        <f t="shared" ref="I237:I240" si="78">+ROUND((L237*G237),0)</f>
        <v>370874</v>
      </c>
      <c r="J237" s="86">
        <f t="shared" ref="J237:J240" si="79">+H237*$J$9</f>
        <v>52982.061000000002</v>
      </c>
      <c r="K237" s="398"/>
      <c r="L237" s="3">
        <f t="shared" si="69"/>
        <v>52982</v>
      </c>
      <c r="M237" s="4"/>
    </row>
    <row r="238" spans="1:13" ht="15.75" customHeight="1" x14ac:dyDescent="0.25">
      <c r="A238" s="31">
        <v>197</v>
      </c>
      <c r="B238" s="32" t="s">
        <v>382</v>
      </c>
      <c r="C238" s="33" t="s">
        <v>21</v>
      </c>
      <c r="D238" s="1"/>
      <c r="E238" s="34" t="s">
        <v>383</v>
      </c>
      <c r="F238" s="32" t="s">
        <v>44</v>
      </c>
      <c r="G238" s="33">
        <f>+'PRESUPUESTO OFICIAL AGUAS DORAD'!G238+'PRESUPUESTO OFICIAL EL DESTINO'!G238+'PRESUPUESTO LAS MARGARITAS'!G238</f>
        <v>4</v>
      </c>
      <c r="H238" s="35">
        <v>92860</v>
      </c>
      <c r="I238" s="673">
        <f t="shared" si="78"/>
        <v>484172</v>
      </c>
      <c r="J238" s="86">
        <f t="shared" si="79"/>
        <v>121043.01000000001</v>
      </c>
      <c r="K238" s="398"/>
      <c r="L238" s="3">
        <f t="shared" si="69"/>
        <v>121043</v>
      </c>
      <c r="M238" s="4"/>
    </row>
    <row r="239" spans="1:13" ht="15.75" customHeight="1" x14ac:dyDescent="0.25">
      <c r="A239" s="31">
        <v>198</v>
      </c>
      <c r="B239" s="32" t="s">
        <v>384</v>
      </c>
      <c r="C239" s="33" t="s">
        <v>21</v>
      </c>
      <c r="D239" s="1"/>
      <c r="E239" s="34" t="s">
        <v>385</v>
      </c>
      <c r="F239" s="32" t="s">
        <v>44</v>
      </c>
      <c r="G239" s="33">
        <f>+'PRESUPUESTO OFICIAL AGUAS DORAD'!G239+'PRESUPUESTO OFICIAL EL DESTINO'!G239+'PRESUPUESTO LAS MARGARITAS'!G239</f>
        <v>3</v>
      </c>
      <c r="H239" s="35">
        <v>130605</v>
      </c>
      <c r="I239" s="673">
        <f t="shared" si="78"/>
        <v>510732</v>
      </c>
      <c r="J239" s="86">
        <f t="shared" si="79"/>
        <v>170243.61750000002</v>
      </c>
      <c r="K239" s="398"/>
      <c r="L239" s="3">
        <f t="shared" si="69"/>
        <v>170244</v>
      </c>
      <c r="M239" s="4"/>
    </row>
    <row r="240" spans="1:13" ht="15.75" customHeight="1" x14ac:dyDescent="0.25">
      <c r="A240" s="31">
        <v>139</v>
      </c>
      <c r="B240" s="96" t="s">
        <v>384</v>
      </c>
      <c r="C240" s="33" t="s">
        <v>156</v>
      </c>
      <c r="D240" s="1"/>
      <c r="E240" s="84" t="s">
        <v>557</v>
      </c>
      <c r="F240" s="32" t="s">
        <v>44</v>
      </c>
      <c r="G240" s="33">
        <f>+'PRESUPUESTO OFICIAL AGUAS DORAD'!G240+'PRESUPUESTO OFICIAL EL DESTINO'!G240+'PRESUPUESTO LAS MARGARITAS'!G240</f>
        <v>15</v>
      </c>
      <c r="H240" s="35">
        <f>+'[1]APU 1 BATERIA  '!$H$36</f>
        <v>1004556</v>
      </c>
      <c r="I240" s="673">
        <f t="shared" si="78"/>
        <v>19641585</v>
      </c>
      <c r="J240" s="86">
        <f t="shared" si="79"/>
        <v>1309438.746</v>
      </c>
      <c r="K240" s="398"/>
      <c r="L240" s="3">
        <f t="shared" si="69"/>
        <v>1309439</v>
      </c>
      <c r="M240" s="4"/>
    </row>
    <row r="241" spans="1:13" ht="15.75" customHeight="1" x14ac:dyDescent="0.25">
      <c r="A241" s="93" t="s">
        <v>33</v>
      </c>
      <c r="B241" s="54"/>
      <c r="C241" s="55"/>
      <c r="D241" s="55"/>
      <c r="E241" s="88"/>
      <c r="F241" s="54"/>
      <c r="G241" s="55"/>
      <c r="H241" s="57"/>
      <c r="I241" s="687">
        <f>SUM(I237:I240)</f>
        <v>21007363</v>
      </c>
      <c r="J241" s="3"/>
      <c r="K241" s="398"/>
      <c r="L241" s="3">
        <f t="shared" si="69"/>
        <v>0</v>
      </c>
      <c r="M241" s="4"/>
    </row>
    <row r="242" spans="1:13" ht="15.75" customHeight="1" x14ac:dyDescent="0.25">
      <c r="A242" s="63"/>
      <c r="B242" s="65" t="s">
        <v>386</v>
      </c>
      <c r="C242" s="65"/>
      <c r="D242" s="65"/>
      <c r="E242" s="66" t="s">
        <v>387</v>
      </c>
      <c r="F242" s="65"/>
      <c r="G242" s="65"/>
      <c r="H242" s="68"/>
      <c r="I242" s="682"/>
      <c r="J242" s="92"/>
      <c r="K242" s="398"/>
      <c r="L242" s="3">
        <f t="shared" si="69"/>
        <v>0</v>
      </c>
      <c r="M242" s="4"/>
    </row>
    <row r="243" spans="1:13" ht="18.75" customHeight="1" x14ac:dyDescent="0.25">
      <c r="A243" s="31">
        <v>199</v>
      </c>
      <c r="B243" s="32" t="s">
        <v>388</v>
      </c>
      <c r="C243" s="33" t="s">
        <v>21</v>
      </c>
      <c r="D243" s="1"/>
      <c r="E243" s="34" t="s">
        <v>389</v>
      </c>
      <c r="F243" s="32" t="s">
        <v>26</v>
      </c>
      <c r="G243" s="33">
        <f>+'PRESUPUESTO OFICIAL AGUAS DORAD'!G243+'PRESUPUESTO OFICIAL EL DESTINO'!G243+'PRESUPUESTO LAS MARGARITAS'!G243</f>
        <v>17</v>
      </c>
      <c r="H243" s="35">
        <v>51012</v>
      </c>
      <c r="I243" s="673">
        <f t="shared" ref="I243:I246" si="80">+ROUND((L243*G243),0)</f>
        <v>1130398</v>
      </c>
      <c r="J243" s="86">
        <f t="shared" ref="J243:J246" si="81">+H243*$J$9</f>
        <v>66494.142000000007</v>
      </c>
      <c r="K243" s="398"/>
      <c r="L243" s="3">
        <f t="shared" si="69"/>
        <v>66494</v>
      </c>
      <c r="M243" s="4"/>
    </row>
    <row r="244" spans="1:13" ht="18.75" customHeight="1" x14ac:dyDescent="0.25">
      <c r="A244" s="31">
        <v>200</v>
      </c>
      <c r="B244" s="32" t="s">
        <v>390</v>
      </c>
      <c r="C244" s="33" t="s">
        <v>21</v>
      </c>
      <c r="D244" s="1"/>
      <c r="E244" s="34" t="s">
        <v>391</v>
      </c>
      <c r="F244" s="32" t="s">
        <v>26</v>
      </c>
      <c r="G244" s="33">
        <f>+'PRESUPUESTO OFICIAL AGUAS DORAD'!G244+'PRESUPUESTO OFICIAL EL DESTINO'!G244+'PRESUPUESTO LAS MARGARITAS'!G244</f>
        <v>16</v>
      </c>
      <c r="H244" s="35">
        <v>75393</v>
      </c>
      <c r="I244" s="673">
        <f t="shared" si="80"/>
        <v>1572400</v>
      </c>
      <c r="J244" s="86">
        <f t="shared" si="81"/>
        <v>98274.775500000003</v>
      </c>
      <c r="K244" s="398"/>
      <c r="L244" s="3">
        <f t="shared" si="69"/>
        <v>98275</v>
      </c>
      <c r="M244" s="4"/>
    </row>
    <row r="245" spans="1:13" ht="18.75" customHeight="1" x14ac:dyDescent="0.25">
      <c r="A245" s="31">
        <v>201</v>
      </c>
      <c r="B245" s="32" t="s">
        <v>392</v>
      </c>
      <c r="C245" s="33" t="s">
        <v>21</v>
      </c>
      <c r="D245" s="1"/>
      <c r="E245" s="34" t="s">
        <v>393</v>
      </c>
      <c r="F245" s="32" t="s">
        <v>23</v>
      </c>
      <c r="G245" s="33">
        <f>+'PRESUPUESTO OFICIAL AGUAS DORAD'!G245+'PRESUPUESTO OFICIAL EL DESTINO'!G245+'PRESUPUESTO LAS MARGARITAS'!G245</f>
        <v>30</v>
      </c>
      <c r="H245" s="35">
        <v>14550</v>
      </c>
      <c r="I245" s="673">
        <f t="shared" si="80"/>
        <v>568980</v>
      </c>
      <c r="J245" s="86">
        <f t="shared" si="81"/>
        <v>18965.925000000003</v>
      </c>
      <c r="K245" s="398"/>
      <c r="L245" s="3">
        <f t="shared" si="69"/>
        <v>18966</v>
      </c>
      <c r="M245" s="4"/>
    </row>
    <row r="246" spans="1:13" ht="15.75" customHeight="1" x14ac:dyDescent="0.25">
      <c r="A246" s="31">
        <v>202</v>
      </c>
      <c r="B246" s="32" t="s">
        <v>394</v>
      </c>
      <c r="C246" s="33" t="s">
        <v>333</v>
      </c>
      <c r="D246" s="1"/>
      <c r="E246" s="34" t="s">
        <v>395</v>
      </c>
      <c r="F246" s="32" t="s">
        <v>26</v>
      </c>
      <c r="G246" s="33">
        <f>+'PRESUPUESTO OFICIAL AGUAS DORAD'!G246+'PRESUPUESTO OFICIAL EL DESTINO'!G246+'PRESUPUESTO LAS MARGARITAS'!G246</f>
        <v>10</v>
      </c>
      <c r="H246" s="35">
        <v>198500</v>
      </c>
      <c r="I246" s="673">
        <f t="shared" si="80"/>
        <v>2587450</v>
      </c>
      <c r="J246" s="86">
        <f t="shared" si="81"/>
        <v>258744.75000000003</v>
      </c>
      <c r="K246" s="398"/>
      <c r="L246" s="3">
        <f t="shared" si="69"/>
        <v>258745</v>
      </c>
      <c r="M246" s="4"/>
    </row>
    <row r="247" spans="1:13" ht="15.75" customHeight="1" x14ac:dyDescent="0.25">
      <c r="A247" s="93" t="s">
        <v>33</v>
      </c>
      <c r="B247" s="54"/>
      <c r="C247" s="55"/>
      <c r="D247" s="55"/>
      <c r="E247" s="88"/>
      <c r="F247" s="54"/>
      <c r="G247" s="55"/>
      <c r="H247" s="57"/>
      <c r="I247" s="687">
        <f>SUM(I243:I246)</f>
        <v>5859228</v>
      </c>
      <c r="J247" s="4"/>
      <c r="K247" s="398"/>
      <c r="L247" s="3">
        <f t="shared" si="69"/>
        <v>0</v>
      </c>
      <c r="M247" s="4"/>
    </row>
    <row r="248" spans="1:13" ht="15.75" customHeight="1" x14ac:dyDescent="0.25">
      <c r="A248" s="63"/>
      <c r="B248" s="65" t="s">
        <v>396</v>
      </c>
      <c r="C248" s="65"/>
      <c r="D248" s="65"/>
      <c r="E248" s="66" t="s">
        <v>397</v>
      </c>
      <c r="F248" s="65"/>
      <c r="G248" s="65"/>
      <c r="H248" s="68"/>
      <c r="I248" s="682"/>
      <c r="J248" s="92"/>
      <c r="K248" s="398"/>
      <c r="L248" s="3">
        <f t="shared" si="69"/>
        <v>0</v>
      </c>
      <c r="M248" s="4"/>
    </row>
    <row r="249" spans="1:13" ht="15.75" customHeight="1" x14ac:dyDescent="0.25">
      <c r="A249" s="31">
        <v>140</v>
      </c>
      <c r="B249" s="32" t="s">
        <v>398</v>
      </c>
      <c r="C249" s="33" t="s">
        <v>21</v>
      </c>
      <c r="D249" s="1"/>
      <c r="E249" s="34" t="s">
        <v>399</v>
      </c>
      <c r="F249" s="32" t="s">
        <v>23</v>
      </c>
      <c r="G249" s="33">
        <f>+'PRESUPUESTO OFICIAL AGUAS DORAD'!G249+'PRESUPUESTO OFICIAL EL DESTINO'!G249+'PRESUPUESTO LAS MARGARITAS'!G249</f>
        <v>22</v>
      </c>
      <c r="H249" s="35">
        <v>248626</v>
      </c>
      <c r="I249" s="673">
        <f t="shared" ref="I249:I258" si="82">+ROUND((L249*G249),0)</f>
        <v>7129848</v>
      </c>
      <c r="J249" s="86">
        <f t="shared" ref="J249:J258" si="83">+H249*$J$9</f>
        <v>324083.99100000004</v>
      </c>
      <c r="K249" s="398"/>
      <c r="L249" s="3">
        <f t="shared" si="69"/>
        <v>324084</v>
      </c>
      <c r="M249" s="4"/>
    </row>
    <row r="250" spans="1:13" ht="45" x14ac:dyDescent="0.25">
      <c r="A250" s="31">
        <v>141</v>
      </c>
      <c r="B250" s="32" t="s">
        <v>400</v>
      </c>
      <c r="C250" s="33" t="s">
        <v>21</v>
      </c>
      <c r="D250" s="1"/>
      <c r="E250" s="84" t="s">
        <v>401</v>
      </c>
      <c r="F250" s="32" t="s">
        <v>23</v>
      </c>
      <c r="G250" s="33">
        <f>+'PRESUPUESTO OFICIAL AGUAS DORAD'!G250+'PRESUPUESTO OFICIAL EL DESTINO'!G250+'PRESUPUESTO LAS MARGARITAS'!G250</f>
        <v>32</v>
      </c>
      <c r="H250" s="35">
        <v>272119</v>
      </c>
      <c r="I250" s="673">
        <f t="shared" si="82"/>
        <v>11350624</v>
      </c>
      <c r="J250" s="86">
        <f t="shared" si="83"/>
        <v>354707.1165</v>
      </c>
      <c r="K250" s="398"/>
      <c r="L250" s="3">
        <f t="shared" si="69"/>
        <v>354707</v>
      </c>
      <c r="M250" s="4"/>
    </row>
    <row r="251" spans="1:13" ht="45" x14ac:dyDescent="0.25">
      <c r="A251" s="31">
        <v>142</v>
      </c>
      <c r="B251" s="32" t="s">
        <v>402</v>
      </c>
      <c r="C251" s="33" t="s">
        <v>21</v>
      </c>
      <c r="D251" s="1"/>
      <c r="E251" s="84" t="s">
        <v>403</v>
      </c>
      <c r="F251" s="32" t="s">
        <v>23</v>
      </c>
      <c r="G251" s="33">
        <f>+'PRESUPUESTO OFICIAL AGUAS DORAD'!G251+'PRESUPUESTO OFICIAL EL DESTINO'!G251+'PRESUPUESTO LAS MARGARITAS'!G251</f>
        <v>34</v>
      </c>
      <c r="H251" s="35">
        <v>328855</v>
      </c>
      <c r="I251" s="673">
        <f t="shared" si="82"/>
        <v>14574508</v>
      </c>
      <c r="J251" s="86">
        <f t="shared" si="83"/>
        <v>428662.49250000005</v>
      </c>
      <c r="K251" s="398"/>
      <c r="L251" s="3">
        <f t="shared" si="69"/>
        <v>428662</v>
      </c>
      <c r="M251" s="4"/>
    </row>
    <row r="252" spans="1:13" ht="45" x14ac:dyDescent="0.25">
      <c r="A252" s="31">
        <v>143</v>
      </c>
      <c r="B252" s="32" t="s">
        <v>404</v>
      </c>
      <c r="C252" s="33" t="s">
        <v>21</v>
      </c>
      <c r="D252" s="1"/>
      <c r="E252" s="84" t="s">
        <v>405</v>
      </c>
      <c r="F252" s="32" t="s">
        <v>23</v>
      </c>
      <c r="G252" s="33">
        <f>+'PRESUPUESTO OFICIAL AGUAS DORAD'!G252+'PRESUPUESTO OFICIAL EL DESTINO'!G252+'PRESUPUESTO LAS MARGARITAS'!G252</f>
        <v>27</v>
      </c>
      <c r="H252" s="35">
        <v>448368</v>
      </c>
      <c r="I252" s="673">
        <f t="shared" si="82"/>
        <v>15780096</v>
      </c>
      <c r="J252" s="86">
        <f t="shared" si="83"/>
        <v>584447.68800000008</v>
      </c>
      <c r="K252" s="398"/>
      <c r="L252" s="3">
        <f t="shared" si="69"/>
        <v>584448</v>
      </c>
      <c r="M252" s="4"/>
    </row>
    <row r="253" spans="1:13" ht="45" x14ac:dyDescent="0.25">
      <c r="A253" s="31">
        <v>144</v>
      </c>
      <c r="B253" s="32" t="s">
        <v>406</v>
      </c>
      <c r="C253" s="33" t="s">
        <v>21</v>
      </c>
      <c r="D253" s="1"/>
      <c r="E253" s="34" t="s">
        <v>407</v>
      </c>
      <c r="F253" s="32" t="s">
        <v>23</v>
      </c>
      <c r="G253" s="33">
        <f>+'PRESUPUESTO OFICIAL AGUAS DORAD'!G253+'PRESUPUESTO OFICIAL EL DESTINO'!G253+'PRESUPUESTO LAS MARGARITAS'!G253</f>
        <v>35</v>
      </c>
      <c r="H253" s="35">
        <v>247804</v>
      </c>
      <c r="I253" s="673">
        <f t="shared" si="82"/>
        <v>11305455</v>
      </c>
      <c r="J253" s="86">
        <f t="shared" si="83"/>
        <v>323012.51400000002</v>
      </c>
      <c r="K253" s="398"/>
      <c r="L253" s="3">
        <f t="shared" si="69"/>
        <v>323013</v>
      </c>
      <c r="M253" s="4"/>
    </row>
    <row r="254" spans="1:13" ht="45" x14ac:dyDescent="0.25">
      <c r="A254" s="31">
        <v>145</v>
      </c>
      <c r="B254" s="32" t="s">
        <v>408</v>
      </c>
      <c r="C254" s="33" t="s">
        <v>21</v>
      </c>
      <c r="D254" s="1"/>
      <c r="E254" s="34" t="s">
        <v>409</v>
      </c>
      <c r="F254" s="32" t="s">
        <v>23</v>
      </c>
      <c r="G254" s="33">
        <f>+'PRESUPUESTO OFICIAL AGUAS DORAD'!G254+'PRESUPUESTO OFICIAL EL DESTINO'!G254+'PRESUPUESTO LAS MARGARITAS'!G254</f>
        <v>65</v>
      </c>
      <c r="H254" s="35">
        <v>176401</v>
      </c>
      <c r="I254" s="673">
        <f t="shared" si="82"/>
        <v>14946035</v>
      </c>
      <c r="J254" s="86">
        <f t="shared" si="83"/>
        <v>229938.70350000003</v>
      </c>
      <c r="K254" s="398"/>
      <c r="L254" s="3">
        <f t="shared" si="69"/>
        <v>229939</v>
      </c>
      <c r="M254" s="4"/>
    </row>
    <row r="255" spans="1:13" ht="45" x14ac:dyDescent="0.25">
      <c r="A255" s="31">
        <v>146</v>
      </c>
      <c r="B255" s="32" t="s">
        <v>410</v>
      </c>
      <c r="C255" s="33" t="s">
        <v>21</v>
      </c>
      <c r="D255" s="1"/>
      <c r="E255" s="84" t="s">
        <v>411</v>
      </c>
      <c r="F255" s="32" t="s">
        <v>44</v>
      </c>
      <c r="G255" s="33">
        <f>+'PRESUPUESTO OFICIAL AGUAS DORAD'!G255+'PRESUPUESTO OFICIAL EL DESTINO'!G255+'PRESUPUESTO LAS MARGARITAS'!G255</f>
        <v>9</v>
      </c>
      <c r="H255" s="35">
        <v>237042</v>
      </c>
      <c r="I255" s="673">
        <f t="shared" si="82"/>
        <v>2780856</v>
      </c>
      <c r="J255" s="86">
        <f t="shared" si="83"/>
        <v>308984.24700000003</v>
      </c>
      <c r="K255" s="398"/>
      <c r="L255" s="3">
        <f t="shared" si="69"/>
        <v>308984</v>
      </c>
      <c r="M255" s="4"/>
    </row>
    <row r="256" spans="1:13" ht="15.75" customHeight="1" x14ac:dyDescent="0.25">
      <c r="A256" s="31">
        <v>147</v>
      </c>
      <c r="B256" s="32" t="s">
        <v>412</v>
      </c>
      <c r="C256" s="33" t="s">
        <v>21</v>
      </c>
      <c r="D256" s="1"/>
      <c r="E256" s="34" t="s">
        <v>413</v>
      </c>
      <c r="F256" s="32" t="s">
        <v>26</v>
      </c>
      <c r="G256" s="33">
        <f>+'PRESUPUESTO OFICIAL AGUAS DORAD'!G256+'PRESUPUESTO OFICIAL EL DESTINO'!G256+'PRESUPUESTO LAS MARGARITAS'!G256</f>
        <v>12</v>
      </c>
      <c r="H256" s="35">
        <v>390280</v>
      </c>
      <c r="I256" s="673">
        <f t="shared" si="82"/>
        <v>6104760</v>
      </c>
      <c r="J256" s="86">
        <f t="shared" si="83"/>
        <v>508729.98000000004</v>
      </c>
      <c r="K256" s="398"/>
      <c r="L256" s="3">
        <f t="shared" si="69"/>
        <v>508730</v>
      </c>
      <c r="M256" s="4"/>
    </row>
    <row r="257" spans="1:13" ht="45" x14ac:dyDescent="0.25">
      <c r="A257" s="31">
        <v>148</v>
      </c>
      <c r="B257" s="32" t="s">
        <v>414</v>
      </c>
      <c r="C257" s="33" t="s">
        <v>21</v>
      </c>
      <c r="D257" s="1"/>
      <c r="E257" s="84" t="s">
        <v>415</v>
      </c>
      <c r="F257" s="32" t="s">
        <v>26</v>
      </c>
      <c r="G257" s="33">
        <f>+'PRESUPUESTO OFICIAL AGUAS DORAD'!G257+'PRESUPUESTO OFICIAL EL DESTINO'!G257+'PRESUPUESTO LAS MARGARITAS'!G257</f>
        <v>17</v>
      </c>
      <c r="H257" s="35">
        <v>231634</v>
      </c>
      <c r="I257" s="673">
        <f t="shared" si="82"/>
        <v>5132895</v>
      </c>
      <c r="J257" s="86">
        <f t="shared" si="83"/>
        <v>301934.91900000005</v>
      </c>
      <c r="K257" s="398"/>
      <c r="L257" s="3">
        <f t="shared" si="69"/>
        <v>301935</v>
      </c>
      <c r="M257" s="4"/>
    </row>
    <row r="258" spans="1:13" ht="45" x14ac:dyDescent="0.25">
      <c r="A258" s="31">
        <v>149</v>
      </c>
      <c r="B258" s="96" t="s">
        <v>412</v>
      </c>
      <c r="C258" s="33" t="s">
        <v>21</v>
      </c>
      <c r="D258" s="1"/>
      <c r="E258" s="84" t="s">
        <v>416</v>
      </c>
      <c r="F258" s="32" t="s">
        <v>44</v>
      </c>
      <c r="G258" s="33">
        <f>+'PRESUPUESTO OFICIAL AGUAS DORAD'!G258+'PRESUPUESTO OFICIAL EL DESTINO'!G258+'PRESUPUESTO LAS MARGARITAS'!G258</f>
        <v>17</v>
      </c>
      <c r="H258" s="35">
        <v>1271142</v>
      </c>
      <c r="I258" s="673">
        <f t="shared" si="82"/>
        <v>28167878</v>
      </c>
      <c r="J258" s="86">
        <f t="shared" si="83"/>
        <v>1656933.5970000001</v>
      </c>
      <c r="K258" s="398"/>
      <c r="L258" s="3">
        <f t="shared" si="69"/>
        <v>1656934</v>
      </c>
      <c r="M258" s="4"/>
    </row>
    <row r="259" spans="1:13" ht="15.75" customHeight="1" x14ac:dyDescent="0.25">
      <c r="A259" s="93" t="s">
        <v>33</v>
      </c>
      <c r="B259" s="54"/>
      <c r="C259" s="55"/>
      <c r="D259" s="55"/>
      <c r="E259" s="88"/>
      <c r="F259" s="54"/>
      <c r="G259" s="55"/>
      <c r="H259" s="57"/>
      <c r="I259" s="687">
        <f>SUM(I249:I258)</f>
        <v>117272955</v>
      </c>
      <c r="J259" s="4"/>
      <c r="K259" s="398"/>
      <c r="L259" s="3">
        <f t="shared" si="69"/>
        <v>0</v>
      </c>
      <c r="M259" s="4"/>
    </row>
    <row r="260" spans="1:13" ht="15.75" customHeight="1" x14ac:dyDescent="0.25">
      <c r="A260" s="63"/>
      <c r="B260" s="65" t="s">
        <v>417</v>
      </c>
      <c r="C260" s="65"/>
      <c r="D260" s="65"/>
      <c r="E260" s="66" t="s">
        <v>418</v>
      </c>
      <c r="F260" s="65"/>
      <c r="G260" s="65"/>
      <c r="H260" s="68"/>
      <c r="I260" s="682"/>
      <c r="J260" s="92"/>
      <c r="K260" s="398"/>
      <c r="L260" s="3">
        <f t="shared" si="69"/>
        <v>0</v>
      </c>
      <c r="M260" s="4"/>
    </row>
    <row r="261" spans="1:13" ht="15.75" customHeight="1" x14ac:dyDescent="0.25">
      <c r="A261" s="31">
        <v>220</v>
      </c>
      <c r="B261" s="32" t="s">
        <v>419</v>
      </c>
      <c r="C261" s="33" t="s">
        <v>21</v>
      </c>
      <c r="D261" s="1"/>
      <c r="E261" s="34" t="s">
        <v>420</v>
      </c>
      <c r="F261" s="32" t="s">
        <v>26</v>
      </c>
      <c r="G261" s="33">
        <f>+'PRESUPUESTO OFICIAL AGUAS DORAD'!G261+'PRESUPUESTO OFICIAL EL DESTINO'!G261+'PRESUPUESTO LAS MARGARITAS'!G261</f>
        <v>50</v>
      </c>
      <c r="H261" s="35">
        <v>11589</v>
      </c>
      <c r="I261" s="673">
        <f t="shared" ref="I261:I263" si="84">+ROUND((L261*G261),0)</f>
        <v>755300</v>
      </c>
      <c r="J261" s="86">
        <f t="shared" ref="J261:J263" si="85">+H261*$J$9</f>
        <v>15106.261500000001</v>
      </c>
      <c r="K261" s="398"/>
      <c r="L261" s="3">
        <f t="shared" si="69"/>
        <v>15106</v>
      </c>
      <c r="M261" s="4"/>
    </row>
    <row r="262" spans="1:13" ht="15.75" customHeight="1" x14ac:dyDescent="0.25">
      <c r="A262" s="31">
        <v>150</v>
      </c>
      <c r="B262" s="32" t="s">
        <v>421</v>
      </c>
      <c r="C262" s="33" t="s">
        <v>21</v>
      </c>
      <c r="D262" s="1"/>
      <c r="E262" s="34" t="s">
        <v>422</v>
      </c>
      <c r="F262" s="32" t="s">
        <v>23</v>
      </c>
      <c r="G262" s="33">
        <f>+'PRESUPUESTO OFICIAL AGUAS DORAD'!G262+'PRESUPUESTO OFICIAL EL DESTINO'!G262+'PRESUPUESTO LAS MARGARITAS'!G262</f>
        <v>190</v>
      </c>
      <c r="H262" s="35">
        <v>5848</v>
      </c>
      <c r="I262" s="673">
        <f t="shared" si="84"/>
        <v>1448370</v>
      </c>
      <c r="J262" s="86">
        <f t="shared" si="85"/>
        <v>7622.8680000000004</v>
      </c>
      <c r="K262" s="398"/>
      <c r="L262" s="3">
        <f t="shared" si="69"/>
        <v>7623</v>
      </c>
      <c r="M262" s="4"/>
    </row>
    <row r="263" spans="1:13" ht="15.75" customHeight="1" x14ac:dyDescent="0.25">
      <c r="A263" s="31">
        <v>151</v>
      </c>
      <c r="B263" s="32" t="s">
        <v>423</v>
      </c>
      <c r="C263" s="33" t="s">
        <v>21</v>
      </c>
      <c r="D263" s="1"/>
      <c r="E263" s="34" t="s">
        <v>424</v>
      </c>
      <c r="F263" s="32" t="s">
        <v>26</v>
      </c>
      <c r="G263" s="33">
        <f>+'PRESUPUESTO OFICIAL AGUAS DORAD'!G263+'PRESUPUESTO OFICIAL EL DESTINO'!G263+'PRESUPUESTO LAS MARGARITAS'!G263</f>
        <v>40</v>
      </c>
      <c r="H263" s="35">
        <v>19025</v>
      </c>
      <c r="I263" s="673">
        <f t="shared" si="84"/>
        <v>991960</v>
      </c>
      <c r="J263" s="86">
        <f t="shared" si="85"/>
        <v>24799.087500000001</v>
      </c>
      <c r="K263" s="398"/>
      <c r="L263" s="3">
        <f t="shared" si="69"/>
        <v>24799</v>
      </c>
      <c r="M263" s="4"/>
    </row>
    <row r="264" spans="1:13" ht="15.75" customHeight="1" x14ac:dyDescent="0.25">
      <c r="A264" s="93" t="s">
        <v>33</v>
      </c>
      <c r="B264" s="54"/>
      <c r="C264" s="55"/>
      <c r="D264" s="55"/>
      <c r="E264" s="88"/>
      <c r="F264" s="54"/>
      <c r="G264" s="55"/>
      <c r="H264" s="57"/>
      <c r="I264" s="687">
        <f>SUM(I261:I263)</f>
        <v>3195630</v>
      </c>
      <c r="J264" s="4"/>
      <c r="K264" s="398"/>
      <c r="L264" s="3"/>
      <c r="M264" s="4"/>
    </row>
    <row r="265" spans="1:13" ht="15.75" customHeight="1" x14ac:dyDescent="0.25">
      <c r="A265" s="63"/>
      <c r="B265" s="65" t="s">
        <v>425</v>
      </c>
      <c r="C265" s="65"/>
      <c r="D265" s="65"/>
      <c r="E265" s="66" t="s">
        <v>426</v>
      </c>
      <c r="F265" s="65"/>
      <c r="G265" s="65"/>
      <c r="H265" s="68"/>
      <c r="I265" s="682"/>
      <c r="J265" s="92"/>
      <c r="K265" s="398"/>
      <c r="L265" s="3"/>
      <c r="M265" s="4"/>
    </row>
    <row r="266" spans="1:13" ht="15.75" customHeight="1" x14ac:dyDescent="0.25">
      <c r="A266" s="31">
        <v>152</v>
      </c>
      <c r="B266" s="32" t="s">
        <v>427</v>
      </c>
      <c r="C266" s="33" t="s">
        <v>21</v>
      </c>
      <c r="D266" s="1"/>
      <c r="E266" s="34" t="s">
        <v>428</v>
      </c>
      <c r="F266" s="32" t="s">
        <v>26</v>
      </c>
      <c r="G266" s="33">
        <f>+'PRESUPUESTO OFICIAL AGUAS DORAD'!G266+'PRESUPUESTO OFICIAL EL DESTINO'!G266+'PRESUPUESTO LAS MARGARITAS'!G266</f>
        <v>35</v>
      </c>
      <c r="H266" s="35">
        <v>799537</v>
      </c>
      <c r="I266" s="673">
        <f t="shared" ref="I266:I268" si="86">+ROUND((L266*G266),0)</f>
        <v>36476860</v>
      </c>
      <c r="J266" s="86">
        <f t="shared" ref="J266:J268" si="87">+H266*$J$9</f>
        <v>1042196.4795000001</v>
      </c>
      <c r="K266" s="398"/>
      <c r="L266" s="3">
        <f t="shared" si="69"/>
        <v>1042196</v>
      </c>
      <c r="M266" s="4"/>
    </row>
    <row r="267" spans="1:13" ht="15.75" customHeight="1" x14ac:dyDescent="0.25">
      <c r="A267" s="31">
        <v>153</v>
      </c>
      <c r="B267" s="32" t="s">
        <v>429</v>
      </c>
      <c r="C267" s="33" t="s">
        <v>21</v>
      </c>
      <c r="D267" s="1"/>
      <c r="E267" s="34" t="s">
        <v>430</v>
      </c>
      <c r="F267" s="32" t="s">
        <v>44</v>
      </c>
      <c r="G267" s="33">
        <f>+'PRESUPUESTO OFICIAL AGUAS DORAD'!G267+'PRESUPUESTO OFICIAL EL DESTINO'!G267+'PRESUPUESTO LAS MARGARITAS'!G267</f>
        <v>3</v>
      </c>
      <c r="H267" s="35">
        <v>787233</v>
      </c>
      <c r="I267" s="673">
        <f t="shared" si="86"/>
        <v>3078474</v>
      </c>
      <c r="J267" s="86">
        <f t="shared" si="87"/>
        <v>1026158.2155</v>
      </c>
      <c r="K267" s="398"/>
      <c r="L267" s="3">
        <f t="shared" si="69"/>
        <v>1026158</v>
      </c>
      <c r="M267" s="4"/>
    </row>
    <row r="268" spans="1:13" ht="15.75" customHeight="1" x14ac:dyDescent="0.25">
      <c r="A268" s="31">
        <v>154</v>
      </c>
      <c r="B268" s="32" t="s">
        <v>431</v>
      </c>
      <c r="C268" s="33" t="s">
        <v>21</v>
      </c>
      <c r="D268" s="1"/>
      <c r="E268" s="34" t="s">
        <v>432</v>
      </c>
      <c r="F268" s="32" t="s">
        <v>44</v>
      </c>
      <c r="G268" s="33">
        <f>+'PRESUPUESTO OFICIAL AGUAS DORAD'!G268+'PRESUPUESTO OFICIAL EL DESTINO'!G268+'PRESUPUESTO LAS MARGARITAS'!G268</f>
        <v>3</v>
      </c>
      <c r="H268" s="35">
        <v>434696</v>
      </c>
      <c r="I268" s="673">
        <f t="shared" si="86"/>
        <v>1699878</v>
      </c>
      <c r="J268" s="86">
        <f t="shared" si="87"/>
        <v>566626.23600000003</v>
      </c>
      <c r="K268" s="398"/>
      <c r="L268" s="3">
        <f t="shared" si="69"/>
        <v>566626</v>
      </c>
      <c r="M268" s="4"/>
    </row>
    <row r="269" spans="1:13" ht="15.75" customHeight="1" x14ac:dyDescent="0.25">
      <c r="A269" s="93" t="s">
        <v>33</v>
      </c>
      <c r="B269" s="54"/>
      <c r="C269" s="55"/>
      <c r="D269" s="55"/>
      <c r="E269" s="88"/>
      <c r="F269" s="54"/>
      <c r="G269" s="55"/>
      <c r="H269" s="57"/>
      <c r="I269" s="687">
        <f>SUM(I266:I268)</f>
        <v>41255212</v>
      </c>
      <c r="J269" s="4"/>
      <c r="K269" s="398"/>
      <c r="L269" s="3"/>
      <c r="M269" s="4"/>
    </row>
    <row r="270" spans="1:13" ht="15.75" customHeight="1" x14ac:dyDescent="0.25">
      <c r="A270" s="63"/>
      <c r="B270" s="65" t="s">
        <v>433</v>
      </c>
      <c r="C270" s="65"/>
      <c r="D270" s="65"/>
      <c r="E270" s="66" t="s">
        <v>434</v>
      </c>
      <c r="F270" s="65"/>
      <c r="G270" s="65"/>
      <c r="H270" s="68"/>
      <c r="I270" s="682"/>
      <c r="J270" s="92"/>
      <c r="K270" s="398"/>
      <c r="L270" s="3"/>
      <c r="M270" s="4"/>
    </row>
    <row r="271" spans="1:13" ht="15.75" customHeight="1" x14ac:dyDescent="0.25">
      <c r="A271" s="31">
        <v>155</v>
      </c>
      <c r="B271" s="32" t="s">
        <v>435</v>
      </c>
      <c r="C271" s="33" t="s">
        <v>21</v>
      </c>
      <c r="D271" s="1"/>
      <c r="E271" s="34" t="s">
        <v>436</v>
      </c>
      <c r="F271" s="32" t="s">
        <v>23</v>
      </c>
      <c r="G271" s="33">
        <f>+'PRESUPUESTO OFICIAL AGUAS DORAD'!G271+'PRESUPUESTO OFICIAL EL DESTINO'!G271+'PRESUPUESTO LAS MARGARITAS'!G271</f>
        <v>75</v>
      </c>
      <c r="H271" s="35">
        <v>68168</v>
      </c>
      <c r="I271" s="673">
        <f t="shared" ref="I271:I274" si="88">+ROUND((L271*G271),0)</f>
        <v>6664275</v>
      </c>
      <c r="J271" s="86">
        <f t="shared" ref="J271:J274" si="89">+H271*$J$9</f>
        <v>88856.988000000012</v>
      </c>
      <c r="K271" s="398"/>
      <c r="L271" s="3">
        <f t="shared" si="69"/>
        <v>88857</v>
      </c>
      <c r="M271" s="4"/>
    </row>
    <row r="272" spans="1:13" ht="15.75" customHeight="1" x14ac:dyDescent="0.25">
      <c r="A272" s="31">
        <v>156</v>
      </c>
      <c r="B272" s="32" t="s">
        <v>437</v>
      </c>
      <c r="C272" s="33" t="s">
        <v>21</v>
      </c>
      <c r="D272" s="1"/>
      <c r="E272" s="34" t="s">
        <v>438</v>
      </c>
      <c r="F272" s="32" t="s">
        <v>23</v>
      </c>
      <c r="G272" s="33">
        <f>+'PRESUPUESTO OFICIAL AGUAS DORAD'!G272+'PRESUPUESTO OFICIAL EL DESTINO'!G272+'PRESUPUESTO LAS MARGARITAS'!G272</f>
        <v>35</v>
      </c>
      <c r="H272" s="35">
        <v>4200</v>
      </c>
      <c r="I272" s="673">
        <f t="shared" si="88"/>
        <v>191625</v>
      </c>
      <c r="J272" s="86">
        <f t="shared" si="89"/>
        <v>5474.7000000000007</v>
      </c>
      <c r="K272" s="398"/>
      <c r="L272" s="3">
        <f t="shared" si="69"/>
        <v>5475</v>
      </c>
      <c r="M272" s="4"/>
    </row>
    <row r="273" spans="1:13" ht="30" customHeight="1" x14ac:dyDescent="0.25">
      <c r="A273" s="31">
        <v>157</v>
      </c>
      <c r="B273" s="32" t="s">
        <v>439</v>
      </c>
      <c r="C273" s="33" t="s">
        <v>21</v>
      </c>
      <c r="D273" s="1"/>
      <c r="E273" s="84" t="s">
        <v>440</v>
      </c>
      <c r="F273" s="32" t="s">
        <v>26</v>
      </c>
      <c r="G273" s="33">
        <f>+'PRESUPUESTO OFICIAL AGUAS DORAD'!G273+'PRESUPUESTO OFICIAL EL DESTINO'!G273+'PRESUPUESTO LAS MARGARITAS'!G273</f>
        <v>50</v>
      </c>
      <c r="H273" s="35">
        <v>149789</v>
      </c>
      <c r="I273" s="673">
        <f t="shared" si="88"/>
        <v>9762500</v>
      </c>
      <c r="J273" s="86">
        <f t="shared" si="89"/>
        <v>195249.9615</v>
      </c>
      <c r="K273" s="398"/>
      <c r="L273" s="3">
        <f t="shared" si="69"/>
        <v>195250</v>
      </c>
      <c r="M273" s="4"/>
    </row>
    <row r="274" spans="1:13" ht="15.75" customHeight="1" x14ac:dyDescent="0.25">
      <c r="A274" s="71">
        <v>158</v>
      </c>
      <c r="B274" s="32" t="s">
        <v>441</v>
      </c>
      <c r="C274" s="33" t="s">
        <v>21</v>
      </c>
      <c r="D274" s="1"/>
      <c r="E274" s="34" t="s">
        <v>442</v>
      </c>
      <c r="F274" s="32" t="s">
        <v>44</v>
      </c>
      <c r="G274" s="33">
        <f>+'PRESUPUESTO OFICIAL AGUAS DORAD'!G274+'PRESUPUESTO OFICIAL EL DESTINO'!G274+'PRESUPUESTO LAS MARGARITAS'!G274</f>
        <v>3</v>
      </c>
      <c r="H274" s="35">
        <v>364475</v>
      </c>
      <c r="I274" s="673">
        <f t="shared" si="88"/>
        <v>1425279</v>
      </c>
      <c r="J274" s="86">
        <f t="shared" si="89"/>
        <v>475093.16250000003</v>
      </c>
      <c r="K274" s="398"/>
      <c r="L274" s="3">
        <f t="shared" si="69"/>
        <v>475093</v>
      </c>
      <c r="M274" s="4"/>
    </row>
    <row r="275" spans="1:13" ht="15.75" customHeight="1" x14ac:dyDescent="0.25">
      <c r="A275" s="93" t="s">
        <v>33</v>
      </c>
      <c r="B275" s="54"/>
      <c r="C275" s="55"/>
      <c r="D275" s="55"/>
      <c r="E275" s="88"/>
      <c r="F275" s="54"/>
      <c r="G275" s="55"/>
      <c r="H275" s="57"/>
      <c r="I275" s="687">
        <f>SUM(I271:I274)</f>
        <v>18043679</v>
      </c>
      <c r="J275" s="4"/>
      <c r="K275" s="398"/>
      <c r="L275" s="3"/>
      <c r="M275" s="4"/>
    </row>
    <row r="276" spans="1:13" ht="15.75" customHeight="1" x14ac:dyDescent="0.25">
      <c r="A276" s="63"/>
      <c r="B276" s="65"/>
      <c r="C276" s="65"/>
      <c r="D276" s="65"/>
      <c r="E276" s="66" t="s">
        <v>443</v>
      </c>
      <c r="F276" s="65"/>
      <c r="G276" s="65"/>
      <c r="H276" s="68"/>
      <c r="I276" s="682"/>
      <c r="J276" s="92"/>
      <c r="K276" s="398"/>
      <c r="L276" s="3"/>
      <c r="M276" s="4"/>
    </row>
    <row r="277" spans="1:13" ht="15.75" customHeight="1" x14ac:dyDescent="0.25">
      <c r="A277" s="31">
        <v>159</v>
      </c>
      <c r="B277" s="329">
        <v>6404</v>
      </c>
      <c r="C277" s="96" t="s">
        <v>444</v>
      </c>
      <c r="D277" s="1"/>
      <c r="E277" s="84" t="s">
        <v>445</v>
      </c>
      <c r="F277" s="96" t="s">
        <v>44</v>
      </c>
      <c r="G277" s="33">
        <f>+'PRESUPUESTO OFICIAL AGUAS DORAD'!G277+'PRESUPUESTO OFICIAL EL DESTINO'!G277+'PRESUPUESTO LAS MARGARITAS'!G277</f>
        <v>3</v>
      </c>
      <c r="H277" s="35">
        <v>115430</v>
      </c>
      <c r="I277" s="673">
        <f t="shared" ref="I277:I293" si="90">+ROUND((L277*G277),0)</f>
        <v>451389</v>
      </c>
      <c r="J277" s="86">
        <f t="shared" ref="J277:J293" si="91">+H277*$J$9</f>
        <v>150463.005</v>
      </c>
      <c r="K277" s="398"/>
      <c r="L277" s="3">
        <f t="shared" ref="L276:L312" si="92">++ROUND(J277,0)</f>
        <v>150463</v>
      </c>
      <c r="M277" s="4"/>
    </row>
    <row r="278" spans="1:13" ht="15.75" customHeight="1" x14ac:dyDescent="0.25">
      <c r="A278" s="31">
        <v>160</v>
      </c>
      <c r="B278" s="329">
        <v>6405</v>
      </c>
      <c r="C278" s="96" t="s">
        <v>444</v>
      </c>
      <c r="D278" s="1"/>
      <c r="E278" s="84" t="s">
        <v>446</v>
      </c>
      <c r="F278" s="96" t="s">
        <v>44</v>
      </c>
      <c r="G278" s="33">
        <f>+'PRESUPUESTO OFICIAL AGUAS DORAD'!G278+'PRESUPUESTO OFICIAL EL DESTINO'!G278+'PRESUPUESTO LAS MARGARITAS'!G278</f>
        <v>3</v>
      </c>
      <c r="H278" s="35">
        <v>198057</v>
      </c>
      <c r="I278" s="673">
        <f t="shared" si="90"/>
        <v>774501</v>
      </c>
      <c r="J278" s="86">
        <f t="shared" si="91"/>
        <v>258167.29950000002</v>
      </c>
      <c r="K278" s="398"/>
      <c r="L278" s="3">
        <f t="shared" si="92"/>
        <v>258167</v>
      </c>
      <c r="M278" s="4"/>
    </row>
    <row r="279" spans="1:13" ht="15.75" customHeight="1" x14ac:dyDescent="0.25">
      <c r="A279" s="31">
        <v>161</v>
      </c>
      <c r="B279" s="329">
        <v>6406</v>
      </c>
      <c r="C279" s="96" t="s">
        <v>444</v>
      </c>
      <c r="D279" s="1"/>
      <c r="E279" s="84" t="s">
        <v>447</v>
      </c>
      <c r="F279" s="96" t="s">
        <v>44</v>
      </c>
      <c r="G279" s="33">
        <f>+'PRESUPUESTO OFICIAL AGUAS DORAD'!G279+'PRESUPUESTO OFICIAL EL DESTINO'!G279+'PRESUPUESTO LAS MARGARITAS'!G279</f>
        <v>3</v>
      </c>
      <c r="H279" s="35">
        <v>262523</v>
      </c>
      <c r="I279" s="673">
        <f t="shared" si="90"/>
        <v>1026597</v>
      </c>
      <c r="J279" s="86">
        <f t="shared" si="91"/>
        <v>342198.73050000001</v>
      </c>
      <c r="K279" s="398"/>
      <c r="L279" s="3">
        <f t="shared" si="92"/>
        <v>342199</v>
      </c>
      <c r="M279" s="4"/>
    </row>
    <row r="280" spans="1:13" ht="15.75" customHeight="1" x14ac:dyDescent="0.25">
      <c r="A280" s="31">
        <v>162</v>
      </c>
      <c r="B280" s="329">
        <v>6407</v>
      </c>
      <c r="C280" s="96" t="s">
        <v>444</v>
      </c>
      <c r="D280" s="1"/>
      <c r="E280" s="84" t="s">
        <v>448</v>
      </c>
      <c r="F280" s="96" t="s">
        <v>44</v>
      </c>
      <c r="G280" s="33">
        <f>+'PRESUPUESTO OFICIAL AGUAS DORAD'!G280+'PRESUPUESTO OFICIAL EL DESTINO'!G280+'PRESUPUESTO LAS MARGARITAS'!G280</f>
        <v>4</v>
      </c>
      <c r="H280" s="35">
        <v>529550</v>
      </c>
      <c r="I280" s="673">
        <f t="shared" si="90"/>
        <v>2761072</v>
      </c>
      <c r="J280" s="86">
        <f t="shared" si="91"/>
        <v>690268.42500000005</v>
      </c>
      <c r="K280" s="398"/>
      <c r="L280" s="3">
        <f t="shared" si="92"/>
        <v>690268</v>
      </c>
      <c r="M280" s="4"/>
    </row>
    <row r="281" spans="1:13" ht="15.75" customHeight="1" x14ac:dyDescent="0.25">
      <c r="A281" s="31">
        <v>163</v>
      </c>
      <c r="B281" s="329">
        <v>6416</v>
      </c>
      <c r="C281" s="96" t="s">
        <v>444</v>
      </c>
      <c r="D281" s="1"/>
      <c r="E281" s="84" t="s">
        <v>449</v>
      </c>
      <c r="F281" s="96" t="s">
        <v>44</v>
      </c>
      <c r="G281" s="33">
        <f>+'PRESUPUESTO OFICIAL AGUAS DORAD'!G281+'PRESUPUESTO OFICIAL EL DESTINO'!G281+'PRESUPUESTO LAS MARGARITAS'!G281</f>
        <v>3</v>
      </c>
      <c r="H281" s="35">
        <v>134470</v>
      </c>
      <c r="I281" s="673">
        <f t="shared" si="90"/>
        <v>525846</v>
      </c>
      <c r="J281" s="86">
        <f t="shared" si="91"/>
        <v>175281.64500000002</v>
      </c>
      <c r="K281" s="398"/>
      <c r="L281" s="3">
        <f t="shared" si="92"/>
        <v>175282</v>
      </c>
      <c r="M281" s="4"/>
    </row>
    <row r="282" spans="1:13" ht="15.75" customHeight="1" x14ac:dyDescent="0.25">
      <c r="A282" s="31">
        <v>164</v>
      </c>
      <c r="B282" s="329">
        <v>6417</v>
      </c>
      <c r="C282" s="96" t="s">
        <v>444</v>
      </c>
      <c r="D282" s="1"/>
      <c r="E282" s="84" t="s">
        <v>450</v>
      </c>
      <c r="F282" s="96" t="s">
        <v>44</v>
      </c>
      <c r="G282" s="33">
        <f>+'PRESUPUESTO OFICIAL AGUAS DORAD'!G282+'PRESUPUESTO OFICIAL EL DESTINO'!G282+'PRESUPUESTO LAS MARGARITAS'!G282</f>
        <v>3</v>
      </c>
      <c r="H282" s="35">
        <v>177305</v>
      </c>
      <c r="I282" s="673">
        <f t="shared" si="90"/>
        <v>693351</v>
      </c>
      <c r="J282" s="86">
        <f t="shared" si="91"/>
        <v>231117.0675</v>
      </c>
      <c r="K282" s="398"/>
      <c r="L282" s="3">
        <f t="shared" si="92"/>
        <v>231117</v>
      </c>
      <c r="M282" s="4"/>
    </row>
    <row r="283" spans="1:13" ht="15.75" customHeight="1" x14ac:dyDescent="0.25">
      <c r="A283" s="31">
        <v>165</v>
      </c>
      <c r="B283" s="329">
        <v>6418</v>
      </c>
      <c r="C283" s="96" t="s">
        <v>444</v>
      </c>
      <c r="D283" s="1"/>
      <c r="E283" s="84" t="s">
        <v>451</v>
      </c>
      <c r="F283" s="96" t="s">
        <v>44</v>
      </c>
      <c r="G283" s="33">
        <f>+'PRESUPUESTO OFICIAL AGUAS DORAD'!G283+'PRESUPUESTO OFICIAL EL DESTINO'!G283+'PRESUPUESTO LAS MARGARITAS'!G283</f>
        <v>3</v>
      </c>
      <c r="H283" s="35">
        <v>232596</v>
      </c>
      <c r="I283" s="673">
        <f t="shared" si="90"/>
        <v>909567</v>
      </c>
      <c r="J283" s="86">
        <f t="shared" si="91"/>
        <v>303188.886</v>
      </c>
      <c r="K283" s="398"/>
      <c r="L283" s="3">
        <f t="shared" si="92"/>
        <v>303189</v>
      </c>
      <c r="M283" s="4"/>
    </row>
    <row r="284" spans="1:13" ht="15.75" customHeight="1" x14ac:dyDescent="0.25">
      <c r="A284" s="31">
        <v>166</v>
      </c>
      <c r="B284" s="329">
        <v>6645</v>
      </c>
      <c r="C284" s="96" t="s">
        <v>444</v>
      </c>
      <c r="D284" s="1"/>
      <c r="E284" s="84" t="s">
        <v>452</v>
      </c>
      <c r="F284" s="96" t="s">
        <v>44</v>
      </c>
      <c r="G284" s="33">
        <f>+'PRESUPUESTO OFICIAL AGUAS DORAD'!G284+'PRESUPUESTO OFICIAL EL DESTINO'!G284+'PRESUPUESTO LAS MARGARITAS'!G284</f>
        <v>9</v>
      </c>
      <c r="H284" s="35">
        <v>95971</v>
      </c>
      <c r="I284" s="673">
        <f t="shared" si="90"/>
        <v>1125882</v>
      </c>
      <c r="J284" s="86">
        <f t="shared" si="91"/>
        <v>125098.19850000001</v>
      </c>
      <c r="K284" s="398"/>
      <c r="L284" s="3">
        <f t="shared" si="92"/>
        <v>125098</v>
      </c>
      <c r="M284" s="4"/>
    </row>
    <row r="285" spans="1:13" ht="15.75" customHeight="1" x14ac:dyDescent="0.25">
      <c r="A285" s="31">
        <v>167</v>
      </c>
      <c r="B285" s="329">
        <v>6646</v>
      </c>
      <c r="C285" s="96" t="s">
        <v>444</v>
      </c>
      <c r="D285" s="1"/>
      <c r="E285" s="84" t="s">
        <v>453</v>
      </c>
      <c r="F285" s="96" t="s">
        <v>44</v>
      </c>
      <c r="G285" s="33">
        <f>+'PRESUPUESTO OFICIAL AGUAS DORAD'!G285+'PRESUPUESTO OFICIAL EL DESTINO'!G285+'PRESUPUESTO LAS MARGARITAS'!G285</f>
        <v>3</v>
      </c>
      <c r="H285" s="35">
        <v>133412</v>
      </c>
      <c r="I285" s="673">
        <f t="shared" si="90"/>
        <v>521709</v>
      </c>
      <c r="J285" s="86">
        <f t="shared" si="91"/>
        <v>173902.54200000002</v>
      </c>
      <c r="K285" s="398"/>
      <c r="L285" s="3">
        <f t="shared" si="92"/>
        <v>173903</v>
      </c>
      <c r="M285" s="4"/>
    </row>
    <row r="286" spans="1:13" ht="15.75" customHeight="1" x14ac:dyDescent="0.25">
      <c r="A286" s="31">
        <v>168</v>
      </c>
      <c r="B286" s="329">
        <v>6650</v>
      </c>
      <c r="C286" s="96" t="s">
        <v>444</v>
      </c>
      <c r="D286" s="1"/>
      <c r="E286" s="84" t="s">
        <v>454</v>
      </c>
      <c r="F286" s="96" t="s">
        <v>44</v>
      </c>
      <c r="G286" s="33">
        <f>+'PRESUPUESTO OFICIAL AGUAS DORAD'!G286+'PRESUPUESTO OFICIAL EL DESTINO'!G286+'PRESUPUESTO LAS MARGARITAS'!G286</f>
        <v>3.0000180464897213</v>
      </c>
      <c r="H286" s="35">
        <v>85021</v>
      </c>
      <c r="I286" s="673">
        <f t="shared" si="90"/>
        <v>332477</v>
      </c>
      <c r="J286" s="86">
        <f t="shared" si="91"/>
        <v>110824.8735</v>
      </c>
      <c r="K286" s="398"/>
      <c r="L286" s="3">
        <f t="shared" si="92"/>
        <v>110825</v>
      </c>
      <c r="M286" s="4"/>
    </row>
    <row r="287" spans="1:13" ht="15.75" customHeight="1" x14ac:dyDescent="0.25">
      <c r="A287" s="31">
        <v>169</v>
      </c>
      <c r="B287" s="329">
        <v>6649</v>
      </c>
      <c r="C287" s="96" t="s">
        <v>444</v>
      </c>
      <c r="D287" s="1"/>
      <c r="E287" s="84" t="s">
        <v>455</v>
      </c>
      <c r="F287" s="96" t="s">
        <v>44</v>
      </c>
      <c r="G287" s="33">
        <f>+'PRESUPUESTO OFICIAL AGUAS DORAD'!G287+'PRESUPUESTO OFICIAL EL DESTINO'!G287+'PRESUPUESTO LAS MARGARITAS'!G287</f>
        <v>3</v>
      </c>
      <c r="H287" s="35">
        <v>110061</v>
      </c>
      <c r="I287" s="673">
        <f t="shared" si="90"/>
        <v>430395</v>
      </c>
      <c r="J287" s="86">
        <f t="shared" si="91"/>
        <v>143464.5135</v>
      </c>
      <c r="K287" s="398"/>
      <c r="L287" s="3">
        <f t="shared" si="92"/>
        <v>143465</v>
      </c>
      <c r="M287" s="4"/>
    </row>
    <row r="288" spans="1:13" ht="15.75" customHeight="1" x14ac:dyDescent="0.25">
      <c r="A288" s="31">
        <v>170</v>
      </c>
      <c r="B288" s="329">
        <v>6651</v>
      </c>
      <c r="C288" s="96" t="s">
        <v>444</v>
      </c>
      <c r="D288" s="1"/>
      <c r="E288" s="84" t="s">
        <v>456</v>
      </c>
      <c r="F288" s="96" t="s">
        <v>44</v>
      </c>
      <c r="G288" s="33">
        <f>+'PRESUPUESTO OFICIAL AGUAS DORAD'!G288+'PRESUPUESTO OFICIAL EL DESTINO'!G288+'PRESUPUESTO LAS MARGARITAS'!G288</f>
        <v>3</v>
      </c>
      <c r="H288" s="35">
        <v>126615</v>
      </c>
      <c r="I288" s="673">
        <f t="shared" si="90"/>
        <v>495129</v>
      </c>
      <c r="J288" s="86">
        <f t="shared" si="91"/>
        <v>165042.65250000003</v>
      </c>
      <c r="K288" s="398"/>
      <c r="L288" s="3">
        <f t="shared" si="92"/>
        <v>165043</v>
      </c>
      <c r="M288" s="4"/>
    </row>
    <row r="289" spans="1:13" ht="15.75" customHeight="1" x14ac:dyDescent="0.25">
      <c r="A289" s="31">
        <v>171</v>
      </c>
      <c r="B289" s="329">
        <v>6652</v>
      </c>
      <c r="C289" s="96" t="s">
        <v>444</v>
      </c>
      <c r="D289" s="1"/>
      <c r="E289" s="84" t="s">
        <v>457</v>
      </c>
      <c r="F289" s="96" t="s">
        <v>44</v>
      </c>
      <c r="G289" s="33">
        <f>+'PRESUPUESTO OFICIAL AGUAS DORAD'!G289+'PRESUPUESTO OFICIAL EL DESTINO'!G289+'PRESUPUESTO LAS MARGARITAS'!G289</f>
        <v>3</v>
      </c>
      <c r="H289" s="35">
        <v>167099</v>
      </c>
      <c r="I289" s="673">
        <f t="shared" si="90"/>
        <v>653442</v>
      </c>
      <c r="J289" s="86">
        <f t="shared" si="91"/>
        <v>217813.54650000003</v>
      </c>
      <c r="K289" s="398"/>
      <c r="L289" s="3">
        <f t="shared" si="92"/>
        <v>217814</v>
      </c>
      <c r="M289" s="4"/>
    </row>
    <row r="290" spans="1:13" ht="15.75" customHeight="1" x14ac:dyDescent="0.25">
      <c r="A290" s="31">
        <v>172</v>
      </c>
      <c r="B290" s="329">
        <v>6653</v>
      </c>
      <c r="C290" s="96" t="s">
        <v>444</v>
      </c>
      <c r="D290" s="1"/>
      <c r="E290" s="84" t="s">
        <v>458</v>
      </c>
      <c r="F290" s="96" t="s">
        <v>44</v>
      </c>
      <c r="G290" s="33">
        <f>+'PRESUPUESTO OFICIAL AGUAS DORAD'!G290+'PRESUPUESTO OFICIAL EL DESTINO'!G290+'PRESUPUESTO LAS MARGARITAS'!G290</f>
        <v>4</v>
      </c>
      <c r="H290" s="35">
        <v>313678</v>
      </c>
      <c r="I290" s="673">
        <f t="shared" si="90"/>
        <v>1635516</v>
      </c>
      <c r="J290" s="86">
        <f t="shared" si="91"/>
        <v>408879.27300000004</v>
      </c>
      <c r="K290" s="398"/>
      <c r="L290" s="3">
        <f t="shared" si="92"/>
        <v>408879</v>
      </c>
      <c r="M290" s="4"/>
    </row>
    <row r="291" spans="1:13" ht="15.75" customHeight="1" x14ac:dyDescent="0.25">
      <c r="A291" s="31">
        <v>173</v>
      </c>
      <c r="B291" s="329">
        <v>8174</v>
      </c>
      <c r="C291" s="96" t="s">
        <v>444</v>
      </c>
      <c r="D291" s="1"/>
      <c r="E291" s="84" t="s">
        <v>459</v>
      </c>
      <c r="F291" s="96" t="s">
        <v>44</v>
      </c>
      <c r="G291" s="33">
        <f>+'PRESUPUESTO OFICIAL AGUAS DORAD'!G291+'PRESUPUESTO OFICIAL EL DESTINO'!G291+'PRESUPUESTO LAS MARGARITAS'!G291</f>
        <v>7</v>
      </c>
      <c r="H291" s="35">
        <v>14068</v>
      </c>
      <c r="I291" s="673">
        <f t="shared" si="90"/>
        <v>128366</v>
      </c>
      <c r="J291" s="86">
        <f t="shared" si="91"/>
        <v>18337.638000000003</v>
      </c>
      <c r="K291" s="398"/>
      <c r="L291" s="3">
        <f t="shared" si="92"/>
        <v>18338</v>
      </c>
      <c r="M291" s="4"/>
    </row>
    <row r="292" spans="1:13" ht="15.75" customHeight="1" x14ac:dyDescent="0.25">
      <c r="A292" s="31">
        <v>174</v>
      </c>
      <c r="B292" s="329">
        <v>8175</v>
      </c>
      <c r="C292" s="96" t="s">
        <v>444</v>
      </c>
      <c r="D292" s="1"/>
      <c r="E292" s="84" t="s">
        <v>460</v>
      </c>
      <c r="F292" s="96" t="s">
        <v>44</v>
      </c>
      <c r="G292" s="33">
        <f>+'PRESUPUESTO OFICIAL AGUAS DORAD'!G292+'PRESUPUESTO OFICIAL EL DESTINO'!G292+'PRESUPUESTO LAS MARGARITAS'!G292</f>
        <v>7</v>
      </c>
      <c r="H292" s="35">
        <v>10702</v>
      </c>
      <c r="I292" s="673">
        <f t="shared" si="90"/>
        <v>97650</v>
      </c>
      <c r="J292" s="86">
        <f t="shared" si="91"/>
        <v>13950.057000000001</v>
      </c>
      <c r="K292" s="398"/>
      <c r="L292" s="3">
        <f t="shared" si="92"/>
        <v>13950</v>
      </c>
      <c r="M292" s="4"/>
    </row>
    <row r="293" spans="1:13" ht="15.75" customHeight="1" x14ac:dyDescent="0.25">
      <c r="A293" s="31">
        <v>175</v>
      </c>
      <c r="B293" s="329">
        <v>8088</v>
      </c>
      <c r="C293" s="96" t="s">
        <v>444</v>
      </c>
      <c r="D293" s="1"/>
      <c r="E293" s="84" t="s">
        <v>461</v>
      </c>
      <c r="F293" s="96" t="s">
        <v>44</v>
      </c>
      <c r="G293" s="33">
        <f>+'PRESUPUESTO OFICIAL AGUAS DORAD'!G293+'PRESUPUESTO OFICIAL EL DESTINO'!G293+'PRESUPUESTO LAS MARGARITAS'!G293</f>
        <v>12</v>
      </c>
      <c r="H293" s="35">
        <v>4125</v>
      </c>
      <c r="I293" s="673">
        <f t="shared" si="90"/>
        <v>64524</v>
      </c>
      <c r="J293" s="86">
        <f t="shared" si="91"/>
        <v>5376.9375</v>
      </c>
      <c r="K293" s="398"/>
      <c r="L293" s="3">
        <f t="shared" si="92"/>
        <v>5377</v>
      </c>
      <c r="M293" s="4"/>
    </row>
    <row r="294" spans="1:13" ht="15.75" customHeight="1" x14ac:dyDescent="0.25">
      <c r="A294" s="93" t="s">
        <v>33</v>
      </c>
      <c r="B294" s="54"/>
      <c r="C294" s="55"/>
      <c r="D294" s="55"/>
      <c r="E294" s="88"/>
      <c r="F294" s="54"/>
      <c r="G294" s="55"/>
      <c r="H294" s="57"/>
      <c r="I294" s="687">
        <f>SUM(I277:I293)</f>
        <v>12627413</v>
      </c>
      <c r="J294" s="4"/>
      <c r="K294" s="398"/>
      <c r="L294" s="3"/>
      <c r="M294" s="4"/>
    </row>
    <row r="295" spans="1:13" ht="15.75" customHeight="1" x14ac:dyDescent="0.25">
      <c r="A295" s="97"/>
      <c r="B295" s="97">
        <v>11</v>
      </c>
      <c r="C295" s="65"/>
      <c r="D295" s="65"/>
      <c r="E295" s="362" t="s">
        <v>554</v>
      </c>
      <c r="F295" s="65"/>
      <c r="G295" s="65"/>
      <c r="H295" s="68"/>
      <c r="I295" s="682"/>
      <c r="J295" s="92"/>
      <c r="K295" s="398"/>
      <c r="L295" s="3"/>
      <c r="M295" s="4"/>
    </row>
    <row r="296" spans="1:13" ht="15.75" customHeight="1" x14ac:dyDescent="0.25">
      <c r="A296" s="33">
        <v>176</v>
      </c>
      <c r="B296" s="96">
        <v>11.1</v>
      </c>
      <c r="C296" s="33" t="s">
        <v>156</v>
      </c>
      <c r="D296" s="1"/>
      <c r="E296" s="341" t="s">
        <v>556</v>
      </c>
      <c r="F296" s="364" t="s">
        <v>44</v>
      </c>
      <c r="G296" s="49">
        <f>+'PRESUPUESTO OFICIAL AGUAS DORAD'!G296+'PRESUPUESTO OFICIAL EL DESTINO'!G296+'PRESUPUESTO LAS MARGARITAS'!G296</f>
        <v>6</v>
      </c>
      <c r="H296" s="35">
        <f>+'[2]APU 1 PANEL S 300W '!$H$36</f>
        <v>344556</v>
      </c>
      <c r="I296" s="673">
        <f t="shared" ref="I296" si="93">+ROUND((L296*G296),0)</f>
        <v>2694774</v>
      </c>
      <c r="J296" s="86">
        <f>+H296*$J$9</f>
        <v>449128.74600000004</v>
      </c>
      <c r="K296" s="398"/>
      <c r="L296" s="3">
        <f t="shared" si="92"/>
        <v>449129</v>
      </c>
      <c r="M296" s="4"/>
    </row>
    <row r="297" spans="1:13" ht="15.75" customHeight="1" x14ac:dyDescent="0.25">
      <c r="A297" s="54"/>
      <c r="B297" s="54"/>
      <c r="C297" s="100"/>
      <c r="D297" s="55"/>
      <c r="E297" s="340"/>
      <c r="F297" s="54"/>
      <c r="G297" s="55"/>
      <c r="H297" s="334"/>
      <c r="I297" s="690">
        <f>SUM(I296:I296)</f>
        <v>2694774</v>
      </c>
      <c r="J297" s="86"/>
      <c r="K297" s="398"/>
      <c r="L297" s="3"/>
      <c r="M297" s="4"/>
    </row>
    <row r="298" spans="1:13" ht="15.75" customHeight="1" x14ac:dyDescent="0.25">
      <c r="A298" s="97"/>
      <c r="B298" s="97">
        <v>12</v>
      </c>
      <c r="C298" s="65"/>
      <c r="D298" s="65"/>
      <c r="E298" s="339" t="s">
        <v>462</v>
      </c>
      <c r="F298" s="65"/>
      <c r="G298" s="65"/>
      <c r="H298" s="68"/>
      <c r="I298" s="682"/>
      <c r="J298" s="92"/>
      <c r="K298" s="398"/>
      <c r="L298" s="3"/>
      <c r="M298" s="4"/>
    </row>
    <row r="299" spans="1:13" ht="15.75" customHeight="1" x14ac:dyDescent="0.25">
      <c r="A299" s="33">
        <v>176</v>
      </c>
      <c r="B299" s="32">
        <v>12.1</v>
      </c>
      <c r="C299" s="33" t="s">
        <v>156</v>
      </c>
      <c r="D299" s="1"/>
      <c r="E299" s="363" t="s">
        <v>555</v>
      </c>
      <c r="F299" s="336" t="s">
        <v>23</v>
      </c>
      <c r="G299" s="49">
        <f>+'PRESUPUESTO OFICIAL AGUAS DORAD'!G299+'PRESUPUESTO OFICIAL EL DESTINO'!G299+'PRESUPUESTO LAS MARGARITAS'!G299</f>
        <v>1330</v>
      </c>
      <c r="H299" s="35">
        <f>+'[3]APU PE 1'!$H$36</f>
        <v>6470</v>
      </c>
      <c r="I299" s="673">
        <f t="shared" ref="I299:I302" si="94">+ROUND((L299*G299),0)</f>
        <v>11217220</v>
      </c>
      <c r="J299" s="86">
        <f>+H299*$J$9</f>
        <v>8433.6450000000004</v>
      </c>
      <c r="K299" s="398"/>
      <c r="L299" s="3">
        <f t="shared" si="92"/>
        <v>8434</v>
      </c>
      <c r="M299" s="4"/>
    </row>
    <row r="300" spans="1:13" ht="15.75" customHeight="1" x14ac:dyDescent="0.25">
      <c r="A300" s="33">
        <v>177</v>
      </c>
      <c r="B300" s="32">
        <v>12.2</v>
      </c>
      <c r="C300" s="33" t="s">
        <v>156</v>
      </c>
      <c r="D300" s="1"/>
      <c r="E300" s="341" t="s">
        <v>464</v>
      </c>
      <c r="F300" s="337" t="s">
        <v>23</v>
      </c>
      <c r="G300" s="49">
        <f>+'PRESUPUESTO OFICIAL AGUAS DORAD'!G300+'PRESUPUESTO OFICIAL EL DESTINO'!G300+'PRESUPUESTO LAS MARGARITAS'!G300</f>
        <v>320</v>
      </c>
      <c r="H300" s="35">
        <f>+'[3]APU PE 2'!$H$36</f>
        <v>8692</v>
      </c>
      <c r="I300" s="673">
        <f t="shared" si="94"/>
        <v>3625600</v>
      </c>
      <c r="J300" s="86">
        <f t="shared" ref="J300:J303" si="95">+H300*$J$9</f>
        <v>11330.022000000001</v>
      </c>
      <c r="K300" s="398"/>
      <c r="L300" s="3">
        <f t="shared" si="92"/>
        <v>11330</v>
      </c>
      <c r="M300" s="4"/>
    </row>
    <row r="301" spans="1:13" ht="15.75" customHeight="1" x14ac:dyDescent="0.25">
      <c r="A301" s="33">
        <v>178</v>
      </c>
      <c r="B301" s="32">
        <v>12.3</v>
      </c>
      <c r="C301" s="33" t="s">
        <v>156</v>
      </c>
      <c r="D301" s="4"/>
      <c r="E301" s="341" t="s">
        <v>465</v>
      </c>
      <c r="F301" s="337" t="s">
        <v>23</v>
      </c>
      <c r="G301" s="49">
        <f>+'PRESUPUESTO OFICIAL AGUAS DORAD'!G301+'PRESUPUESTO OFICIAL EL DESTINO'!G301+'PRESUPUESTO LAS MARGARITAS'!G301</f>
        <v>2450</v>
      </c>
      <c r="H301" s="98">
        <f>+'[3]APU PE 3'!$H$36</f>
        <v>20715</v>
      </c>
      <c r="I301" s="673">
        <f t="shared" si="94"/>
        <v>66154900</v>
      </c>
      <c r="J301" s="86">
        <f>+H301*$J$9</f>
        <v>27002.002500000002</v>
      </c>
      <c r="K301" s="398"/>
      <c r="L301" s="3">
        <f t="shared" si="92"/>
        <v>27002</v>
      </c>
      <c r="M301" s="4"/>
    </row>
    <row r="302" spans="1:13" ht="15.75" customHeight="1" x14ac:dyDescent="0.25">
      <c r="A302" s="33">
        <v>179</v>
      </c>
      <c r="B302" s="32">
        <v>12.4</v>
      </c>
      <c r="C302" s="33" t="s">
        <v>156</v>
      </c>
      <c r="D302" s="1"/>
      <c r="E302" s="341" t="s">
        <v>466</v>
      </c>
      <c r="F302" s="338" t="s">
        <v>23</v>
      </c>
      <c r="G302" s="49">
        <f>+'PRESUPUESTO OFICIAL AGUAS DORAD'!G302+'PRESUPUESTO OFICIAL EL DESTINO'!G302+'PRESUPUESTO LAS MARGARITAS'!G302</f>
        <v>350</v>
      </c>
      <c r="H302" s="35">
        <f>+'[3]APU PE 4'!$H$36</f>
        <v>33393</v>
      </c>
      <c r="I302" s="673">
        <f t="shared" si="94"/>
        <v>15234800</v>
      </c>
      <c r="J302" s="86">
        <f t="shared" si="95"/>
        <v>43527.775500000003</v>
      </c>
      <c r="K302" s="398"/>
      <c r="L302" s="3">
        <f t="shared" si="92"/>
        <v>43528</v>
      </c>
      <c r="M302" s="4"/>
    </row>
    <row r="303" spans="1:13" ht="15.75" customHeight="1" x14ac:dyDescent="0.25">
      <c r="A303" s="54"/>
      <c r="B303" s="54"/>
      <c r="C303" s="100"/>
      <c r="D303" s="55"/>
      <c r="E303" s="340"/>
      <c r="F303" s="54"/>
      <c r="G303" s="55"/>
      <c r="H303" s="334"/>
      <c r="I303" s="690">
        <f>SUM(I299:I302)</f>
        <v>96232520</v>
      </c>
      <c r="J303" s="86">
        <f t="shared" si="95"/>
        <v>0</v>
      </c>
      <c r="K303" s="398"/>
      <c r="L303" s="3"/>
      <c r="M303" s="4"/>
    </row>
    <row r="304" spans="1:13" ht="15.75" customHeight="1" x14ac:dyDescent="0.25">
      <c r="A304" s="97"/>
      <c r="B304" s="97">
        <v>13</v>
      </c>
      <c r="C304" s="65"/>
      <c r="D304" s="402"/>
      <c r="E304" s="339" t="s">
        <v>467</v>
      </c>
      <c r="F304" s="65"/>
      <c r="G304" s="65"/>
      <c r="H304" s="68"/>
      <c r="I304" s="691"/>
      <c r="J304" s="92"/>
      <c r="K304" s="398"/>
      <c r="L304" s="3"/>
      <c r="M304" s="4"/>
    </row>
    <row r="305" spans="1:13" ht="15.75" customHeight="1" x14ac:dyDescent="0.25">
      <c r="A305" s="33">
        <v>252</v>
      </c>
      <c r="B305" s="32">
        <v>13.1</v>
      </c>
      <c r="C305" s="516" t="s">
        <v>156</v>
      </c>
      <c r="D305" s="404"/>
      <c r="E305" s="341" t="s">
        <v>562</v>
      </c>
      <c r="F305" s="336" t="s">
        <v>23</v>
      </c>
      <c r="G305" s="49">
        <f>+'PRESUPUESTO OFICIAL AGUAS DORAD'!G305+'PRESUPUESTO OFICIAL EL DESTINO'!G305+'PRESUPUESTO LAS MARGARITAS'!G305</f>
        <v>31</v>
      </c>
      <c r="H305" s="384">
        <f>+'[4]PERFORACION H.2"SR '!$O$56</f>
        <v>867717.88767848106</v>
      </c>
      <c r="I305" s="673">
        <f t="shared" ref="I305:I312" si="96">+ROUND((L305*G305),0)</f>
        <v>35063170</v>
      </c>
      <c r="J305" s="86">
        <f t="shared" ref="J305:J308" si="97">+H305*$J$9</f>
        <v>1131070.2665889002</v>
      </c>
      <c r="K305" s="398"/>
      <c r="L305" s="3">
        <f t="shared" si="92"/>
        <v>1131070</v>
      </c>
      <c r="M305" s="4"/>
    </row>
    <row r="306" spans="1:13" ht="15.75" customHeight="1" x14ac:dyDescent="0.25">
      <c r="A306" s="33">
        <v>253</v>
      </c>
      <c r="B306" s="32">
        <v>13.2</v>
      </c>
      <c r="C306" s="516" t="s">
        <v>156</v>
      </c>
      <c r="D306" s="404"/>
      <c r="E306" s="506" t="s">
        <v>563</v>
      </c>
      <c r="F306" s="337" t="s">
        <v>23</v>
      </c>
      <c r="G306" s="49">
        <f>+'PRESUPUESTO OFICIAL AGUAS DORAD'!G306+'PRESUPUESTO OFICIAL EL DESTINO'!G306+'PRESUPUESTO LAS MARGARITAS'!G306</f>
        <v>3</v>
      </c>
      <c r="H306" s="384">
        <f>+'[4]PERFORACION H.3"SR'!$O$56</f>
        <v>1017717.8876784811</v>
      </c>
      <c r="I306" s="673">
        <f t="shared" si="96"/>
        <v>3979785</v>
      </c>
      <c r="J306" s="86">
        <f t="shared" si="97"/>
        <v>1326595.2665889002</v>
      </c>
      <c r="K306" s="398"/>
      <c r="L306" s="3">
        <f t="shared" si="92"/>
        <v>1326595</v>
      </c>
      <c r="M306" s="4"/>
    </row>
    <row r="307" spans="1:13" ht="15.75" customHeight="1" x14ac:dyDescent="0.25">
      <c r="A307" s="33">
        <v>254</v>
      </c>
      <c r="B307" s="32">
        <v>13.3</v>
      </c>
      <c r="C307" s="516" t="s">
        <v>156</v>
      </c>
      <c r="D307" s="405"/>
      <c r="E307" s="341" t="s">
        <v>564</v>
      </c>
      <c r="F307" s="338" t="s">
        <v>23</v>
      </c>
      <c r="G307" s="49">
        <f>+'PRESUPUESTO OFICIAL AGUAS DORAD'!G307+'PRESUPUESTO OFICIAL EL DESTINO'!G307+'PRESUPUESTO LAS MARGARITAS'!G307</f>
        <v>3</v>
      </c>
      <c r="H307" s="384">
        <f>+'[4]PERFORACION H.4"SR '!$O$56</f>
        <v>1217717.8876784812</v>
      </c>
      <c r="I307" s="673">
        <f t="shared" si="96"/>
        <v>4761885</v>
      </c>
      <c r="J307" s="86">
        <f t="shared" si="97"/>
        <v>1587295.2665889002</v>
      </c>
      <c r="K307" s="398"/>
      <c r="L307" s="3">
        <f t="shared" si="92"/>
        <v>1587295</v>
      </c>
      <c r="M307" s="4"/>
    </row>
    <row r="308" spans="1:13" ht="15.75" customHeight="1" x14ac:dyDescent="0.25">
      <c r="A308" s="33">
        <v>255</v>
      </c>
      <c r="B308" s="32">
        <v>13.4</v>
      </c>
      <c r="C308" s="516" t="s">
        <v>156</v>
      </c>
      <c r="D308" s="404"/>
      <c r="E308" s="341" t="s">
        <v>565</v>
      </c>
      <c r="F308" s="522" t="s">
        <v>23</v>
      </c>
      <c r="G308" s="520">
        <f>+'PRESUPUESTO OFICIAL AGUAS DORAD'!G308+'PRESUPUESTO OFICIAL EL DESTINO'!G308+'PRESUPUESTO LAS MARGARITAS'!G308</f>
        <v>3</v>
      </c>
      <c r="H308" s="384">
        <f>+'[4]PERFORACION H.6"SR '!$O$56</f>
        <v>1667717.8876784812</v>
      </c>
      <c r="I308" s="673">
        <f t="shared" si="96"/>
        <v>6521610</v>
      </c>
      <c r="J308" s="86">
        <f t="shared" si="97"/>
        <v>2173870.2665889002</v>
      </c>
      <c r="K308" s="398"/>
      <c r="L308" s="3">
        <f t="shared" si="92"/>
        <v>2173870</v>
      </c>
      <c r="M308" s="4"/>
    </row>
    <row r="309" spans="1:13" ht="15.75" customHeight="1" x14ac:dyDescent="0.25">
      <c r="A309" s="33">
        <v>252</v>
      </c>
      <c r="B309" s="32">
        <v>13.5</v>
      </c>
      <c r="C309" s="516" t="s">
        <v>156</v>
      </c>
      <c r="D309" s="404"/>
      <c r="E309" s="341" t="s">
        <v>566</v>
      </c>
      <c r="F309" s="522" t="s">
        <v>23</v>
      </c>
      <c r="G309" s="520">
        <f>+'PRESUPUESTO OFICIAL AGUAS DORAD'!G309+'PRESUPUESTO OFICIAL EL DESTINO'!G309+'PRESUPUESTO LAS MARGARITAS'!G309</f>
        <v>69</v>
      </c>
      <c r="H309" s="384">
        <f>+'[4]PERFORACION H.2"CR  '!$O$56</f>
        <v>1617717.8876784812</v>
      </c>
      <c r="I309" s="673">
        <f t="shared" si="96"/>
        <v>145499955</v>
      </c>
      <c r="J309" s="86">
        <f t="shared" ref="J309:J312" si="98">+H309*$J$9</f>
        <v>2108695.2665889002</v>
      </c>
      <c r="K309" s="398"/>
      <c r="L309" s="3">
        <f t="shared" si="92"/>
        <v>2108695</v>
      </c>
      <c r="M309" s="4"/>
    </row>
    <row r="310" spans="1:13" ht="15.75" customHeight="1" x14ac:dyDescent="0.25">
      <c r="A310" s="33">
        <v>253</v>
      </c>
      <c r="B310" s="32">
        <v>13.6</v>
      </c>
      <c r="C310" s="516" t="s">
        <v>156</v>
      </c>
      <c r="D310" s="404"/>
      <c r="E310" s="341" t="s">
        <v>567</v>
      </c>
      <c r="F310" s="522" t="s">
        <v>23</v>
      </c>
      <c r="G310" s="520">
        <f>+'PRESUPUESTO OFICIAL AGUAS DORAD'!G310+'PRESUPUESTO OFICIAL EL DESTINO'!G310+'PRESUPUESTO LAS MARGARITAS'!G310</f>
        <v>37</v>
      </c>
      <c r="H310" s="384">
        <f>+'[4]PERFORACION H.3"CR '!$O$56</f>
        <v>2267717.8876784812</v>
      </c>
      <c r="I310" s="673">
        <f t="shared" si="96"/>
        <v>109370890</v>
      </c>
      <c r="J310" s="86">
        <f t="shared" si="98"/>
        <v>2955970.2665889002</v>
      </c>
      <c r="K310" s="398"/>
      <c r="L310" s="3">
        <f t="shared" si="92"/>
        <v>2955970</v>
      </c>
      <c r="M310" s="4"/>
    </row>
    <row r="311" spans="1:13" ht="15.75" customHeight="1" x14ac:dyDescent="0.25">
      <c r="A311" s="33">
        <v>254</v>
      </c>
      <c r="B311" s="32">
        <v>13.7</v>
      </c>
      <c r="C311" s="516" t="s">
        <v>156</v>
      </c>
      <c r="D311" s="405"/>
      <c r="E311" s="341" t="s">
        <v>568</v>
      </c>
      <c r="F311" s="522" t="s">
        <v>23</v>
      </c>
      <c r="G311" s="520">
        <f>+'PRESUPUESTO OFICIAL AGUAS DORAD'!G311+'PRESUPUESTO OFICIAL EL DESTINO'!G311+'PRESUPUESTO LAS MARGARITAS'!G311</f>
        <v>3</v>
      </c>
      <c r="H311" s="384">
        <f>+'[4]PERFORACION H.4"CR'!$O$56</f>
        <v>2857717.8876784807</v>
      </c>
      <c r="I311" s="673">
        <f t="shared" si="96"/>
        <v>11175105</v>
      </c>
      <c r="J311" s="86">
        <f t="shared" si="98"/>
        <v>3725035.2665888998</v>
      </c>
      <c r="K311" s="398"/>
      <c r="L311" s="3">
        <f t="shared" si="92"/>
        <v>3725035</v>
      </c>
      <c r="M311" s="4"/>
    </row>
    <row r="312" spans="1:13" ht="15.75" customHeight="1" x14ac:dyDescent="0.25">
      <c r="A312" s="33">
        <v>255</v>
      </c>
      <c r="B312" s="32">
        <v>13.8</v>
      </c>
      <c r="C312" s="516" t="s">
        <v>156</v>
      </c>
      <c r="D312" s="404"/>
      <c r="E312" s="341" t="s">
        <v>569</v>
      </c>
      <c r="F312" s="521" t="s">
        <v>23</v>
      </c>
      <c r="G312" s="49">
        <f>+'PRESUPUESTO OFICIAL AGUAS DORAD'!G312+'PRESUPUESTO OFICIAL EL DESTINO'!G312+'PRESUPUESTO LAS MARGARITAS'!G312</f>
        <v>3</v>
      </c>
      <c r="H312" s="384">
        <f>+'[4]PERFORACION H.6"CR '!$O$56</f>
        <v>4037717.8876784807</v>
      </c>
      <c r="I312" s="673">
        <f t="shared" si="96"/>
        <v>15789495</v>
      </c>
      <c r="J312" s="86">
        <f t="shared" si="98"/>
        <v>5263165.2665889002</v>
      </c>
      <c r="K312" s="398"/>
      <c r="L312" s="3">
        <f t="shared" si="92"/>
        <v>5263165</v>
      </c>
      <c r="M312" s="4"/>
    </row>
    <row r="313" spans="1:13" ht="15.75" customHeight="1" thickBot="1" x14ac:dyDescent="0.3">
      <c r="A313" s="101"/>
      <c r="B313" s="101"/>
      <c r="C313" s="102"/>
      <c r="D313" s="517"/>
      <c r="E313" s="383"/>
      <c r="F313" s="101"/>
      <c r="G313" s="103"/>
      <c r="H313" s="105"/>
      <c r="I313" s="692">
        <f>SUM(I305:I312)</f>
        <v>332161895</v>
      </c>
      <c r="J313" s="98"/>
      <c r="K313" s="4"/>
      <c r="L313" s="3"/>
      <c r="M313" s="4"/>
    </row>
    <row r="314" spans="1:13" ht="15.75" customHeight="1" x14ac:dyDescent="0.25">
      <c r="A314" s="97"/>
      <c r="B314" s="97">
        <v>16</v>
      </c>
      <c r="C314" s="65"/>
      <c r="D314" s="65"/>
      <c r="E314" s="339" t="s">
        <v>558</v>
      </c>
      <c r="F314" s="65"/>
      <c r="G314" s="65"/>
      <c r="H314" s="68"/>
      <c r="I314" s="691"/>
      <c r="J314" s="92"/>
      <c r="K314" s="4"/>
      <c r="L314" s="4"/>
      <c r="M314" s="4"/>
    </row>
    <row r="315" spans="1:13" ht="15.75" customHeight="1" x14ac:dyDescent="0.25">
      <c r="A315" s="33">
        <v>230</v>
      </c>
      <c r="B315" s="96">
        <v>13.1</v>
      </c>
      <c r="C315" s="33" t="s">
        <v>156</v>
      </c>
      <c r="D315" s="436"/>
      <c r="E315" s="506" t="s">
        <v>559</v>
      </c>
      <c r="F315" s="511" t="s">
        <v>26</v>
      </c>
      <c r="G315" s="439">
        <f>+'PRESUPUESTO OFICIAL AGUAS DORAD'!G315+'PRESUPUESTO OFICIAL EL DESTINO'!G315+'PRESUPUESTO LAS MARGARITAS'!G315</f>
        <v>190</v>
      </c>
      <c r="H315" s="409">
        <f>+'[5]APU IMPERM TK'!$H$37</f>
        <v>67036</v>
      </c>
      <c r="I315" s="673">
        <f t="shared" ref="I315" si="99">+ROUND((L315*G315),0)</f>
        <v>16602390</v>
      </c>
      <c r="J315" s="86">
        <f>+H315*$J$9</f>
        <v>87381.426000000007</v>
      </c>
      <c r="K315" s="4"/>
      <c r="L315" s="3">
        <f t="shared" ref="L315" si="100">++ROUND(J315,0)</f>
        <v>87381</v>
      </c>
      <c r="M315" s="4"/>
    </row>
    <row r="316" spans="1:13" ht="15.75" customHeight="1" thickBot="1" x14ac:dyDescent="0.3">
      <c r="A316" s="101"/>
      <c r="B316" s="101"/>
      <c r="C316" s="102"/>
      <c r="D316" s="103"/>
      <c r="E316" s="104"/>
      <c r="F316" s="101"/>
      <c r="G316" s="103"/>
      <c r="H316" s="105"/>
      <c r="I316" s="693">
        <f>SUM(I315:I315)</f>
        <v>16602390</v>
      </c>
      <c r="J316" s="98"/>
      <c r="K316" s="4"/>
      <c r="L316" s="4"/>
      <c r="M316" s="4"/>
    </row>
    <row r="317" spans="1:13" ht="15.75" customHeight="1" thickBot="1" x14ac:dyDescent="0.3">
      <c r="A317" s="1"/>
      <c r="B317" s="1"/>
      <c r="C317" s="2"/>
      <c r="D317" s="1"/>
      <c r="E317" s="106" t="s">
        <v>468</v>
      </c>
      <c r="F317" s="107"/>
      <c r="G317" s="108"/>
      <c r="H317" s="109"/>
      <c r="I317" s="694">
        <f>INT(I316+I313+I303+I297+I294+I275+I269+I264+I259+I247+I241+I235+I229+I222+I218+I213+I208+I203+I200+I196+I190+I185+I180+I173+I170+I165+I158+I155+I151+I147+I143+I139+I130+I122+I116+I106+I99+I93+I89+I78+I71+I67+I63+I59+I50+I44+I41+I38+I33+I27+I17)</f>
        <v>1354940600</v>
      </c>
      <c r="J317" s="677">
        <f>+J3-L318-L319-L320</f>
        <v>1354940600</v>
      </c>
      <c r="K317" s="398">
        <f>+I317-J317</f>
        <v>0</v>
      </c>
      <c r="L317" s="110"/>
      <c r="M317" s="4"/>
    </row>
    <row r="318" spans="1:13" ht="15.75" customHeight="1" thickBot="1" x14ac:dyDescent="0.3">
      <c r="A318" s="1"/>
      <c r="B318" s="1"/>
      <c r="C318" s="2"/>
      <c r="D318" s="1"/>
      <c r="E318" s="111" t="s">
        <v>469</v>
      </c>
      <c r="F318" s="112"/>
      <c r="G318" s="112"/>
      <c r="H318" s="515">
        <v>8.0000000000000002E-3</v>
      </c>
      <c r="I318" s="695">
        <v>11072038</v>
      </c>
      <c r="J318" s="3">
        <f>+J$3*H318</f>
        <v>11072037.6</v>
      </c>
      <c r="K318" s="398"/>
      <c r="L318" s="3">
        <f t="shared" ref="L318:L320" si="101">++ROUND(J318,0)</f>
        <v>11072038</v>
      </c>
      <c r="M318" s="4"/>
    </row>
    <row r="319" spans="1:13" ht="15.75" customHeight="1" thickBot="1" x14ac:dyDescent="0.3">
      <c r="A319" s="1"/>
      <c r="B319" s="1"/>
      <c r="C319" s="2"/>
      <c r="D319" s="1"/>
      <c r="E319" s="111" t="s">
        <v>470</v>
      </c>
      <c r="F319" s="112"/>
      <c r="G319" s="115"/>
      <c r="H319" s="515">
        <v>8.0000000000000002E-3</v>
      </c>
      <c r="I319" s="695">
        <v>11072038</v>
      </c>
      <c r="J319" s="3">
        <f t="shared" ref="J319:J320" si="102">+J$3*H319</f>
        <v>11072037.6</v>
      </c>
      <c r="K319" s="398"/>
      <c r="L319" s="3">
        <f t="shared" si="101"/>
        <v>11072038</v>
      </c>
      <c r="M319" s="4"/>
    </row>
    <row r="320" spans="1:13" ht="15.75" customHeight="1" thickBot="1" x14ac:dyDescent="0.3">
      <c r="A320" s="1"/>
      <c r="B320" s="1"/>
      <c r="C320" s="2"/>
      <c r="D320" s="1"/>
      <c r="E320" s="111" t="s">
        <v>471</v>
      </c>
      <c r="F320" s="112"/>
      <c r="G320" s="1"/>
      <c r="H320" s="515">
        <v>5.0000000000000001E-3</v>
      </c>
      <c r="I320" s="695">
        <v>6920024</v>
      </c>
      <c r="J320" s="3">
        <f t="shared" si="102"/>
        <v>6920023.5</v>
      </c>
      <c r="K320" s="398"/>
      <c r="L320" s="3">
        <f t="shared" si="101"/>
        <v>6920024</v>
      </c>
      <c r="M320" s="4"/>
    </row>
    <row r="321" spans="1:14" ht="15.75" customHeight="1" thickBot="1" x14ac:dyDescent="0.3">
      <c r="A321" s="1"/>
      <c r="B321" s="1"/>
      <c r="C321" s="2"/>
      <c r="D321" s="1"/>
      <c r="E321" s="117" t="s">
        <v>472</v>
      </c>
      <c r="F321" s="118"/>
      <c r="G321" s="119"/>
      <c r="H321" s="120"/>
      <c r="I321" s="696">
        <f>SUM(I317:I320)</f>
        <v>1384004700</v>
      </c>
      <c r="J321" s="678">
        <f>+J317+J318+J319+J320</f>
        <v>1384004698.6999998</v>
      </c>
      <c r="K321" s="398"/>
      <c r="L321" s="86">
        <f>+L320+L319+L318+J317</f>
        <v>1384004700</v>
      </c>
      <c r="M321" s="4"/>
      <c r="N321" s="543">
        <f>+J320+J319+J318+J317</f>
        <v>1384004698.7</v>
      </c>
    </row>
    <row r="322" spans="1:14" ht="15.75" customHeight="1" x14ac:dyDescent="0.25">
      <c r="A322" s="1"/>
      <c r="B322" s="1"/>
      <c r="C322" s="2"/>
      <c r="D322" s="1"/>
      <c r="E322" s="1"/>
      <c r="F322" s="1"/>
      <c r="G322" s="1"/>
      <c r="H322" s="1"/>
      <c r="I322" s="1"/>
      <c r="J322" s="3"/>
      <c r="K322" s="398"/>
      <c r="L322" s="86"/>
      <c r="M322" s="4"/>
    </row>
    <row r="323" spans="1:14" ht="15.75" customHeight="1" x14ac:dyDescent="0.25">
      <c r="A323" s="1"/>
      <c r="B323" s="1"/>
      <c r="C323" s="2"/>
      <c r="D323" s="1"/>
      <c r="E323" s="1"/>
      <c r="F323" s="1"/>
      <c r="G323" s="1"/>
      <c r="H323" s="1"/>
      <c r="I323" s="1"/>
      <c r="J323" s="3"/>
      <c r="K323" s="398"/>
      <c r="L323" s="4"/>
      <c r="M323" s="4"/>
    </row>
    <row r="324" spans="1:14" ht="15.75" customHeight="1" thickBot="1" x14ac:dyDescent="0.3">
      <c r="A324" s="1"/>
      <c r="B324" s="1"/>
      <c r="C324" s="2"/>
      <c r="D324" s="1"/>
      <c r="E324" s="1"/>
      <c r="F324" s="1"/>
      <c r="G324" s="1"/>
      <c r="H324" s="1"/>
      <c r="I324" s="1"/>
      <c r="J324" s="3"/>
      <c r="K324" s="398"/>
      <c r="L324" s="4"/>
      <c r="M324" s="4"/>
    </row>
    <row r="325" spans="1:14" ht="15.75" customHeight="1" x14ac:dyDescent="0.25">
      <c r="A325" s="1"/>
      <c r="B325" s="122"/>
      <c r="C325" s="123"/>
      <c r="D325" s="123"/>
      <c r="E325" s="123"/>
      <c r="F325" s="123"/>
      <c r="G325" s="123"/>
      <c r="H325" s="123"/>
      <c r="I325" s="123"/>
      <c r="J325" s="3"/>
      <c r="K325" s="398"/>
      <c r="L325" s="4"/>
      <c r="M325" s="4"/>
    </row>
    <row r="326" spans="1:14" ht="15.75" customHeight="1" x14ac:dyDescent="0.25">
      <c r="A326" s="1"/>
      <c r="B326" s="584" t="s">
        <v>473</v>
      </c>
      <c r="C326" s="585"/>
      <c r="D326" s="585"/>
      <c r="E326" s="579"/>
      <c r="F326" s="578" t="s">
        <v>474</v>
      </c>
      <c r="G326" s="585"/>
      <c r="H326" s="579"/>
      <c r="I326" s="124" t="s">
        <v>475</v>
      </c>
      <c r="J326" s="3"/>
      <c r="K326" s="398"/>
      <c r="L326" s="4"/>
      <c r="M326" s="4"/>
    </row>
    <row r="327" spans="1:14" ht="62.25" customHeight="1" x14ac:dyDescent="0.25">
      <c r="A327" s="1"/>
      <c r="B327" s="674" t="s">
        <v>476</v>
      </c>
      <c r="C327" s="585"/>
      <c r="D327" s="585"/>
      <c r="E327" s="579"/>
      <c r="F327" s="580" t="s">
        <v>477</v>
      </c>
      <c r="G327" s="579"/>
      <c r="H327" s="406" t="s">
        <v>561</v>
      </c>
      <c r="I327" s="125">
        <v>0.26350000000000001</v>
      </c>
      <c r="J327" s="3"/>
      <c r="K327" s="398"/>
      <c r="L327" s="4"/>
      <c r="M327" s="4"/>
    </row>
    <row r="328" spans="1:14" ht="15.75" customHeight="1" x14ac:dyDescent="0.25">
      <c r="A328" s="1"/>
      <c r="B328" s="584" t="s">
        <v>479</v>
      </c>
      <c r="C328" s="585"/>
      <c r="D328" s="585"/>
      <c r="E328" s="579"/>
      <c r="F328" s="586" t="s">
        <v>480</v>
      </c>
      <c r="G328" s="579"/>
      <c r="H328" s="406" t="s">
        <v>481</v>
      </c>
      <c r="I328" s="125">
        <v>0.01</v>
      </c>
      <c r="J328" s="3"/>
      <c r="K328" s="398"/>
      <c r="L328" s="4"/>
      <c r="M328" s="4"/>
    </row>
    <row r="329" spans="1:14" ht="15.75" customHeight="1" x14ac:dyDescent="0.25">
      <c r="A329" s="1"/>
      <c r="B329" s="570" t="s">
        <v>482</v>
      </c>
      <c r="C329" s="571"/>
      <c r="D329" s="571"/>
      <c r="E329" s="572"/>
      <c r="F329" s="578" t="s">
        <v>483</v>
      </c>
      <c r="G329" s="579"/>
      <c r="H329" s="406" t="s">
        <v>484</v>
      </c>
      <c r="I329" s="125">
        <v>0.03</v>
      </c>
      <c r="J329" s="3"/>
      <c r="K329" s="398"/>
      <c r="L329" s="4"/>
      <c r="M329" s="4"/>
    </row>
    <row r="330" spans="1:14" ht="15.75" customHeight="1" x14ac:dyDescent="0.25">
      <c r="A330" s="71"/>
      <c r="B330" s="573"/>
      <c r="C330" s="553"/>
      <c r="D330" s="553"/>
      <c r="E330" s="574"/>
      <c r="F330" s="580" t="s">
        <v>485</v>
      </c>
      <c r="G330" s="579"/>
      <c r="H330" s="519" t="s">
        <v>560</v>
      </c>
      <c r="I330" s="126">
        <f>SUM(I327:I329)</f>
        <v>0.30349999999999999</v>
      </c>
      <c r="J330" s="3"/>
      <c r="K330" s="398"/>
      <c r="L330" s="4"/>
      <c r="M330" s="4"/>
    </row>
    <row r="331" spans="1:14" ht="26.25" customHeight="1" x14ac:dyDescent="0.25">
      <c r="A331" s="71"/>
      <c r="B331" s="575"/>
      <c r="C331" s="576"/>
      <c r="D331" s="576"/>
      <c r="E331" s="577"/>
      <c r="F331" s="581" t="s">
        <v>487</v>
      </c>
      <c r="G331" s="571"/>
      <c r="H331" s="571"/>
      <c r="I331" s="582"/>
      <c r="J331" s="3"/>
      <c r="K331" s="398"/>
      <c r="L331" s="4"/>
      <c r="M331" s="4"/>
    </row>
    <row r="332" spans="1:14" ht="51.75" customHeight="1" thickBot="1" x14ac:dyDescent="0.3">
      <c r="A332" s="71"/>
      <c r="B332" s="127"/>
      <c r="C332" s="128"/>
      <c r="D332" s="128"/>
      <c r="E332" s="128"/>
      <c r="F332" s="583"/>
      <c r="G332" s="557"/>
      <c r="H332" s="557"/>
      <c r="I332" s="558"/>
      <c r="J332" s="3"/>
      <c r="K332" s="398"/>
      <c r="L332" s="4"/>
      <c r="M332" s="4"/>
    </row>
  </sheetData>
  <mergeCells count="22">
    <mergeCell ref="B329:E331"/>
    <mergeCell ref="F329:G329"/>
    <mergeCell ref="F330:G330"/>
    <mergeCell ref="F331:I332"/>
    <mergeCell ref="B326:E326"/>
    <mergeCell ref="F326:H326"/>
    <mergeCell ref="B327:E327"/>
    <mergeCell ref="F327:G327"/>
    <mergeCell ref="B328:E328"/>
    <mergeCell ref="F328:G328"/>
    <mergeCell ref="A2:C2"/>
    <mergeCell ref="D2:I3"/>
    <mergeCell ref="A4:I4"/>
    <mergeCell ref="A5:I5"/>
    <mergeCell ref="A8:A9"/>
    <mergeCell ref="B8:B9"/>
    <mergeCell ref="C8:D8"/>
    <mergeCell ref="E8:E9"/>
    <mergeCell ref="F8:F9"/>
    <mergeCell ref="G8:G9"/>
    <mergeCell ref="H8:H9"/>
    <mergeCell ref="I8:I9"/>
  </mergeCells>
  <pageMargins left="0.7" right="0.7" top="0.75" bottom="0.75" header="0" footer="0"/>
  <pageSetup orientation="portrait" r:id="rId1"/>
  <rowBreaks count="1" manualBreakCount="1">
    <brk id="100"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M332"/>
  <sheetViews>
    <sheetView topLeftCell="C1" zoomScale="80" zoomScaleNormal="80" workbookViewId="0">
      <pane ySplit="9" topLeftCell="A10" activePane="bottomLeft" state="frozen"/>
      <selection pane="bottomLeft" activeCell="G13" sqref="G13"/>
    </sheetView>
  </sheetViews>
  <sheetFormatPr baseColWidth="10" defaultColWidth="12.5703125" defaultRowHeight="15" customHeight="1" x14ac:dyDescent="0.25"/>
  <cols>
    <col min="1" max="1" width="10" customWidth="1"/>
    <col min="2" max="2" width="13.85546875" customWidth="1"/>
    <col min="3" max="3" width="17.7109375" bestFit="1" customWidth="1"/>
    <col min="4" max="4" width="11.85546875" customWidth="1"/>
    <col min="5" max="5" width="97.85546875" customWidth="1"/>
    <col min="6" max="7" width="10" customWidth="1"/>
    <col min="8" max="8" width="16.7109375" customWidth="1"/>
    <col min="9" max="9" width="23.140625" customWidth="1"/>
    <col min="10" max="10" width="22.5703125" customWidth="1"/>
    <col min="11" max="11" width="16.42578125" customWidth="1"/>
    <col min="12" max="13" width="10" customWidth="1"/>
  </cols>
  <sheetData>
    <row r="1" spans="1:13" ht="6.75" customHeight="1" thickBot="1" x14ac:dyDescent="0.3">
      <c r="A1" s="1"/>
      <c r="B1" s="1"/>
      <c r="C1" s="2"/>
      <c r="D1" s="1"/>
      <c r="E1" s="1"/>
      <c r="F1" s="1"/>
      <c r="G1" s="1"/>
      <c r="H1" s="1"/>
      <c r="I1" s="1"/>
      <c r="J1" s="3"/>
      <c r="K1" s="4"/>
      <c r="L1" s="4"/>
      <c r="M1" s="4"/>
    </row>
    <row r="2" spans="1:13" x14ac:dyDescent="0.25">
      <c r="A2" s="547" t="s">
        <v>0</v>
      </c>
      <c r="B2" s="548"/>
      <c r="C2" s="549"/>
      <c r="D2" s="550" t="s">
        <v>1</v>
      </c>
      <c r="E2" s="551"/>
      <c r="F2" s="551"/>
      <c r="G2" s="551"/>
      <c r="H2" s="551"/>
      <c r="I2" s="552"/>
      <c r="J2" s="3"/>
      <c r="K2" s="4"/>
      <c r="L2" s="4"/>
      <c r="M2" s="4"/>
    </row>
    <row r="3" spans="1:13" ht="49.5" customHeight="1" x14ac:dyDescent="0.25">
      <c r="A3" s="5" t="s">
        <v>2</v>
      </c>
      <c r="B3" s="6" t="s">
        <v>3</v>
      </c>
      <c r="C3" s="6">
        <v>1</v>
      </c>
      <c r="D3" s="553"/>
      <c r="E3" s="553"/>
      <c r="F3" s="553"/>
      <c r="G3" s="553"/>
      <c r="H3" s="553"/>
      <c r="I3" s="554"/>
      <c r="J3" s="4"/>
      <c r="K3" s="4"/>
      <c r="L3" s="4"/>
      <c r="M3" s="4"/>
    </row>
    <row r="4" spans="1:13" x14ac:dyDescent="0.25">
      <c r="A4" s="555" t="s">
        <v>4</v>
      </c>
      <c r="B4" s="553"/>
      <c r="C4" s="553"/>
      <c r="D4" s="553"/>
      <c r="E4" s="553"/>
      <c r="F4" s="553"/>
      <c r="G4" s="553"/>
      <c r="H4" s="553"/>
      <c r="I4" s="554"/>
      <c r="J4" s="3"/>
      <c r="K4" s="4"/>
      <c r="L4" s="4"/>
      <c r="M4" s="4"/>
    </row>
    <row r="5" spans="1:13" ht="15.75" thickBot="1" x14ac:dyDescent="0.3">
      <c r="A5" s="556" t="s">
        <v>5</v>
      </c>
      <c r="B5" s="557"/>
      <c r="C5" s="557"/>
      <c r="D5" s="557"/>
      <c r="E5" s="557"/>
      <c r="F5" s="557"/>
      <c r="G5" s="557"/>
      <c r="H5" s="557"/>
      <c r="I5" s="558"/>
      <c r="J5" s="3"/>
      <c r="K5" s="4"/>
      <c r="L5" s="4"/>
      <c r="M5" s="4"/>
    </row>
    <row r="6" spans="1:13" ht="15" customHeight="1" x14ac:dyDescent="0.25">
      <c r="A6" s="7"/>
      <c r="B6" s="8"/>
      <c r="C6" s="9"/>
      <c r="D6" s="9"/>
      <c r="E6" s="9"/>
      <c r="F6" s="9"/>
      <c r="G6" s="9"/>
      <c r="H6" s="9"/>
      <c r="I6" s="9"/>
      <c r="J6" s="3"/>
      <c r="K6" s="4"/>
      <c r="L6" s="4"/>
      <c r="M6" s="4"/>
    </row>
    <row r="7" spans="1:13" ht="15.75" thickBot="1" x14ac:dyDescent="0.3">
      <c r="A7" s="10"/>
      <c r="B7" s="11"/>
      <c r="C7" s="12"/>
      <c r="D7" s="12"/>
      <c r="E7" s="12"/>
      <c r="F7" s="12"/>
      <c r="G7" s="12"/>
      <c r="H7" s="12"/>
      <c r="I7" s="12"/>
      <c r="J7" s="3"/>
      <c r="K7" s="4"/>
      <c r="L7" s="4"/>
      <c r="M7" s="4"/>
    </row>
    <row r="8" spans="1:13" ht="15" customHeight="1" x14ac:dyDescent="0.25">
      <c r="A8" s="559" t="s">
        <v>6</v>
      </c>
      <c r="B8" s="561" t="s">
        <v>7</v>
      </c>
      <c r="C8" s="588" t="s">
        <v>8</v>
      </c>
      <c r="D8" s="564"/>
      <c r="E8" s="559" t="s">
        <v>9</v>
      </c>
      <c r="F8" s="561" t="s">
        <v>10</v>
      </c>
      <c r="G8" s="561" t="s">
        <v>11</v>
      </c>
      <c r="H8" s="567" t="s">
        <v>12</v>
      </c>
      <c r="I8" s="589" t="s">
        <v>13</v>
      </c>
      <c r="J8" s="3" t="s">
        <v>14</v>
      </c>
      <c r="K8" s="4"/>
      <c r="L8" s="4"/>
      <c r="M8" s="4"/>
    </row>
    <row r="9" spans="1:13" ht="30" x14ac:dyDescent="0.25">
      <c r="A9" s="587"/>
      <c r="B9" s="566"/>
      <c r="C9" s="13" t="s">
        <v>15</v>
      </c>
      <c r="D9" s="416" t="s">
        <v>16</v>
      </c>
      <c r="E9" s="587"/>
      <c r="F9" s="566"/>
      <c r="G9" s="566"/>
      <c r="H9" s="566"/>
      <c r="I9" s="590"/>
      <c r="J9" s="15">
        <v>1.3035000000000001</v>
      </c>
      <c r="K9" s="4"/>
      <c r="L9" s="4"/>
      <c r="M9" s="4"/>
    </row>
    <row r="10" spans="1:13" x14ac:dyDescent="0.25">
      <c r="A10" s="16"/>
      <c r="B10" s="418">
        <v>1</v>
      </c>
      <c r="C10" s="419"/>
      <c r="D10" s="402"/>
      <c r="E10" s="382" t="s">
        <v>17</v>
      </c>
      <c r="F10" s="420"/>
      <c r="G10" s="402"/>
      <c r="H10" s="421"/>
      <c r="I10" s="422"/>
      <c r="J10" s="23"/>
      <c r="K10" s="4"/>
      <c r="L10" s="4"/>
      <c r="M10" s="4"/>
    </row>
    <row r="11" spans="1:13" x14ac:dyDescent="0.25">
      <c r="A11" s="24"/>
      <c r="B11" s="424" t="s">
        <v>18</v>
      </c>
      <c r="C11" s="425"/>
      <c r="D11" s="426"/>
      <c r="E11" s="427" t="s">
        <v>19</v>
      </c>
      <c r="F11" s="428"/>
      <c r="G11" s="426"/>
      <c r="H11" s="429"/>
      <c r="I11" s="430"/>
      <c r="J11" s="23"/>
      <c r="K11" s="4"/>
      <c r="L11" s="4"/>
      <c r="M11" s="4"/>
    </row>
    <row r="12" spans="1:13" x14ac:dyDescent="0.25">
      <c r="A12" s="31">
        <v>1</v>
      </c>
      <c r="B12" s="32" t="s">
        <v>20</v>
      </c>
      <c r="C12" s="33" t="s">
        <v>21</v>
      </c>
      <c r="D12" s="33"/>
      <c r="E12" s="332" t="s">
        <v>22</v>
      </c>
      <c r="F12" s="408" t="s">
        <v>23</v>
      </c>
      <c r="G12" s="327">
        <v>126.37193000000001</v>
      </c>
      <c r="H12" s="415">
        <v>12426</v>
      </c>
      <c r="I12" s="431">
        <f>+J12*G12</f>
        <v>2046882.9244416303</v>
      </c>
      <c r="J12" s="3">
        <f>+H12*J9</f>
        <v>16197.291000000001</v>
      </c>
      <c r="K12" s="4"/>
      <c r="L12" s="4"/>
      <c r="M12" s="4"/>
    </row>
    <row r="13" spans="1:13" x14ac:dyDescent="0.25">
      <c r="A13" s="31">
        <v>2</v>
      </c>
      <c r="B13" s="32" t="s">
        <v>24</v>
      </c>
      <c r="C13" s="33" t="s">
        <v>21</v>
      </c>
      <c r="D13" s="33"/>
      <c r="E13" s="332" t="s">
        <v>25</v>
      </c>
      <c r="F13" s="408" t="s">
        <v>26</v>
      </c>
      <c r="G13" s="327">
        <v>1</v>
      </c>
      <c r="H13" s="409">
        <v>15249</v>
      </c>
      <c r="I13" s="431">
        <f t="shared" ref="I13:I16" si="0">+J13*G13</f>
        <v>19877.071500000002</v>
      </c>
      <c r="J13" s="3">
        <f>+H13*J9</f>
        <v>19877.071500000002</v>
      </c>
      <c r="K13" s="4"/>
      <c r="L13" s="4"/>
      <c r="M13" s="4"/>
    </row>
    <row r="14" spans="1:13" x14ac:dyDescent="0.25">
      <c r="A14" s="31">
        <v>2</v>
      </c>
      <c r="B14" s="32" t="s">
        <v>27</v>
      </c>
      <c r="C14" s="33" t="s">
        <v>21</v>
      </c>
      <c r="D14" s="33"/>
      <c r="E14" s="332" t="s">
        <v>28</v>
      </c>
      <c r="F14" s="408" t="s">
        <v>23</v>
      </c>
      <c r="G14" s="327">
        <v>10</v>
      </c>
      <c r="H14" s="409">
        <v>11382</v>
      </c>
      <c r="I14" s="431">
        <f t="shared" si="0"/>
        <v>148364.37000000002</v>
      </c>
      <c r="J14" s="3">
        <f>+H14*J9</f>
        <v>14836.437000000002</v>
      </c>
      <c r="K14" s="4"/>
      <c r="L14" s="4">
        <v>300</v>
      </c>
      <c r="M14" s="4">
        <v>0.3</v>
      </c>
    </row>
    <row r="15" spans="1:13" x14ac:dyDescent="0.25">
      <c r="A15" s="31">
        <v>3</v>
      </c>
      <c r="B15" s="32" t="s">
        <v>29</v>
      </c>
      <c r="C15" s="33" t="s">
        <v>21</v>
      </c>
      <c r="D15" s="33"/>
      <c r="E15" s="332" t="s">
        <v>30</v>
      </c>
      <c r="F15" s="408" t="s">
        <v>23</v>
      </c>
      <c r="G15" s="327">
        <v>10</v>
      </c>
      <c r="H15" s="409">
        <v>48825</v>
      </c>
      <c r="I15" s="431">
        <f t="shared" si="0"/>
        <v>636433.875</v>
      </c>
      <c r="J15" s="3">
        <f>+H15*J9</f>
        <v>63643.387500000004</v>
      </c>
      <c r="K15" s="4"/>
      <c r="L15" s="4"/>
      <c r="M15" s="4">
        <f>+L14*M14</f>
        <v>90</v>
      </c>
    </row>
    <row r="16" spans="1:13" x14ac:dyDescent="0.25">
      <c r="A16" s="31">
        <v>4</v>
      </c>
      <c r="B16" s="32" t="s">
        <v>31</v>
      </c>
      <c r="C16" s="33" t="s">
        <v>21</v>
      </c>
      <c r="D16" s="33"/>
      <c r="E16" s="332" t="s">
        <v>32</v>
      </c>
      <c r="F16" s="408" t="s">
        <v>23</v>
      </c>
      <c r="G16" s="327">
        <v>10</v>
      </c>
      <c r="H16" s="409">
        <v>61031</v>
      </c>
      <c r="I16" s="431">
        <f t="shared" si="0"/>
        <v>795539.08500000008</v>
      </c>
      <c r="J16" s="3">
        <f>+H16*J9</f>
        <v>79553.908500000005</v>
      </c>
      <c r="K16" s="4"/>
      <c r="L16" s="4"/>
      <c r="M16" s="4"/>
    </row>
    <row r="17" spans="1:13" x14ac:dyDescent="0.25">
      <c r="A17" s="36" t="s">
        <v>33</v>
      </c>
      <c r="B17" s="37"/>
      <c r="C17" s="38"/>
      <c r="D17" s="38"/>
      <c r="E17" s="39"/>
      <c r="F17" s="37"/>
      <c r="G17" s="38"/>
      <c r="H17" s="432"/>
      <c r="I17" s="433">
        <f>SUM(I12:I16)</f>
        <v>3647097.3259416302</v>
      </c>
      <c r="J17" s="42"/>
      <c r="K17" s="4"/>
      <c r="L17" s="4"/>
      <c r="M17" s="4"/>
    </row>
    <row r="18" spans="1:13" x14ac:dyDescent="0.25">
      <c r="A18" s="16"/>
      <c r="B18" s="418">
        <v>2</v>
      </c>
      <c r="C18" s="402"/>
      <c r="D18" s="402"/>
      <c r="E18" s="382" t="s">
        <v>34</v>
      </c>
      <c r="F18" s="420"/>
      <c r="G18" s="402"/>
      <c r="H18" s="403"/>
      <c r="I18" s="434"/>
      <c r="J18" s="23"/>
      <c r="K18" s="4"/>
      <c r="L18" s="4"/>
      <c r="M18" s="4"/>
    </row>
    <row r="19" spans="1:13" x14ac:dyDescent="0.25">
      <c r="A19" s="24"/>
      <c r="B19" s="424" t="s">
        <v>35</v>
      </c>
      <c r="C19" s="426"/>
      <c r="D19" s="426"/>
      <c r="E19" s="427" t="s">
        <v>36</v>
      </c>
      <c r="F19" s="428"/>
      <c r="G19" s="426"/>
      <c r="H19" s="45"/>
      <c r="I19" s="435"/>
      <c r="J19" s="23"/>
      <c r="K19" s="4"/>
      <c r="L19" s="4"/>
      <c r="M19" s="4"/>
    </row>
    <row r="20" spans="1:13" x14ac:dyDescent="0.25">
      <c r="A20" s="31">
        <v>5</v>
      </c>
      <c r="B20" s="32" t="s">
        <v>37</v>
      </c>
      <c r="C20" s="33" t="s">
        <v>21</v>
      </c>
      <c r="D20" s="436"/>
      <c r="E20" s="437" t="s">
        <v>38</v>
      </c>
      <c r="F20" s="438" t="s">
        <v>39</v>
      </c>
      <c r="G20" s="439">
        <v>1</v>
      </c>
      <c r="H20" s="409">
        <v>121340</v>
      </c>
      <c r="I20" s="440">
        <f t="shared" ref="I20:I26" si="1">+J20*G20</f>
        <v>158166.69</v>
      </c>
      <c r="J20" s="3">
        <f>+H20*J9</f>
        <v>158166.69</v>
      </c>
      <c r="K20" s="4"/>
      <c r="L20" s="4"/>
      <c r="M20" s="4"/>
    </row>
    <row r="21" spans="1:13" ht="15.75" customHeight="1" x14ac:dyDescent="0.25">
      <c r="A21" s="31">
        <v>6</v>
      </c>
      <c r="B21" s="32" t="s">
        <v>40</v>
      </c>
      <c r="C21" s="33" t="s">
        <v>21</v>
      </c>
      <c r="D21" s="436"/>
      <c r="E21" s="332" t="s">
        <v>41</v>
      </c>
      <c r="F21" s="408" t="s">
        <v>39</v>
      </c>
      <c r="G21" s="327">
        <v>1</v>
      </c>
      <c r="H21" s="409">
        <v>110429</v>
      </c>
      <c r="I21" s="440">
        <f t="shared" si="1"/>
        <v>143944.20150000002</v>
      </c>
      <c r="J21" s="3">
        <f>+H21*J9</f>
        <v>143944.20150000002</v>
      </c>
      <c r="K21" s="4"/>
      <c r="L21" s="4"/>
      <c r="M21" s="4"/>
    </row>
    <row r="22" spans="1:13" ht="15.75" customHeight="1" x14ac:dyDescent="0.25">
      <c r="A22" s="31">
        <v>7</v>
      </c>
      <c r="B22" s="96" t="s">
        <v>40</v>
      </c>
      <c r="C22" s="33" t="s">
        <v>21</v>
      </c>
      <c r="D22" s="436"/>
      <c r="E22" s="332" t="s">
        <v>43</v>
      </c>
      <c r="F22" s="408" t="s">
        <v>44</v>
      </c>
      <c r="G22" s="327">
        <v>2</v>
      </c>
      <c r="H22" s="409">
        <v>74832</v>
      </c>
      <c r="I22" s="440">
        <f t="shared" si="1"/>
        <v>195087.024</v>
      </c>
      <c r="J22" s="3">
        <f>+H22*J9</f>
        <v>97543.512000000002</v>
      </c>
      <c r="K22" s="4"/>
      <c r="L22" s="4"/>
      <c r="M22" s="4"/>
    </row>
    <row r="23" spans="1:13" ht="15.75" customHeight="1" x14ac:dyDescent="0.25">
      <c r="A23" s="31">
        <v>8</v>
      </c>
      <c r="B23" s="32" t="s">
        <v>45</v>
      </c>
      <c r="C23" s="33" t="s">
        <v>21</v>
      </c>
      <c r="D23" s="436"/>
      <c r="E23" s="332" t="s">
        <v>46</v>
      </c>
      <c r="F23" s="408" t="s">
        <v>39</v>
      </c>
      <c r="G23" s="327">
        <v>1</v>
      </c>
      <c r="H23" s="409">
        <v>128491</v>
      </c>
      <c r="I23" s="440">
        <f t="shared" si="1"/>
        <v>167488.01850000001</v>
      </c>
      <c r="J23" s="3">
        <f>+H23*J9</f>
        <v>167488.01850000001</v>
      </c>
      <c r="K23" s="4"/>
      <c r="L23" s="4"/>
      <c r="M23" s="4"/>
    </row>
    <row r="24" spans="1:13" ht="14.25" customHeight="1" x14ac:dyDescent="0.25">
      <c r="A24" s="31">
        <v>9</v>
      </c>
      <c r="B24" s="96" t="s">
        <v>42</v>
      </c>
      <c r="C24" s="33" t="s">
        <v>21</v>
      </c>
      <c r="D24" s="436"/>
      <c r="E24" s="332" t="s">
        <v>48</v>
      </c>
      <c r="F24" s="408" t="s">
        <v>39</v>
      </c>
      <c r="G24" s="327">
        <v>1</v>
      </c>
      <c r="H24" s="409">
        <v>76623</v>
      </c>
      <c r="I24" s="440">
        <f t="shared" si="1"/>
        <v>99878.080500000011</v>
      </c>
      <c r="J24" s="3">
        <f>+H24*J9</f>
        <v>99878.080500000011</v>
      </c>
      <c r="K24" s="4"/>
      <c r="L24" s="4"/>
      <c r="M24" s="4"/>
    </row>
    <row r="25" spans="1:13" ht="15.75" customHeight="1" x14ac:dyDescent="0.25">
      <c r="A25" s="31">
        <v>10</v>
      </c>
      <c r="B25" s="96" t="s">
        <v>45</v>
      </c>
      <c r="C25" s="33" t="s">
        <v>21</v>
      </c>
      <c r="D25" s="436"/>
      <c r="E25" s="332" t="s">
        <v>49</v>
      </c>
      <c r="F25" s="408" t="s">
        <v>26</v>
      </c>
      <c r="G25" s="327">
        <f>+G88*0.6</f>
        <v>12</v>
      </c>
      <c r="H25" s="409">
        <v>11042</v>
      </c>
      <c r="I25" s="440">
        <f t="shared" si="1"/>
        <v>172718.96400000001</v>
      </c>
      <c r="J25" s="3">
        <f>+H25*J9</f>
        <v>14393.247000000001</v>
      </c>
      <c r="K25" s="4"/>
      <c r="L25" s="4"/>
      <c r="M25" s="4"/>
    </row>
    <row r="26" spans="1:13" ht="15.75" customHeight="1" x14ac:dyDescent="0.25">
      <c r="A26" s="31">
        <v>11</v>
      </c>
      <c r="B26" s="96" t="s">
        <v>47</v>
      </c>
      <c r="C26" s="33" t="s">
        <v>21</v>
      </c>
      <c r="D26" s="436"/>
      <c r="E26" s="441" t="s">
        <v>50</v>
      </c>
      <c r="F26" s="442" t="s">
        <v>26</v>
      </c>
      <c r="G26" s="443">
        <v>20</v>
      </c>
      <c r="H26" s="409">
        <v>30516</v>
      </c>
      <c r="I26" s="440">
        <f t="shared" si="1"/>
        <v>795552.12</v>
      </c>
      <c r="J26" s="3">
        <f>+H26*J9</f>
        <v>39777.606</v>
      </c>
      <c r="K26" s="4"/>
      <c r="L26" s="4"/>
      <c r="M26" s="4"/>
    </row>
    <row r="27" spans="1:13" ht="15.75" customHeight="1" x14ac:dyDescent="0.25">
      <c r="A27" s="53" t="s">
        <v>33</v>
      </c>
      <c r="B27" s="445"/>
      <c r="C27" s="446"/>
      <c r="D27" s="446"/>
      <c r="E27" s="447"/>
      <c r="F27" s="445"/>
      <c r="G27" s="446"/>
      <c r="H27" s="334"/>
      <c r="I27" s="518">
        <f>SUM(I20:I26)</f>
        <v>1732835.0985000001</v>
      </c>
      <c r="J27" s="3"/>
      <c r="K27" s="4"/>
      <c r="L27" s="4"/>
      <c r="M27" s="4"/>
    </row>
    <row r="28" spans="1:13" ht="15.75" customHeight="1" x14ac:dyDescent="0.25">
      <c r="A28" s="16"/>
      <c r="B28" s="418">
        <v>4</v>
      </c>
      <c r="C28" s="402"/>
      <c r="D28" s="402"/>
      <c r="E28" s="382" t="s">
        <v>51</v>
      </c>
      <c r="F28" s="420"/>
      <c r="G28" s="402"/>
      <c r="H28" s="403"/>
      <c r="I28" s="434"/>
      <c r="J28" s="23"/>
      <c r="K28" s="4"/>
      <c r="L28" s="4"/>
      <c r="M28" s="4"/>
    </row>
    <row r="29" spans="1:13" ht="15.75" customHeight="1" x14ac:dyDescent="0.25">
      <c r="A29" s="24"/>
      <c r="B29" s="512" t="s">
        <v>52</v>
      </c>
      <c r="C29" s="426"/>
      <c r="D29" s="426"/>
      <c r="E29" s="427" t="s">
        <v>53</v>
      </c>
      <c r="F29" s="428"/>
      <c r="G29" s="426"/>
      <c r="H29" s="448"/>
      <c r="I29" s="435"/>
      <c r="J29" s="23"/>
      <c r="K29" s="4"/>
      <c r="L29" s="4"/>
      <c r="M29" s="4"/>
    </row>
    <row r="30" spans="1:13" ht="15.75" customHeight="1" x14ac:dyDescent="0.25">
      <c r="A30" s="31">
        <v>12</v>
      </c>
      <c r="B30" s="96" t="s">
        <v>54</v>
      </c>
      <c r="C30" s="33" t="s">
        <v>21</v>
      </c>
      <c r="D30" s="436"/>
      <c r="E30" s="437" t="s">
        <v>55</v>
      </c>
      <c r="F30" s="438" t="s">
        <v>39</v>
      </c>
      <c r="G30" s="439">
        <f>+(G88*1.3)*0.6*1</f>
        <v>15.6</v>
      </c>
      <c r="H30" s="411">
        <v>61280</v>
      </c>
      <c r="I30" s="440">
        <f t="shared" ref="I30:I32" si="2">+J30*G30</f>
        <v>1246104.2880000002</v>
      </c>
      <c r="J30" s="3">
        <f>+H30*J9</f>
        <v>79878.48000000001</v>
      </c>
      <c r="K30" s="4"/>
      <c r="L30" s="4"/>
      <c r="M30" s="4"/>
    </row>
    <row r="31" spans="1:13" ht="15.75" customHeight="1" x14ac:dyDescent="0.25">
      <c r="A31" s="31">
        <v>13</v>
      </c>
      <c r="B31" s="96" t="s">
        <v>56</v>
      </c>
      <c r="C31" s="33" t="s">
        <v>21</v>
      </c>
      <c r="D31" s="436"/>
      <c r="E31" s="332" t="s">
        <v>57</v>
      </c>
      <c r="F31" s="408" t="s">
        <v>39</v>
      </c>
      <c r="G31" s="327">
        <v>1</v>
      </c>
      <c r="H31" s="409">
        <v>54933</v>
      </c>
      <c r="I31" s="440">
        <f t="shared" si="2"/>
        <v>71605.165500000003</v>
      </c>
      <c r="J31" s="3">
        <f>+H31*J9</f>
        <v>71605.165500000003</v>
      </c>
      <c r="K31" s="4"/>
      <c r="L31" s="4"/>
      <c r="M31" s="4"/>
    </row>
    <row r="32" spans="1:13" ht="15.75" customHeight="1" x14ac:dyDescent="0.25">
      <c r="A32" s="31">
        <v>14</v>
      </c>
      <c r="B32" s="96" t="s">
        <v>56</v>
      </c>
      <c r="C32" s="33" t="s">
        <v>21</v>
      </c>
      <c r="D32" s="449"/>
      <c r="E32" s="441" t="s">
        <v>58</v>
      </c>
      <c r="F32" s="442" t="s">
        <v>39</v>
      </c>
      <c r="G32" s="443">
        <v>7</v>
      </c>
      <c r="H32" s="412">
        <v>70628</v>
      </c>
      <c r="I32" s="440">
        <f t="shared" si="2"/>
        <v>644445.1860000001</v>
      </c>
      <c r="J32" s="3">
        <f>+H32*J9</f>
        <v>92063.598000000013</v>
      </c>
      <c r="K32" s="4"/>
      <c r="L32" s="4"/>
      <c r="M32" s="4"/>
    </row>
    <row r="33" spans="1:13" ht="15.75" customHeight="1" x14ac:dyDescent="0.25">
      <c r="A33" s="53" t="s">
        <v>33</v>
      </c>
      <c r="B33" s="445"/>
      <c r="C33" s="446"/>
      <c r="D33" s="436"/>
      <c r="E33" s="39"/>
      <c r="F33" s="37"/>
      <c r="G33" s="38"/>
      <c r="H33" s="450"/>
      <c r="I33" s="451">
        <f>SUM(I30:I32)</f>
        <v>1962154.6395000005</v>
      </c>
      <c r="J33" s="3"/>
      <c r="K33" s="4"/>
      <c r="L33" s="4"/>
      <c r="M33" s="4"/>
    </row>
    <row r="34" spans="1:13" ht="15.75" customHeight="1" x14ac:dyDescent="0.25">
      <c r="A34" s="63"/>
      <c r="B34" s="513" t="s">
        <v>59</v>
      </c>
      <c r="C34" s="65"/>
      <c r="D34" s="65"/>
      <c r="E34" s="66" t="s">
        <v>60</v>
      </c>
      <c r="F34" s="67"/>
      <c r="G34" s="65"/>
      <c r="H34" s="68"/>
      <c r="I34" s="452"/>
      <c r="J34" s="23"/>
      <c r="K34" s="4"/>
      <c r="L34" s="4"/>
      <c r="M34" s="4"/>
    </row>
    <row r="35" spans="1:13" ht="15.75" customHeight="1" x14ac:dyDescent="0.25">
      <c r="A35" s="31">
        <v>15</v>
      </c>
      <c r="B35" s="96" t="s">
        <v>61</v>
      </c>
      <c r="C35" s="33" t="s">
        <v>21</v>
      </c>
      <c r="D35" s="436"/>
      <c r="E35" s="453" t="s">
        <v>62</v>
      </c>
      <c r="F35" s="454" t="s">
        <v>39</v>
      </c>
      <c r="G35" s="449">
        <v>7</v>
      </c>
      <c r="H35" s="59">
        <v>71367</v>
      </c>
      <c r="I35" s="440">
        <f t="shared" ref="I35:I37" si="3">+J35*G35</f>
        <v>651188.19149999996</v>
      </c>
      <c r="J35" s="3">
        <f>+H35*J9</f>
        <v>93026.8845</v>
      </c>
      <c r="K35" s="4"/>
      <c r="L35" s="4"/>
      <c r="M35" s="4"/>
    </row>
    <row r="36" spans="1:13" ht="15.75" customHeight="1" x14ac:dyDescent="0.25">
      <c r="A36" s="31">
        <v>16</v>
      </c>
      <c r="B36" s="96" t="s">
        <v>63</v>
      </c>
      <c r="C36" s="33" t="s">
        <v>21</v>
      </c>
      <c r="D36" s="436"/>
      <c r="E36" s="34" t="s">
        <v>64</v>
      </c>
      <c r="F36" s="32" t="s">
        <v>39</v>
      </c>
      <c r="G36" s="33">
        <v>7</v>
      </c>
      <c r="H36" s="35">
        <v>61800</v>
      </c>
      <c r="I36" s="440">
        <f t="shared" si="3"/>
        <v>563894.1</v>
      </c>
      <c r="J36" s="3">
        <f t="shared" ref="J36:J37" si="4">+H36*$J$9</f>
        <v>80556.3</v>
      </c>
      <c r="K36" s="4"/>
      <c r="L36" s="4"/>
      <c r="M36" s="4"/>
    </row>
    <row r="37" spans="1:13" ht="15.75" customHeight="1" x14ac:dyDescent="0.25">
      <c r="A37" s="31">
        <v>17</v>
      </c>
      <c r="B37" s="96" t="s">
        <v>65</v>
      </c>
      <c r="C37" s="33" t="s">
        <v>21</v>
      </c>
      <c r="D37" s="436"/>
      <c r="E37" s="34" t="s">
        <v>66</v>
      </c>
      <c r="F37" s="32" t="s">
        <v>39</v>
      </c>
      <c r="G37" s="33">
        <v>7</v>
      </c>
      <c r="H37" s="35">
        <v>84000</v>
      </c>
      <c r="I37" s="440">
        <f t="shared" si="3"/>
        <v>766458.00000000012</v>
      </c>
      <c r="J37" s="3">
        <f t="shared" si="4"/>
        <v>109494.00000000001</v>
      </c>
      <c r="K37" s="4"/>
      <c r="L37" s="4"/>
      <c r="M37" s="4"/>
    </row>
    <row r="38" spans="1:13" ht="15.75" customHeight="1" x14ac:dyDescent="0.25">
      <c r="A38" s="53" t="s">
        <v>33</v>
      </c>
      <c r="B38" s="445"/>
      <c r="C38" s="446"/>
      <c r="D38" s="436"/>
      <c r="E38" s="447"/>
      <c r="F38" s="445"/>
      <c r="G38" s="446"/>
      <c r="H38" s="334"/>
      <c r="I38" s="451">
        <f>SUM(I35:I37)</f>
        <v>1981540.2914999998</v>
      </c>
      <c r="J38" s="3"/>
      <c r="K38" s="4"/>
      <c r="L38" s="4"/>
      <c r="M38" s="4"/>
    </row>
    <row r="39" spans="1:13" ht="15.75" customHeight="1" x14ac:dyDescent="0.25">
      <c r="A39" s="63"/>
      <c r="B39" s="513" t="s">
        <v>67</v>
      </c>
      <c r="C39" s="65"/>
      <c r="D39" s="65"/>
      <c r="E39" s="66" t="s">
        <v>68</v>
      </c>
      <c r="F39" s="67"/>
      <c r="G39" s="65"/>
      <c r="H39" s="68"/>
      <c r="I39" s="452"/>
      <c r="J39" s="23"/>
      <c r="K39" s="4"/>
      <c r="L39" s="4"/>
      <c r="M39" s="4"/>
    </row>
    <row r="40" spans="1:13" ht="15.75" customHeight="1" x14ac:dyDescent="0.25">
      <c r="A40" s="71">
        <v>18</v>
      </c>
      <c r="B40" s="321" t="s">
        <v>69</v>
      </c>
      <c r="C40" s="33" t="s">
        <v>21</v>
      </c>
      <c r="D40" s="436"/>
      <c r="E40" s="34" t="s">
        <v>68</v>
      </c>
      <c r="F40" s="32" t="s">
        <v>39</v>
      </c>
      <c r="G40" s="33">
        <v>7</v>
      </c>
      <c r="H40" s="35">
        <v>10185</v>
      </c>
      <c r="I40" s="431">
        <f>+J40*G40</f>
        <v>92933.032500000001</v>
      </c>
      <c r="J40" s="3">
        <f>+H40*$J$9</f>
        <v>13276.147500000001</v>
      </c>
      <c r="K40" s="4"/>
      <c r="L40" s="4"/>
      <c r="M40" s="4"/>
    </row>
    <row r="41" spans="1:13" ht="15.75" customHeight="1" x14ac:dyDescent="0.25">
      <c r="A41" s="53" t="s">
        <v>33</v>
      </c>
      <c r="B41" s="445"/>
      <c r="C41" s="446"/>
      <c r="D41" s="436"/>
      <c r="E41" s="447"/>
      <c r="F41" s="445"/>
      <c r="G41" s="446"/>
      <c r="H41" s="334"/>
      <c r="I41" s="451">
        <f>SUM(I40)</f>
        <v>92933.032500000001</v>
      </c>
      <c r="J41" s="3"/>
      <c r="K41" s="4"/>
      <c r="L41" s="4"/>
      <c r="M41" s="4"/>
    </row>
    <row r="42" spans="1:13" ht="15.75" customHeight="1" x14ac:dyDescent="0.25">
      <c r="A42" s="63"/>
      <c r="B42" s="513" t="s">
        <v>70</v>
      </c>
      <c r="C42" s="65"/>
      <c r="D42" s="65"/>
      <c r="E42" s="66" t="s">
        <v>71</v>
      </c>
      <c r="F42" s="67"/>
      <c r="G42" s="65"/>
      <c r="H42" s="68"/>
      <c r="I42" s="452"/>
      <c r="J42" s="23"/>
      <c r="K42" s="4"/>
      <c r="L42" s="4"/>
      <c r="M42" s="4"/>
    </row>
    <row r="43" spans="1:13" ht="15.75" customHeight="1" x14ac:dyDescent="0.25">
      <c r="A43" s="71">
        <v>19</v>
      </c>
      <c r="B43" s="321" t="s">
        <v>72</v>
      </c>
      <c r="C43" s="33" t="s">
        <v>21</v>
      </c>
      <c r="D43" s="436"/>
      <c r="E43" s="332" t="s">
        <v>73</v>
      </c>
      <c r="F43" s="408" t="s">
        <v>39</v>
      </c>
      <c r="G43" s="327">
        <f>7*1.5</f>
        <v>10.5</v>
      </c>
      <c r="H43" s="409">
        <v>145580</v>
      </c>
      <c r="I43" s="431">
        <f>+J43*G43</f>
        <v>1992517.0650000004</v>
      </c>
      <c r="J43" s="3">
        <f>+H43*$J$9</f>
        <v>189763.53000000003</v>
      </c>
      <c r="K43" s="4"/>
      <c r="L43" s="4"/>
      <c r="M43" s="4"/>
    </row>
    <row r="44" spans="1:13" ht="15.75" customHeight="1" x14ac:dyDescent="0.25">
      <c r="A44" s="53" t="s">
        <v>33</v>
      </c>
      <c r="B44" s="445"/>
      <c r="C44" s="446"/>
      <c r="D44" s="436"/>
      <c r="E44" s="447"/>
      <c r="F44" s="445"/>
      <c r="G44" s="446"/>
      <c r="H44" s="334"/>
      <c r="I44" s="451">
        <f>SUM(I43)</f>
        <v>1992517.0650000004</v>
      </c>
      <c r="J44" s="3"/>
      <c r="K44" s="4"/>
      <c r="L44" s="4"/>
      <c r="M44" s="4"/>
    </row>
    <row r="45" spans="1:13" ht="15.75" customHeight="1" x14ac:dyDescent="0.25">
      <c r="A45" s="63"/>
      <c r="B45" s="513" t="s">
        <v>74</v>
      </c>
      <c r="C45" s="65"/>
      <c r="D45" s="65"/>
      <c r="E45" s="66" t="s">
        <v>75</v>
      </c>
      <c r="F45" s="67"/>
      <c r="G45" s="65"/>
      <c r="H45" s="68"/>
      <c r="I45" s="452"/>
      <c r="J45" s="23"/>
      <c r="K45" s="4"/>
      <c r="L45" s="4"/>
      <c r="M45" s="4"/>
    </row>
    <row r="46" spans="1:13" ht="15.75" customHeight="1" x14ac:dyDescent="0.25">
      <c r="A46" s="31">
        <v>20</v>
      </c>
      <c r="B46" s="96" t="s">
        <v>76</v>
      </c>
      <c r="C46" s="33" t="s">
        <v>21</v>
      </c>
      <c r="D46" s="436"/>
      <c r="E46" s="332" t="s">
        <v>77</v>
      </c>
      <c r="F46" s="408" t="s">
        <v>26</v>
      </c>
      <c r="G46" s="327">
        <v>10</v>
      </c>
      <c r="H46" s="409">
        <v>37751</v>
      </c>
      <c r="I46" s="431">
        <f t="shared" ref="I46:I49" si="5">+J46*G46</f>
        <v>492084.28500000003</v>
      </c>
      <c r="J46" s="3">
        <f t="shared" ref="J46:J49" si="6">+H46*$J$9</f>
        <v>49208.428500000002</v>
      </c>
      <c r="K46" s="4"/>
      <c r="L46" s="4"/>
      <c r="M46" s="4"/>
    </row>
    <row r="47" spans="1:13" ht="15.75" customHeight="1" x14ac:dyDescent="0.25">
      <c r="A47" s="31">
        <v>21</v>
      </c>
      <c r="B47" s="96" t="s">
        <v>78</v>
      </c>
      <c r="C47" s="33" t="s">
        <v>21</v>
      </c>
      <c r="D47" s="436"/>
      <c r="E47" s="332" t="s">
        <v>79</v>
      </c>
      <c r="F47" s="408" t="s">
        <v>26</v>
      </c>
      <c r="G47" s="327">
        <v>10</v>
      </c>
      <c r="H47" s="409">
        <v>20019</v>
      </c>
      <c r="I47" s="431">
        <f t="shared" si="5"/>
        <v>260947.66500000001</v>
      </c>
      <c r="J47" s="3">
        <f t="shared" si="6"/>
        <v>26094.766500000002</v>
      </c>
      <c r="K47" s="4"/>
      <c r="L47" s="4"/>
      <c r="M47" s="4"/>
    </row>
    <row r="48" spans="1:13" ht="15.75" customHeight="1" x14ac:dyDescent="0.25">
      <c r="A48" s="31">
        <v>22</v>
      </c>
      <c r="B48" s="96" t="s">
        <v>80</v>
      </c>
      <c r="C48" s="33" t="s">
        <v>21</v>
      </c>
      <c r="D48" s="436"/>
      <c r="E48" s="332" t="s">
        <v>81</v>
      </c>
      <c r="F48" s="408" t="s">
        <v>26</v>
      </c>
      <c r="G48" s="327">
        <v>10</v>
      </c>
      <c r="H48" s="409">
        <v>36776</v>
      </c>
      <c r="I48" s="431">
        <f t="shared" si="5"/>
        <v>479375.16000000003</v>
      </c>
      <c r="J48" s="3">
        <f t="shared" si="6"/>
        <v>47937.516000000003</v>
      </c>
      <c r="K48" s="4"/>
      <c r="L48" s="4"/>
      <c r="M48" s="4"/>
    </row>
    <row r="49" spans="1:13" ht="15.75" customHeight="1" x14ac:dyDescent="0.25">
      <c r="A49" s="31">
        <v>23</v>
      </c>
      <c r="B49" s="96" t="s">
        <v>82</v>
      </c>
      <c r="C49" s="33" t="s">
        <v>21</v>
      </c>
      <c r="D49" s="436"/>
      <c r="E49" s="332" t="s">
        <v>83</v>
      </c>
      <c r="F49" s="408" t="s">
        <v>26</v>
      </c>
      <c r="G49" s="327">
        <v>10</v>
      </c>
      <c r="H49" s="409">
        <v>45620</v>
      </c>
      <c r="I49" s="431">
        <f t="shared" si="5"/>
        <v>594656.70000000007</v>
      </c>
      <c r="J49" s="3">
        <f t="shared" si="6"/>
        <v>59465.670000000006</v>
      </c>
      <c r="K49" s="4"/>
      <c r="L49" s="4"/>
      <c r="M49" s="4"/>
    </row>
    <row r="50" spans="1:13" ht="15.75" customHeight="1" x14ac:dyDescent="0.25">
      <c r="A50" s="444" t="s">
        <v>33</v>
      </c>
      <c r="B50" s="445"/>
      <c r="C50" s="446"/>
      <c r="D50" s="446"/>
      <c r="E50" s="447"/>
      <c r="F50" s="445"/>
      <c r="G50" s="446"/>
      <c r="H50" s="334"/>
      <c r="I50" s="456">
        <f>SUM(I46:I49)</f>
        <v>1827063.81</v>
      </c>
      <c r="J50" s="3"/>
      <c r="K50" s="4"/>
      <c r="L50" s="4"/>
      <c r="M50" s="4"/>
    </row>
    <row r="51" spans="1:13" ht="15.75" customHeight="1" x14ac:dyDescent="0.25">
      <c r="A51" s="16"/>
      <c r="B51" s="17">
        <v>5</v>
      </c>
      <c r="C51" s="402"/>
      <c r="D51" s="402"/>
      <c r="E51" s="382" t="s">
        <v>84</v>
      </c>
      <c r="F51" s="420"/>
      <c r="G51" s="402"/>
      <c r="H51" s="403"/>
      <c r="I51" s="434"/>
      <c r="J51" s="23"/>
      <c r="K51" s="4"/>
      <c r="L51" s="4"/>
      <c r="M51" s="4"/>
    </row>
    <row r="52" spans="1:13" ht="15.75" customHeight="1" x14ac:dyDescent="0.25">
      <c r="A52" s="24"/>
      <c r="B52" s="25" t="s">
        <v>85</v>
      </c>
      <c r="C52" s="426"/>
      <c r="D52" s="426"/>
      <c r="E52" s="427" t="s">
        <v>84</v>
      </c>
      <c r="F52" s="428"/>
      <c r="G52" s="426"/>
      <c r="H52" s="448"/>
      <c r="I52" s="435"/>
      <c r="J52" s="23"/>
      <c r="K52" s="4"/>
      <c r="L52" s="4"/>
      <c r="M52" s="4"/>
    </row>
    <row r="53" spans="1:13" ht="15.75" customHeight="1" x14ac:dyDescent="0.25">
      <c r="A53" s="31">
        <v>24</v>
      </c>
      <c r="B53" s="32" t="s">
        <v>86</v>
      </c>
      <c r="C53" s="33" t="s">
        <v>21</v>
      </c>
      <c r="D53" s="436"/>
      <c r="E53" s="437" t="s">
        <v>87</v>
      </c>
      <c r="F53" s="438" t="s">
        <v>39</v>
      </c>
      <c r="G53" s="439">
        <f>+G88*0.3*0.6</f>
        <v>3.5999999999999996</v>
      </c>
      <c r="H53" s="411">
        <v>26934</v>
      </c>
      <c r="I53" s="440">
        <f t="shared" ref="I53:I58" si="7">+J53*G53</f>
        <v>126390.4884</v>
      </c>
      <c r="J53" s="3">
        <f t="shared" ref="J53:J58" si="8">+H53*$J$9</f>
        <v>35108.469000000005</v>
      </c>
      <c r="K53" s="4"/>
      <c r="L53" s="4"/>
      <c r="M53" s="4"/>
    </row>
    <row r="54" spans="1:13" ht="15.75" customHeight="1" x14ac:dyDescent="0.25">
      <c r="A54" s="31">
        <v>25</v>
      </c>
      <c r="B54" s="32" t="s">
        <v>88</v>
      </c>
      <c r="C54" s="33" t="s">
        <v>21</v>
      </c>
      <c r="D54" s="436"/>
      <c r="E54" s="332" t="s">
        <v>89</v>
      </c>
      <c r="F54" s="408" t="s">
        <v>39</v>
      </c>
      <c r="G54" s="327">
        <f>+G88*0.3*0.6</f>
        <v>3.5999999999999996</v>
      </c>
      <c r="H54" s="409">
        <v>87333</v>
      </c>
      <c r="I54" s="440">
        <f t="shared" si="7"/>
        <v>409818.8358</v>
      </c>
      <c r="J54" s="3">
        <f t="shared" si="8"/>
        <v>113838.56550000001</v>
      </c>
      <c r="K54" s="4"/>
      <c r="L54" s="4"/>
      <c r="M54" s="4"/>
    </row>
    <row r="55" spans="1:13" ht="15.75" customHeight="1" x14ac:dyDescent="0.25">
      <c r="A55" s="31">
        <v>26</v>
      </c>
      <c r="B55" s="32" t="s">
        <v>90</v>
      </c>
      <c r="C55" s="33" t="s">
        <v>21</v>
      </c>
      <c r="D55" s="436"/>
      <c r="E55" s="332" t="s">
        <v>91</v>
      </c>
      <c r="F55" s="408" t="s">
        <v>39</v>
      </c>
      <c r="G55" s="327">
        <v>7</v>
      </c>
      <c r="H55" s="409">
        <v>61513</v>
      </c>
      <c r="I55" s="440">
        <f t="shared" si="7"/>
        <v>561275.36849999998</v>
      </c>
      <c r="J55" s="3">
        <f t="shared" si="8"/>
        <v>80182.195500000002</v>
      </c>
      <c r="K55" s="4"/>
      <c r="L55" s="4"/>
      <c r="M55" s="4"/>
    </row>
    <row r="56" spans="1:13" ht="15.75" customHeight="1" x14ac:dyDescent="0.25">
      <c r="A56" s="31">
        <v>27</v>
      </c>
      <c r="B56" s="32" t="s">
        <v>92</v>
      </c>
      <c r="C56" s="33" t="s">
        <v>21</v>
      </c>
      <c r="D56" s="436"/>
      <c r="E56" s="332" t="s">
        <v>93</v>
      </c>
      <c r="F56" s="408" t="s">
        <v>39</v>
      </c>
      <c r="G56" s="327">
        <v>7</v>
      </c>
      <c r="H56" s="409">
        <v>236411</v>
      </c>
      <c r="I56" s="440">
        <f t="shared" si="7"/>
        <v>2157132.1695000003</v>
      </c>
      <c r="J56" s="3">
        <f t="shared" si="8"/>
        <v>308161.73850000004</v>
      </c>
      <c r="K56" s="4"/>
      <c r="L56" s="4"/>
      <c r="M56" s="4"/>
    </row>
    <row r="57" spans="1:13" ht="15.75" customHeight="1" x14ac:dyDescent="0.25">
      <c r="A57" s="31">
        <v>28</v>
      </c>
      <c r="B57" s="32" t="s">
        <v>94</v>
      </c>
      <c r="C57" s="33" t="s">
        <v>21</v>
      </c>
      <c r="D57" s="436"/>
      <c r="E57" s="332" t="s">
        <v>95</v>
      </c>
      <c r="F57" s="408" t="s">
        <v>39</v>
      </c>
      <c r="G57" s="327">
        <v>7</v>
      </c>
      <c r="H57" s="409">
        <v>139696</v>
      </c>
      <c r="I57" s="440">
        <f t="shared" si="7"/>
        <v>1274656.152</v>
      </c>
      <c r="J57" s="3">
        <f t="shared" si="8"/>
        <v>182093.736</v>
      </c>
      <c r="K57" s="4"/>
      <c r="L57" s="4"/>
      <c r="M57" s="4"/>
    </row>
    <row r="58" spans="1:13" ht="15.75" customHeight="1" x14ac:dyDescent="0.25">
      <c r="A58" s="31">
        <v>29</v>
      </c>
      <c r="B58" s="96" t="s">
        <v>90</v>
      </c>
      <c r="C58" s="33" t="s">
        <v>21</v>
      </c>
      <c r="D58" s="436"/>
      <c r="E58" s="441" t="s">
        <v>96</v>
      </c>
      <c r="F58" s="442" t="s">
        <v>39</v>
      </c>
      <c r="G58" s="443">
        <f>+(G88*0.4*0.6)-1</f>
        <v>3.8</v>
      </c>
      <c r="H58" s="412">
        <v>183224</v>
      </c>
      <c r="I58" s="440">
        <f t="shared" si="7"/>
        <v>907563.43920000002</v>
      </c>
      <c r="J58" s="3">
        <f t="shared" si="8"/>
        <v>238832.48400000003</v>
      </c>
      <c r="K58" s="4"/>
      <c r="L58" s="4"/>
      <c r="M58" s="4"/>
    </row>
    <row r="59" spans="1:13" ht="15.75" customHeight="1" x14ac:dyDescent="0.25">
      <c r="A59" s="444" t="s">
        <v>33</v>
      </c>
      <c r="B59" s="445"/>
      <c r="C59" s="446"/>
      <c r="D59" s="446"/>
      <c r="E59" s="447"/>
      <c r="F59" s="445"/>
      <c r="G59" s="446"/>
      <c r="H59" s="334"/>
      <c r="I59" s="456">
        <f>SUM(I53:I58)</f>
        <v>5436836.4534</v>
      </c>
      <c r="J59" s="3"/>
      <c r="K59" s="4"/>
      <c r="L59" s="4"/>
      <c r="M59" s="4"/>
    </row>
    <row r="60" spans="1:13" ht="15.75" customHeight="1" x14ac:dyDescent="0.25">
      <c r="A60" s="63"/>
      <c r="B60" s="64" t="s">
        <v>97</v>
      </c>
      <c r="C60" s="65"/>
      <c r="D60" s="65"/>
      <c r="E60" s="66" t="s">
        <v>98</v>
      </c>
      <c r="F60" s="67"/>
      <c r="G60" s="65"/>
      <c r="H60" s="68"/>
      <c r="I60" s="452"/>
      <c r="J60" s="23"/>
      <c r="K60" s="4"/>
      <c r="L60" s="4"/>
      <c r="M60" s="4"/>
    </row>
    <row r="61" spans="1:13" ht="15.75" customHeight="1" x14ac:dyDescent="0.25">
      <c r="A61" s="31">
        <v>30</v>
      </c>
      <c r="B61" s="32" t="s">
        <v>99</v>
      </c>
      <c r="C61" s="33" t="s">
        <v>21</v>
      </c>
      <c r="D61" s="436"/>
      <c r="E61" s="437" t="s">
        <v>100</v>
      </c>
      <c r="F61" s="438" t="s">
        <v>39</v>
      </c>
      <c r="G61" s="439">
        <v>7</v>
      </c>
      <c r="H61" s="411">
        <v>217037</v>
      </c>
      <c r="I61" s="440">
        <f t="shared" ref="I61:I62" si="9">+J61*G61</f>
        <v>1980354.1065000002</v>
      </c>
      <c r="J61" s="3">
        <f t="shared" ref="J61:J62" si="10">+H61*$J$9</f>
        <v>282907.72950000002</v>
      </c>
      <c r="K61" s="4"/>
      <c r="L61" s="4"/>
      <c r="M61" s="4"/>
    </row>
    <row r="62" spans="1:13" ht="15.75" customHeight="1" x14ac:dyDescent="0.25">
      <c r="A62" s="31">
        <v>31</v>
      </c>
      <c r="B62" s="32" t="s">
        <v>101</v>
      </c>
      <c r="C62" s="33" t="s">
        <v>21</v>
      </c>
      <c r="D62" s="436"/>
      <c r="E62" s="332" t="s">
        <v>102</v>
      </c>
      <c r="F62" s="408" t="s">
        <v>39</v>
      </c>
      <c r="G62" s="327">
        <v>7</v>
      </c>
      <c r="H62" s="409">
        <v>108177</v>
      </c>
      <c r="I62" s="440">
        <f t="shared" si="9"/>
        <v>987061.03650000005</v>
      </c>
      <c r="J62" s="3">
        <f t="shared" si="10"/>
        <v>141008.71950000001</v>
      </c>
      <c r="K62" s="4"/>
      <c r="L62" s="4"/>
      <c r="M62" s="4"/>
    </row>
    <row r="63" spans="1:13" ht="15.75" customHeight="1" x14ac:dyDescent="0.25">
      <c r="A63" s="444" t="s">
        <v>33</v>
      </c>
      <c r="B63" s="445"/>
      <c r="C63" s="446"/>
      <c r="D63" s="446"/>
      <c r="E63" s="447"/>
      <c r="F63" s="445"/>
      <c r="G63" s="446"/>
      <c r="H63" s="334"/>
      <c r="I63" s="456">
        <f>SUM(I61:I62)</f>
        <v>2967415.1430000002</v>
      </c>
      <c r="J63" s="3"/>
      <c r="K63" s="4"/>
      <c r="L63" s="4"/>
      <c r="M63" s="4"/>
    </row>
    <row r="64" spans="1:13" ht="15.75" customHeight="1" x14ac:dyDescent="0.25">
      <c r="A64" s="63"/>
      <c r="B64" s="64" t="s">
        <v>103</v>
      </c>
      <c r="C64" s="65"/>
      <c r="D64" s="65"/>
      <c r="E64" s="66" t="s">
        <v>104</v>
      </c>
      <c r="F64" s="67"/>
      <c r="G64" s="65"/>
      <c r="H64" s="68"/>
      <c r="I64" s="452"/>
      <c r="J64" s="23"/>
      <c r="K64" s="4"/>
      <c r="L64" s="4"/>
      <c r="M64" s="4"/>
    </row>
    <row r="65" spans="1:13" ht="15.75" customHeight="1" x14ac:dyDescent="0.25">
      <c r="A65" s="31">
        <v>32</v>
      </c>
      <c r="B65" s="32" t="s">
        <v>105</v>
      </c>
      <c r="C65" s="33" t="s">
        <v>21</v>
      </c>
      <c r="D65" s="436"/>
      <c r="E65" s="34" t="s">
        <v>106</v>
      </c>
      <c r="F65" s="32" t="s">
        <v>39</v>
      </c>
      <c r="G65" s="33">
        <v>7</v>
      </c>
      <c r="H65" s="35">
        <v>730250</v>
      </c>
      <c r="I65" s="431">
        <f t="shared" ref="I65:I66" si="11">+J65*G65</f>
        <v>6663166.1250000009</v>
      </c>
      <c r="J65" s="3">
        <f t="shared" ref="J65:J66" si="12">+H65*$J$9</f>
        <v>951880.87500000012</v>
      </c>
      <c r="K65" s="4"/>
      <c r="L65" s="4"/>
      <c r="M65" s="4"/>
    </row>
    <row r="66" spans="1:13" ht="15.75" customHeight="1" x14ac:dyDescent="0.25">
      <c r="A66" s="31">
        <v>33</v>
      </c>
      <c r="B66" s="32" t="s">
        <v>107</v>
      </c>
      <c r="C66" s="33" t="s">
        <v>21</v>
      </c>
      <c r="D66" s="436"/>
      <c r="E66" s="457" t="s">
        <v>108</v>
      </c>
      <c r="F66" s="458" t="s">
        <v>39</v>
      </c>
      <c r="G66" s="459">
        <v>7</v>
      </c>
      <c r="H66" s="60">
        <v>301190</v>
      </c>
      <c r="I66" s="460">
        <f t="shared" si="11"/>
        <v>2748208.1550000003</v>
      </c>
      <c r="J66" s="3">
        <f t="shared" si="12"/>
        <v>392601.16500000004</v>
      </c>
      <c r="K66" s="4"/>
      <c r="L66" s="4"/>
      <c r="M66" s="4"/>
    </row>
    <row r="67" spans="1:13" ht="15.75" customHeight="1" x14ac:dyDescent="0.25">
      <c r="A67" s="444" t="s">
        <v>33</v>
      </c>
      <c r="B67" s="445"/>
      <c r="C67" s="446"/>
      <c r="D67" s="446"/>
      <c r="E67" s="447"/>
      <c r="F67" s="445"/>
      <c r="G67" s="446"/>
      <c r="H67" s="334"/>
      <c r="I67" s="456">
        <f>SUM(I65:I66)</f>
        <v>9411374.2800000012</v>
      </c>
      <c r="J67" s="3"/>
      <c r="K67" s="4"/>
      <c r="L67" s="4"/>
      <c r="M67" s="4"/>
    </row>
    <row r="68" spans="1:13" ht="15.75" customHeight="1" x14ac:dyDescent="0.25">
      <c r="A68" s="63"/>
      <c r="B68" s="64" t="s">
        <v>109</v>
      </c>
      <c r="C68" s="65"/>
      <c r="D68" s="65"/>
      <c r="E68" s="66" t="s">
        <v>110</v>
      </c>
      <c r="F68" s="67"/>
      <c r="G68" s="65"/>
      <c r="H68" s="68"/>
      <c r="I68" s="452"/>
      <c r="J68" s="23"/>
      <c r="K68" s="4"/>
      <c r="L68" s="4"/>
      <c r="M68" s="4"/>
    </row>
    <row r="69" spans="1:13" ht="30.75" customHeight="1" x14ac:dyDescent="0.25">
      <c r="A69" s="31">
        <v>34</v>
      </c>
      <c r="B69" s="32" t="s">
        <v>111</v>
      </c>
      <c r="C69" s="33" t="s">
        <v>21</v>
      </c>
      <c r="D69" s="436"/>
      <c r="E69" s="453" t="s">
        <v>112</v>
      </c>
      <c r="F69" s="454" t="s">
        <v>44</v>
      </c>
      <c r="G69" s="449">
        <v>5</v>
      </c>
      <c r="H69" s="59">
        <v>599576</v>
      </c>
      <c r="I69" s="440">
        <f t="shared" ref="I69:I70" si="13">+J69*G69</f>
        <v>3907736.5800000005</v>
      </c>
      <c r="J69" s="3">
        <f t="shared" ref="J69:J70" si="14">+H69*$J$9</f>
        <v>781547.31600000011</v>
      </c>
      <c r="K69" s="4"/>
      <c r="L69" s="4"/>
      <c r="M69" s="4"/>
    </row>
    <row r="70" spans="1:13" ht="15.75" customHeight="1" x14ac:dyDescent="0.25">
      <c r="A70" s="31">
        <v>35</v>
      </c>
      <c r="B70" s="32" t="s">
        <v>113</v>
      </c>
      <c r="C70" s="33" t="s">
        <v>21</v>
      </c>
      <c r="D70" s="436"/>
      <c r="E70" s="34" t="s">
        <v>114</v>
      </c>
      <c r="F70" s="32" t="s">
        <v>44</v>
      </c>
      <c r="G70" s="33">
        <v>5</v>
      </c>
      <c r="H70" s="35">
        <v>30880</v>
      </c>
      <c r="I70" s="431">
        <f t="shared" si="13"/>
        <v>201260.40000000002</v>
      </c>
      <c r="J70" s="3">
        <f t="shared" si="14"/>
        <v>40252.080000000002</v>
      </c>
      <c r="K70" s="4"/>
      <c r="L70" s="4"/>
      <c r="M70" s="4"/>
    </row>
    <row r="71" spans="1:13" ht="15.75" customHeight="1" x14ac:dyDescent="0.25">
      <c r="A71" s="53" t="s">
        <v>33</v>
      </c>
      <c r="B71" s="54"/>
      <c r="C71" s="446"/>
      <c r="D71" s="446"/>
      <c r="E71" s="447"/>
      <c r="F71" s="445"/>
      <c r="G71" s="446"/>
      <c r="H71" s="334"/>
      <c r="I71" s="456">
        <f>SUM(I69:I70)</f>
        <v>4108996.9800000004</v>
      </c>
      <c r="J71" s="3"/>
      <c r="K71" s="4"/>
      <c r="L71" s="4"/>
      <c r="M71" s="4"/>
    </row>
    <row r="72" spans="1:13" ht="15.75" customHeight="1" x14ac:dyDescent="0.25">
      <c r="A72" s="16"/>
      <c r="B72" s="17">
        <v>6</v>
      </c>
      <c r="C72" s="402"/>
      <c r="D72" s="402"/>
      <c r="E72" s="382" t="s">
        <v>115</v>
      </c>
      <c r="F72" s="420"/>
      <c r="G72" s="402"/>
      <c r="H72" s="403"/>
      <c r="I72" s="434"/>
      <c r="J72" s="23"/>
      <c r="K72" s="4"/>
      <c r="L72" s="4"/>
      <c r="M72" s="4"/>
    </row>
    <row r="73" spans="1:13" ht="20.25" customHeight="1" x14ac:dyDescent="0.25">
      <c r="A73" s="31">
        <v>36</v>
      </c>
      <c r="B73" s="32" t="s">
        <v>116</v>
      </c>
      <c r="C73" s="33" t="s">
        <v>21</v>
      </c>
      <c r="D73" s="436"/>
      <c r="E73" s="437" t="s">
        <v>117</v>
      </c>
      <c r="F73" s="438" t="s">
        <v>39</v>
      </c>
      <c r="G73" s="439">
        <f>7*2</f>
        <v>14</v>
      </c>
      <c r="H73" s="411">
        <v>28399</v>
      </c>
      <c r="I73" s="440">
        <f t="shared" ref="I73:I77" si="15">+J73*G73</f>
        <v>518253.35100000002</v>
      </c>
      <c r="J73" s="3">
        <f t="shared" ref="J73:J77" si="16">+H73*$J$9</f>
        <v>37018.0965</v>
      </c>
      <c r="K73" s="4"/>
      <c r="L73" s="4"/>
      <c r="M73" s="4"/>
    </row>
    <row r="74" spans="1:13" ht="15.75" customHeight="1" x14ac:dyDescent="0.25">
      <c r="A74" s="31">
        <v>37</v>
      </c>
      <c r="B74" s="32" t="s">
        <v>118</v>
      </c>
      <c r="C74" s="33" t="s">
        <v>21</v>
      </c>
      <c r="D74" s="436"/>
      <c r="E74" s="332" t="s">
        <v>119</v>
      </c>
      <c r="F74" s="408" t="s">
        <v>120</v>
      </c>
      <c r="G74" s="327">
        <f>+G73</f>
        <v>14</v>
      </c>
      <c r="H74" s="409">
        <v>1282</v>
      </c>
      <c r="I74" s="440">
        <f t="shared" si="15"/>
        <v>23395.218000000004</v>
      </c>
      <c r="J74" s="3">
        <f t="shared" si="16"/>
        <v>1671.0870000000002</v>
      </c>
      <c r="K74" s="4"/>
      <c r="L74" s="4"/>
      <c r="M74" s="4"/>
    </row>
    <row r="75" spans="1:13" ht="15.75" customHeight="1" x14ac:dyDescent="0.25">
      <c r="A75" s="31">
        <v>38</v>
      </c>
      <c r="B75" s="32">
        <v>7462</v>
      </c>
      <c r="C75" s="33" t="s">
        <v>121</v>
      </c>
      <c r="D75" s="436"/>
      <c r="E75" s="332" t="s">
        <v>122</v>
      </c>
      <c r="F75" s="408" t="s">
        <v>123</v>
      </c>
      <c r="G75" s="327">
        <f>+G30-G53</f>
        <v>12</v>
      </c>
      <c r="H75" s="409">
        <v>1800</v>
      </c>
      <c r="I75" s="440">
        <f t="shared" si="15"/>
        <v>28155.600000000002</v>
      </c>
      <c r="J75" s="3">
        <f t="shared" si="16"/>
        <v>2346.3000000000002</v>
      </c>
      <c r="K75" s="4"/>
      <c r="L75" s="4"/>
      <c r="M75" s="4"/>
    </row>
    <row r="76" spans="1:13" ht="15.75" customHeight="1" x14ac:dyDescent="0.25">
      <c r="A76" s="31">
        <v>39</v>
      </c>
      <c r="B76" s="32" t="s">
        <v>124</v>
      </c>
      <c r="C76" s="33" t="s">
        <v>125</v>
      </c>
      <c r="D76" s="436"/>
      <c r="E76" s="332" t="s">
        <v>126</v>
      </c>
      <c r="F76" s="408" t="s">
        <v>127</v>
      </c>
      <c r="G76" s="327">
        <v>15</v>
      </c>
      <c r="H76" s="414">
        <v>58912</v>
      </c>
      <c r="I76" s="440">
        <f t="shared" si="15"/>
        <v>1151876.8800000001</v>
      </c>
      <c r="J76" s="3">
        <f t="shared" si="16"/>
        <v>76791.792000000001</v>
      </c>
      <c r="K76" s="4"/>
      <c r="L76" s="4"/>
      <c r="M76" s="4"/>
    </row>
    <row r="77" spans="1:13" ht="15.75" customHeight="1" x14ac:dyDescent="0.25">
      <c r="A77" s="31">
        <v>40</v>
      </c>
      <c r="B77" s="32" t="s">
        <v>128</v>
      </c>
      <c r="C77" s="33" t="s">
        <v>129</v>
      </c>
      <c r="D77" s="436"/>
      <c r="E77" s="332" t="s">
        <v>130</v>
      </c>
      <c r="F77" s="408" t="s">
        <v>131</v>
      </c>
      <c r="G77" s="327">
        <v>1</v>
      </c>
      <c r="H77" s="414">
        <v>123980</v>
      </c>
      <c r="I77" s="440">
        <f t="shared" si="15"/>
        <v>161607.93000000002</v>
      </c>
      <c r="J77" s="3">
        <f t="shared" si="16"/>
        <v>161607.93000000002</v>
      </c>
      <c r="K77" s="4"/>
      <c r="L77" s="4"/>
      <c r="M77" s="4"/>
    </row>
    <row r="78" spans="1:13" ht="15.75" customHeight="1" x14ac:dyDescent="0.25">
      <c r="A78" s="444" t="s">
        <v>33</v>
      </c>
      <c r="B78" s="445"/>
      <c r="C78" s="446"/>
      <c r="D78" s="446"/>
      <c r="E78" s="447"/>
      <c r="F78" s="445"/>
      <c r="G78" s="446"/>
      <c r="H78" s="334"/>
      <c r="I78" s="456">
        <f>SUM(I73:I77)</f>
        <v>1883288.9790000001</v>
      </c>
      <c r="J78" s="3"/>
      <c r="K78" s="4"/>
      <c r="L78" s="4"/>
      <c r="M78" s="4"/>
    </row>
    <row r="79" spans="1:13" ht="15.75" customHeight="1" x14ac:dyDescent="0.25">
      <c r="A79" s="417"/>
      <c r="B79" s="418">
        <v>7</v>
      </c>
      <c r="C79" s="402"/>
      <c r="D79" s="402"/>
      <c r="E79" s="382" t="s">
        <v>132</v>
      </c>
      <c r="F79" s="420"/>
      <c r="G79" s="402"/>
      <c r="H79" s="403"/>
      <c r="I79" s="434"/>
      <c r="J79" s="23"/>
      <c r="K79" s="4"/>
      <c r="L79" s="4"/>
      <c r="M79" s="4"/>
    </row>
    <row r="80" spans="1:13" ht="15.75" customHeight="1" x14ac:dyDescent="0.25">
      <c r="A80" s="423"/>
      <c r="B80" s="424" t="s">
        <v>133</v>
      </c>
      <c r="C80" s="426"/>
      <c r="D80" s="426"/>
      <c r="E80" s="461" t="s">
        <v>134</v>
      </c>
      <c r="F80" s="428"/>
      <c r="G80" s="426"/>
      <c r="H80" s="448"/>
      <c r="I80" s="435"/>
      <c r="J80" s="23"/>
      <c r="K80" s="4"/>
      <c r="L80" s="4"/>
      <c r="M80" s="4"/>
    </row>
    <row r="81" spans="1:13" ht="15.75" customHeight="1" x14ac:dyDescent="0.25">
      <c r="A81" s="79">
        <v>41</v>
      </c>
      <c r="B81" s="33">
        <v>10481</v>
      </c>
      <c r="C81" s="75" t="s">
        <v>151</v>
      </c>
      <c r="D81" s="33" t="s">
        <v>135</v>
      </c>
      <c r="E81" s="462" t="s">
        <v>136</v>
      </c>
      <c r="F81" s="463" t="s">
        <v>23</v>
      </c>
      <c r="G81" s="327">
        <v>15</v>
      </c>
      <c r="H81" s="464">
        <v>3525</v>
      </c>
      <c r="I81" s="465">
        <f t="shared" ref="I81:I88" si="17">+J81*G81</f>
        <v>68922.562500000015</v>
      </c>
      <c r="J81" s="3">
        <f t="shared" ref="J81:J88" si="18">+H81*$J$9</f>
        <v>4594.8375000000005</v>
      </c>
      <c r="K81" s="4"/>
      <c r="L81" s="4"/>
      <c r="M81" s="4"/>
    </row>
    <row r="82" spans="1:13" ht="15.75" customHeight="1" x14ac:dyDescent="0.25">
      <c r="A82" s="79">
        <v>42</v>
      </c>
      <c r="B82" s="79" t="s">
        <v>137</v>
      </c>
      <c r="C82" s="75" t="s">
        <v>151</v>
      </c>
      <c r="D82" s="33" t="s">
        <v>135</v>
      </c>
      <c r="E82" s="466" t="s">
        <v>138</v>
      </c>
      <c r="F82" s="467" t="s">
        <v>23</v>
      </c>
      <c r="G82" s="327">
        <v>15</v>
      </c>
      <c r="H82" s="468">
        <v>3544</v>
      </c>
      <c r="I82" s="465">
        <f t="shared" si="17"/>
        <v>69294.06</v>
      </c>
      <c r="J82" s="3">
        <f t="shared" si="18"/>
        <v>4619.6040000000003</v>
      </c>
      <c r="K82" s="4"/>
      <c r="L82" s="4"/>
      <c r="M82" s="4"/>
    </row>
    <row r="83" spans="1:13" ht="15.75" customHeight="1" x14ac:dyDescent="0.25">
      <c r="A83" s="79">
        <v>43</v>
      </c>
      <c r="B83" s="79">
        <v>15139</v>
      </c>
      <c r="C83" s="75" t="s">
        <v>151</v>
      </c>
      <c r="D83" s="33" t="s">
        <v>135</v>
      </c>
      <c r="E83" s="466" t="s">
        <v>139</v>
      </c>
      <c r="F83" s="467" t="s">
        <v>23</v>
      </c>
      <c r="G83" s="327">
        <v>20</v>
      </c>
      <c r="H83" s="468">
        <v>3559</v>
      </c>
      <c r="I83" s="465">
        <f t="shared" si="17"/>
        <v>92783.13</v>
      </c>
      <c r="J83" s="3">
        <f t="shared" si="18"/>
        <v>4639.1565000000001</v>
      </c>
      <c r="K83" s="4"/>
      <c r="L83" s="4"/>
      <c r="M83" s="4"/>
    </row>
    <row r="84" spans="1:13" ht="15.75" customHeight="1" x14ac:dyDescent="0.25">
      <c r="A84" s="79">
        <v>44</v>
      </c>
      <c r="B84" s="330">
        <v>6257</v>
      </c>
      <c r="C84" s="75" t="s">
        <v>151</v>
      </c>
      <c r="D84" s="33" t="s">
        <v>135</v>
      </c>
      <c r="E84" s="466" t="s">
        <v>140</v>
      </c>
      <c r="F84" s="467" t="s">
        <v>23</v>
      </c>
      <c r="G84" s="327">
        <v>30</v>
      </c>
      <c r="H84" s="468">
        <v>19650</v>
      </c>
      <c r="I84" s="465">
        <f t="shared" si="17"/>
        <v>768413.25</v>
      </c>
      <c r="J84" s="3">
        <f t="shared" si="18"/>
        <v>25613.775000000001</v>
      </c>
      <c r="K84" s="4"/>
      <c r="L84" s="4"/>
      <c r="M84" s="4"/>
    </row>
    <row r="85" spans="1:13" ht="15.75" customHeight="1" x14ac:dyDescent="0.25">
      <c r="A85" s="79">
        <v>45</v>
      </c>
      <c r="B85" s="330">
        <v>6258</v>
      </c>
      <c r="C85" s="75" t="s">
        <v>151</v>
      </c>
      <c r="D85" s="33" t="s">
        <v>135</v>
      </c>
      <c r="E85" s="466" t="s">
        <v>141</v>
      </c>
      <c r="F85" s="467" t="s">
        <v>23</v>
      </c>
      <c r="G85" s="327">
        <v>15</v>
      </c>
      <c r="H85" s="468">
        <v>29250</v>
      </c>
      <c r="I85" s="465">
        <f t="shared" si="17"/>
        <v>571910.625</v>
      </c>
      <c r="J85" s="3">
        <f t="shared" si="18"/>
        <v>38127.375</v>
      </c>
      <c r="K85" s="4"/>
      <c r="L85" s="4"/>
      <c r="M85" s="4"/>
    </row>
    <row r="86" spans="1:13" ht="15.75" customHeight="1" x14ac:dyDescent="0.25">
      <c r="A86" s="79">
        <v>46</v>
      </c>
      <c r="B86" s="330">
        <v>6259</v>
      </c>
      <c r="C86" s="75" t="s">
        <v>151</v>
      </c>
      <c r="D86" s="33" t="s">
        <v>135</v>
      </c>
      <c r="E86" s="466" t="s">
        <v>142</v>
      </c>
      <c r="F86" s="467" t="s">
        <v>23</v>
      </c>
      <c r="G86" s="327">
        <v>15</v>
      </c>
      <c r="H86" s="468">
        <v>51431</v>
      </c>
      <c r="I86" s="465">
        <f t="shared" si="17"/>
        <v>1005604.6274999999</v>
      </c>
      <c r="J86" s="3">
        <f t="shared" si="18"/>
        <v>67040.308499999999</v>
      </c>
      <c r="K86" s="4"/>
      <c r="L86" s="4"/>
      <c r="M86" s="4"/>
    </row>
    <row r="87" spans="1:13" ht="15.75" customHeight="1" x14ac:dyDescent="0.25">
      <c r="A87" s="79">
        <v>47</v>
      </c>
      <c r="B87" s="330">
        <v>6260</v>
      </c>
      <c r="C87" s="75" t="s">
        <v>151</v>
      </c>
      <c r="D87" s="33" t="s">
        <v>135</v>
      </c>
      <c r="E87" s="466" t="s">
        <v>143</v>
      </c>
      <c r="F87" s="467" t="s">
        <v>23</v>
      </c>
      <c r="G87" s="327">
        <v>15</v>
      </c>
      <c r="H87" s="468">
        <v>64984</v>
      </c>
      <c r="I87" s="469">
        <f t="shared" si="17"/>
        <v>1270599.6599999999</v>
      </c>
      <c r="J87" s="3">
        <f t="shared" si="18"/>
        <v>84706.644</v>
      </c>
      <c r="K87" s="4"/>
      <c r="L87" s="4"/>
      <c r="M87" s="4"/>
    </row>
    <row r="88" spans="1:13" ht="15.75" customHeight="1" x14ac:dyDescent="0.25">
      <c r="A88" s="79">
        <v>48</v>
      </c>
      <c r="B88" s="330">
        <v>6261</v>
      </c>
      <c r="C88" s="75" t="s">
        <v>151</v>
      </c>
      <c r="D88" s="33" t="s">
        <v>135</v>
      </c>
      <c r="E88" s="466" t="s">
        <v>144</v>
      </c>
      <c r="F88" s="467" t="s">
        <v>23</v>
      </c>
      <c r="G88" s="327">
        <v>20</v>
      </c>
      <c r="H88" s="468">
        <v>133504</v>
      </c>
      <c r="I88" s="469">
        <f t="shared" si="17"/>
        <v>3480449.2800000003</v>
      </c>
      <c r="J88" s="3">
        <f t="shared" si="18"/>
        <v>174022.46400000001</v>
      </c>
      <c r="K88" s="4"/>
      <c r="L88" s="4"/>
      <c r="M88" s="4"/>
    </row>
    <row r="89" spans="1:13" ht="15.75" customHeight="1" x14ac:dyDescent="0.25">
      <c r="A89" s="444" t="s">
        <v>33</v>
      </c>
      <c r="B89" s="445"/>
      <c r="C89" s="446"/>
      <c r="D89" s="446"/>
      <c r="E89" s="447"/>
      <c r="F89" s="445"/>
      <c r="G89" s="446"/>
      <c r="H89" s="334"/>
      <c r="I89" s="456">
        <f>SUM(I81:I88)</f>
        <v>7327977.1950000003</v>
      </c>
      <c r="J89" s="3"/>
      <c r="K89" s="4"/>
      <c r="L89" s="4"/>
      <c r="M89" s="4"/>
    </row>
    <row r="90" spans="1:13" ht="15.75" customHeight="1" x14ac:dyDescent="0.25">
      <c r="A90" s="63"/>
      <c r="B90" s="64" t="s">
        <v>145</v>
      </c>
      <c r="C90" s="65"/>
      <c r="D90" s="65"/>
      <c r="E90" s="66" t="s">
        <v>146</v>
      </c>
      <c r="F90" s="67"/>
      <c r="G90" s="65"/>
      <c r="H90" s="68"/>
      <c r="I90" s="452"/>
      <c r="J90" s="23"/>
      <c r="K90" s="4"/>
      <c r="L90" s="4"/>
      <c r="M90" s="4"/>
    </row>
    <row r="91" spans="1:13" ht="15.75" customHeight="1" x14ac:dyDescent="0.25">
      <c r="A91" s="31">
        <v>49</v>
      </c>
      <c r="B91" s="32" t="s">
        <v>147</v>
      </c>
      <c r="C91" s="33" t="s">
        <v>21</v>
      </c>
      <c r="D91" s="436"/>
      <c r="E91" s="413" t="s">
        <v>148</v>
      </c>
      <c r="F91" s="438" t="s">
        <v>44</v>
      </c>
      <c r="G91" s="439">
        <v>20</v>
      </c>
      <c r="H91" s="411">
        <v>4074</v>
      </c>
      <c r="I91" s="440">
        <f t="shared" ref="I91:I92" si="19">+J91*G91</f>
        <v>106209.18000000002</v>
      </c>
      <c r="J91" s="3">
        <f t="shared" ref="J91:J92" si="20">+H91*$J$9</f>
        <v>5310.4590000000007</v>
      </c>
      <c r="K91" s="4"/>
      <c r="L91" s="4"/>
      <c r="M91" s="4"/>
    </row>
    <row r="92" spans="1:13" ht="15.75" customHeight="1" x14ac:dyDescent="0.25">
      <c r="A92" s="31">
        <v>50</v>
      </c>
      <c r="B92" s="32" t="s">
        <v>149</v>
      </c>
      <c r="C92" s="33" t="s">
        <v>21</v>
      </c>
      <c r="D92" s="436"/>
      <c r="E92" s="407" t="s">
        <v>150</v>
      </c>
      <c r="F92" s="408" t="s">
        <v>44</v>
      </c>
      <c r="G92" s="327">
        <v>20</v>
      </c>
      <c r="H92" s="409">
        <v>4344</v>
      </c>
      <c r="I92" s="440">
        <f t="shared" si="19"/>
        <v>113248.08000000002</v>
      </c>
      <c r="J92" s="3">
        <f t="shared" si="20"/>
        <v>5662.4040000000005</v>
      </c>
      <c r="K92" s="4"/>
      <c r="L92" s="4"/>
      <c r="M92" s="4"/>
    </row>
    <row r="93" spans="1:13" ht="15.75" customHeight="1" x14ac:dyDescent="0.25">
      <c r="A93" s="444" t="s">
        <v>33</v>
      </c>
      <c r="B93" s="445"/>
      <c r="C93" s="446"/>
      <c r="D93" s="446"/>
      <c r="E93" s="447"/>
      <c r="F93" s="445"/>
      <c r="G93" s="446"/>
      <c r="H93" s="334"/>
      <c r="I93" s="456">
        <f>SUM(I91:I92)</f>
        <v>219457.26000000004</v>
      </c>
      <c r="J93" s="3"/>
      <c r="K93" s="4"/>
      <c r="L93" s="4"/>
      <c r="M93" s="4"/>
    </row>
    <row r="94" spans="1:13" ht="15.75" customHeight="1" x14ac:dyDescent="0.25">
      <c r="A94" s="63"/>
      <c r="B94" s="64" t="s">
        <v>152</v>
      </c>
      <c r="C94" s="65"/>
      <c r="D94" s="65"/>
      <c r="E94" s="66" t="s">
        <v>153</v>
      </c>
      <c r="F94" s="67"/>
      <c r="G94" s="65"/>
      <c r="H94" s="68"/>
      <c r="I94" s="452"/>
      <c r="J94" s="23"/>
      <c r="K94" s="4"/>
      <c r="L94" s="4"/>
      <c r="M94" s="4"/>
    </row>
    <row r="95" spans="1:13" ht="15.75" customHeight="1" x14ac:dyDescent="0.25">
      <c r="A95" s="31">
        <v>51</v>
      </c>
      <c r="B95" s="331">
        <v>11903</v>
      </c>
      <c r="C95" s="33" t="s">
        <v>121</v>
      </c>
      <c r="D95" s="436"/>
      <c r="E95" s="332" t="s">
        <v>154</v>
      </c>
      <c r="F95" s="408" t="s">
        <v>44</v>
      </c>
      <c r="G95" s="327">
        <v>20</v>
      </c>
      <c r="H95" s="409">
        <v>1689</v>
      </c>
      <c r="I95" s="431">
        <f t="shared" ref="I95:I98" si="21">+J95*G95</f>
        <v>44032.229999999996</v>
      </c>
      <c r="J95" s="3">
        <f t="shared" ref="J95:J98" si="22">+H95*$J$9</f>
        <v>2201.6115</v>
      </c>
      <c r="K95" s="4"/>
      <c r="L95" s="4"/>
      <c r="M95" s="4"/>
    </row>
    <row r="96" spans="1:13" ht="15.75" customHeight="1" x14ac:dyDescent="0.25">
      <c r="A96" s="31">
        <v>52</v>
      </c>
      <c r="B96" s="331">
        <v>11904</v>
      </c>
      <c r="C96" s="33" t="s">
        <v>121</v>
      </c>
      <c r="D96" s="436"/>
      <c r="E96" s="332" t="s">
        <v>155</v>
      </c>
      <c r="F96" s="408" t="s">
        <v>44</v>
      </c>
      <c r="G96" s="327">
        <v>20</v>
      </c>
      <c r="H96" s="328">
        <v>2493</v>
      </c>
      <c r="I96" s="431">
        <f t="shared" si="21"/>
        <v>64992.51</v>
      </c>
      <c r="J96" s="3">
        <f t="shared" si="22"/>
        <v>3249.6255000000001</v>
      </c>
      <c r="K96" s="4"/>
      <c r="L96" s="4"/>
      <c r="M96" s="4"/>
    </row>
    <row r="97" spans="1:13" ht="15.75" customHeight="1" x14ac:dyDescent="0.25">
      <c r="A97" s="31">
        <v>53</v>
      </c>
      <c r="B97" s="331">
        <v>11951</v>
      </c>
      <c r="C97" s="33" t="s">
        <v>121</v>
      </c>
      <c r="D97" s="436"/>
      <c r="E97" s="332" t="s">
        <v>157</v>
      </c>
      <c r="F97" s="408" t="s">
        <v>44</v>
      </c>
      <c r="G97" s="327">
        <v>2</v>
      </c>
      <c r="H97" s="409">
        <v>182070</v>
      </c>
      <c r="I97" s="431">
        <f t="shared" si="21"/>
        <v>474656.49000000005</v>
      </c>
      <c r="J97" s="3">
        <f t="shared" si="22"/>
        <v>237328.24500000002</v>
      </c>
      <c r="K97" s="4"/>
      <c r="L97" s="4"/>
      <c r="M97" s="4"/>
    </row>
    <row r="98" spans="1:13" ht="15.75" customHeight="1" x14ac:dyDescent="0.25">
      <c r="A98" s="31">
        <v>54</v>
      </c>
      <c r="B98" s="331">
        <v>11952</v>
      </c>
      <c r="C98" s="33" t="s">
        <v>121</v>
      </c>
      <c r="D98" s="436"/>
      <c r="E98" s="332" t="s">
        <v>158</v>
      </c>
      <c r="F98" s="408" t="s">
        <v>44</v>
      </c>
      <c r="G98" s="327">
        <v>2</v>
      </c>
      <c r="H98" s="409">
        <v>199920</v>
      </c>
      <c r="I98" s="431">
        <f t="shared" si="21"/>
        <v>521191.44000000006</v>
      </c>
      <c r="J98" s="3">
        <f t="shared" si="22"/>
        <v>260595.72000000003</v>
      </c>
      <c r="K98" s="4"/>
      <c r="L98" s="4"/>
      <c r="M98" s="4"/>
    </row>
    <row r="99" spans="1:13" ht="15.75" customHeight="1" x14ac:dyDescent="0.25">
      <c r="A99" s="444" t="s">
        <v>33</v>
      </c>
      <c r="B99" s="445"/>
      <c r="C99" s="446"/>
      <c r="D99" s="446"/>
      <c r="E99" s="447"/>
      <c r="F99" s="445"/>
      <c r="G99" s="446"/>
      <c r="H99" s="334"/>
      <c r="I99" s="456">
        <f>SUM(I95:I98)</f>
        <v>1104872.67</v>
      </c>
      <c r="J99" s="3"/>
      <c r="K99" s="4"/>
      <c r="L99" s="4"/>
      <c r="M99" s="4"/>
    </row>
    <row r="100" spans="1:13" ht="15.75" customHeight="1" x14ac:dyDescent="0.25">
      <c r="A100" s="63"/>
      <c r="B100" s="64" t="s">
        <v>159</v>
      </c>
      <c r="C100" s="65"/>
      <c r="D100" s="65"/>
      <c r="E100" s="66" t="s">
        <v>160</v>
      </c>
      <c r="F100" s="67"/>
      <c r="G100" s="65"/>
      <c r="H100" s="68"/>
      <c r="I100" s="452"/>
      <c r="J100" s="23"/>
      <c r="K100" s="4"/>
      <c r="L100" s="4"/>
      <c r="M100" s="4"/>
    </row>
    <row r="101" spans="1:13" ht="15.75" customHeight="1" x14ac:dyDescent="0.25">
      <c r="A101" s="31">
        <v>55</v>
      </c>
      <c r="B101" s="32" t="s">
        <v>161</v>
      </c>
      <c r="C101" s="33" t="s">
        <v>21</v>
      </c>
      <c r="D101" s="436"/>
      <c r="E101" s="332" t="s">
        <v>162</v>
      </c>
      <c r="F101" s="408" t="s">
        <v>44</v>
      </c>
      <c r="G101" s="327">
        <v>5</v>
      </c>
      <c r="H101" s="409">
        <v>3988</v>
      </c>
      <c r="I101" s="431">
        <f t="shared" ref="I101:I105" si="23">+J101*G101</f>
        <v>25991.79</v>
      </c>
      <c r="J101" s="3">
        <f t="shared" ref="J101:J105" si="24">+H101*$J$9</f>
        <v>5198.3580000000002</v>
      </c>
      <c r="K101" s="4"/>
      <c r="L101" s="4"/>
      <c r="M101" s="4"/>
    </row>
    <row r="102" spans="1:13" ht="15.75" customHeight="1" x14ac:dyDescent="0.25">
      <c r="A102" s="31">
        <v>56</v>
      </c>
      <c r="B102" s="32" t="s">
        <v>163</v>
      </c>
      <c r="C102" s="33" t="s">
        <v>21</v>
      </c>
      <c r="D102" s="436"/>
      <c r="E102" s="332" t="s">
        <v>164</v>
      </c>
      <c r="F102" s="408" t="s">
        <v>44</v>
      </c>
      <c r="G102" s="327">
        <v>5</v>
      </c>
      <c r="H102" s="409">
        <v>3991</v>
      </c>
      <c r="I102" s="431">
        <f t="shared" si="23"/>
        <v>26011.342499999999</v>
      </c>
      <c r="J102" s="3">
        <f t="shared" si="24"/>
        <v>5202.2685000000001</v>
      </c>
      <c r="K102" s="4"/>
      <c r="L102" s="4"/>
      <c r="M102" s="4"/>
    </row>
    <row r="103" spans="1:13" ht="15.75" customHeight="1" x14ac:dyDescent="0.25">
      <c r="A103" s="31">
        <v>57</v>
      </c>
      <c r="B103" s="32" t="s">
        <v>165</v>
      </c>
      <c r="C103" s="33" t="s">
        <v>21</v>
      </c>
      <c r="D103" s="436"/>
      <c r="E103" s="332" t="s">
        <v>166</v>
      </c>
      <c r="F103" s="408" t="s">
        <v>44</v>
      </c>
      <c r="G103" s="327">
        <v>5</v>
      </c>
      <c r="H103" s="409">
        <v>3994</v>
      </c>
      <c r="I103" s="431">
        <f t="shared" si="23"/>
        <v>26030.895</v>
      </c>
      <c r="J103" s="3">
        <f t="shared" si="24"/>
        <v>5206.1790000000001</v>
      </c>
      <c r="K103" s="4"/>
      <c r="L103" s="4"/>
      <c r="M103" s="4"/>
    </row>
    <row r="104" spans="1:13" ht="15.75" customHeight="1" x14ac:dyDescent="0.25">
      <c r="A104" s="31">
        <v>58</v>
      </c>
      <c r="B104" s="32" t="s">
        <v>167</v>
      </c>
      <c r="C104" s="33" t="s">
        <v>21</v>
      </c>
      <c r="D104" s="436"/>
      <c r="E104" s="332" t="s">
        <v>168</v>
      </c>
      <c r="F104" s="408" t="s">
        <v>44</v>
      </c>
      <c r="G104" s="327">
        <v>5</v>
      </c>
      <c r="H104" s="409">
        <v>4013</v>
      </c>
      <c r="I104" s="431">
        <f t="shared" si="23"/>
        <v>26154.727500000005</v>
      </c>
      <c r="J104" s="3">
        <f t="shared" si="24"/>
        <v>5230.9455000000007</v>
      </c>
      <c r="K104" s="4"/>
      <c r="L104" s="4"/>
      <c r="M104" s="4"/>
    </row>
    <row r="105" spans="1:13" ht="15.75" customHeight="1" x14ac:dyDescent="0.25">
      <c r="A105" s="31">
        <v>59</v>
      </c>
      <c r="B105" s="32" t="s">
        <v>169</v>
      </c>
      <c r="C105" s="33" t="s">
        <v>21</v>
      </c>
      <c r="D105" s="436"/>
      <c r="E105" s="332" t="s">
        <v>170</v>
      </c>
      <c r="F105" s="408" t="s">
        <v>44</v>
      </c>
      <c r="G105" s="327">
        <v>6</v>
      </c>
      <c r="H105" s="409">
        <v>4074</v>
      </c>
      <c r="I105" s="431">
        <f t="shared" si="23"/>
        <v>31862.754000000004</v>
      </c>
      <c r="J105" s="3">
        <f t="shared" si="24"/>
        <v>5310.4590000000007</v>
      </c>
      <c r="K105" s="4"/>
      <c r="L105" s="4"/>
      <c r="M105" s="4"/>
    </row>
    <row r="106" spans="1:13" ht="15.75" customHeight="1" x14ac:dyDescent="0.25">
      <c r="A106" s="444" t="s">
        <v>33</v>
      </c>
      <c r="B106" s="445"/>
      <c r="C106" s="446"/>
      <c r="D106" s="446"/>
      <c r="E106" s="447"/>
      <c r="F106" s="445"/>
      <c r="G106" s="446"/>
      <c r="H106" s="334"/>
      <c r="I106" s="456">
        <f>SUM(I101:I105)</f>
        <v>136051.50900000002</v>
      </c>
      <c r="J106" s="3"/>
      <c r="K106" s="4"/>
      <c r="L106" s="4"/>
      <c r="M106" s="4"/>
    </row>
    <row r="107" spans="1:13" ht="15.75" customHeight="1" x14ac:dyDescent="0.25">
      <c r="A107" s="63"/>
      <c r="B107" s="513" t="s">
        <v>171</v>
      </c>
      <c r="C107" s="65"/>
      <c r="D107" s="65"/>
      <c r="E107" s="66" t="s">
        <v>172</v>
      </c>
      <c r="F107" s="67"/>
      <c r="G107" s="65"/>
      <c r="H107" s="68"/>
      <c r="I107" s="452"/>
      <c r="J107" s="23"/>
      <c r="K107" s="4"/>
      <c r="L107" s="4"/>
      <c r="M107" s="4"/>
    </row>
    <row r="108" spans="1:13" ht="15.75" customHeight="1" x14ac:dyDescent="0.25">
      <c r="A108" s="31">
        <v>60</v>
      </c>
      <c r="B108" s="96" t="s">
        <v>173</v>
      </c>
      <c r="C108" s="33" t="s">
        <v>21</v>
      </c>
      <c r="D108" s="436"/>
      <c r="E108" s="332" t="s">
        <v>174</v>
      </c>
      <c r="F108" s="408" t="s">
        <v>44</v>
      </c>
      <c r="G108" s="327">
        <v>1</v>
      </c>
      <c r="H108" s="409">
        <v>290033</v>
      </c>
      <c r="I108" s="431">
        <f t="shared" ref="I108:I115" si="25">+J108*G108</f>
        <v>378058.01550000004</v>
      </c>
      <c r="J108" s="3">
        <f t="shared" ref="J108:J115" si="26">+H108*$J$9</f>
        <v>378058.01550000004</v>
      </c>
      <c r="K108" s="4"/>
      <c r="L108" s="4"/>
      <c r="M108" s="4"/>
    </row>
    <row r="109" spans="1:13" ht="15.75" customHeight="1" x14ac:dyDescent="0.25">
      <c r="A109" s="31">
        <v>61</v>
      </c>
      <c r="B109" s="96" t="s">
        <v>175</v>
      </c>
      <c r="C109" s="33" t="s">
        <v>21</v>
      </c>
      <c r="D109" s="436"/>
      <c r="E109" s="332" t="s">
        <v>176</v>
      </c>
      <c r="F109" s="408" t="s">
        <v>44</v>
      </c>
      <c r="G109" s="327">
        <v>1</v>
      </c>
      <c r="H109" s="409">
        <v>470735</v>
      </c>
      <c r="I109" s="431">
        <f t="shared" si="25"/>
        <v>613603.07250000001</v>
      </c>
      <c r="J109" s="3">
        <f t="shared" si="26"/>
        <v>613603.07250000001</v>
      </c>
      <c r="K109" s="4"/>
      <c r="L109" s="4"/>
      <c r="M109" s="4"/>
    </row>
    <row r="110" spans="1:13" ht="15.75" customHeight="1" x14ac:dyDescent="0.25">
      <c r="A110" s="31">
        <v>62</v>
      </c>
      <c r="B110" s="96" t="s">
        <v>177</v>
      </c>
      <c r="C110" s="33" t="s">
        <v>21</v>
      </c>
      <c r="D110" s="436"/>
      <c r="E110" s="332" t="s">
        <v>178</v>
      </c>
      <c r="F110" s="408" t="s">
        <v>44</v>
      </c>
      <c r="G110" s="327">
        <v>1</v>
      </c>
      <c r="H110" s="409">
        <v>684497</v>
      </c>
      <c r="I110" s="431">
        <f t="shared" si="25"/>
        <v>892241.83950000012</v>
      </c>
      <c r="J110" s="3">
        <f t="shared" si="26"/>
        <v>892241.83950000012</v>
      </c>
      <c r="K110" s="4"/>
      <c r="L110" s="4"/>
      <c r="M110" s="4"/>
    </row>
    <row r="111" spans="1:13" ht="15.75" customHeight="1" x14ac:dyDescent="0.25">
      <c r="A111" s="31">
        <v>63</v>
      </c>
      <c r="B111" s="96" t="s">
        <v>179</v>
      </c>
      <c r="C111" s="33" t="s">
        <v>21</v>
      </c>
      <c r="D111" s="436"/>
      <c r="E111" s="332" t="s">
        <v>180</v>
      </c>
      <c r="F111" s="408" t="s">
        <v>44</v>
      </c>
      <c r="G111" s="327">
        <v>1</v>
      </c>
      <c r="H111" s="409">
        <v>991029</v>
      </c>
      <c r="I111" s="431">
        <f t="shared" si="25"/>
        <v>1291806.3015000001</v>
      </c>
      <c r="J111" s="3">
        <f t="shared" si="26"/>
        <v>1291806.3015000001</v>
      </c>
      <c r="K111" s="4"/>
      <c r="L111" s="4"/>
      <c r="M111" s="4"/>
    </row>
    <row r="112" spans="1:13" ht="15.75" customHeight="1" x14ac:dyDescent="0.25">
      <c r="A112" s="31">
        <v>64</v>
      </c>
      <c r="B112" s="96" t="s">
        <v>553</v>
      </c>
      <c r="C112" s="33" t="s">
        <v>21</v>
      </c>
      <c r="D112" s="436"/>
      <c r="E112" s="332" t="s">
        <v>182</v>
      </c>
      <c r="F112" s="408" t="s">
        <v>44</v>
      </c>
      <c r="G112" s="327">
        <v>1</v>
      </c>
      <c r="H112" s="409">
        <v>444114</v>
      </c>
      <c r="I112" s="431">
        <f t="shared" si="25"/>
        <v>578902.59900000005</v>
      </c>
      <c r="J112" s="3">
        <f t="shared" si="26"/>
        <v>578902.59900000005</v>
      </c>
      <c r="K112" s="4"/>
      <c r="L112" s="4"/>
      <c r="M112" s="4"/>
    </row>
    <row r="113" spans="1:13" ht="15.75" customHeight="1" x14ac:dyDescent="0.25">
      <c r="A113" s="31">
        <v>65</v>
      </c>
      <c r="B113" s="96" t="s">
        <v>181</v>
      </c>
      <c r="C113" s="33" t="s">
        <v>21</v>
      </c>
      <c r="D113" s="436"/>
      <c r="E113" s="332" t="s">
        <v>184</v>
      </c>
      <c r="F113" s="408" t="s">
        <v>44</v>
      </c>
      <c r="G113" s="327">
        <v>1</v>
      </c>
      <c r="H113" s="409">
        <v>710834</v>
      </c>
      <c r="I113" s="431">
        <f t="shared" si="25"/>
        <v>926572.11900000006</v>
      </c>
      <c r="J113" s="3">
        <f t="shared" si="26"/>
        <v>926572.11900000006</v>
      </c>
      <c r="K113" s="4"/>
      <c r="L113" s="4"/>
      <c r="M113" s="4"/>
    </row>
    <row r="114" spans="1:13" ht="15.75" customHeight="1" x14ac:dyDescent="0.25">
      <c r="A114" s="31">
        <v>66</v>
      </c>
      <c r="B114" s="96" t="s">
        <v>183</v>
      </c>
      <c r="C114" s="33" t="s">
        <v>21</v>
      </c>
      <c r="D114" s="436"/>
      <c r="E114" s="332" t="s">
        <v>186</v>
      </c>
      <c r="F114" s="408" t="s">
        <v>44</v>
      </c>
      <c r="G114" s="327">
        <v>1</v>
      </c>
      <c r="H114" s="409">
        <v>988604</v>
      </c>
      <c r="I114" s="431">
        <f t="shared" si="25"/>
        <v>1288645.314</v>
      </c>
      <c r="J114" s="3">
        <f t="shared" si="26"/>
        <v>1288645.314</v>
      </c>
      <c r="K114" s="4"/>
      <c r="L114" s="4"/>
      <c r="M114" s="4"/>
    </row>
    <row r="115" spans="1:13" ht="15.75" customHeight="1" x14ac:dyDescent="0.25">
      <c r="A115" s="31">
        <v>67</v>
      </c>
      <c r="B115" s="96" t="s">
        <v>185</v>
      </c>
      <c r="C115" s="33" t="s">
        <v>21</v>
      </c>
      <c r="D115" s="436"/>
      <c r="E115" s="441" t="s">
        <v>187</v>
      </c>
      <c r="F115" s="442" t="s">
        <v>44</v>
      </c>
      <c r="G115" s="327">
        <v>2</v>
      </c>
      <c r="H115" s="412">
        <v>1462162</v>
      </c>
      <c r="I115" s="431">
        <f t="shared" si="25"/>
        <v>3811856.3340000003</v>
      </c>
      <c r="J115" s="3">
        <f t="shared" si="26"/>
        <v>1905928.1670000001</v>
      </c>
      <c r="K115" s="4"/>
      <c r="L115" s="4"/>
      <c r="M115" s="4"/>
    </row>
    <row r="116" spans="1:13" ht="15.75" customHeight="1" x14ac:dyDescent="0.25">
      <c r="A116" s="444" t="s">
        <v>33</v>
      </c>
      <c r="B116" s="445"/>
      <c r="C116" s="446"/>
      <c r="D116" s="446"/>
      <c r="E116" s="447"/>
      <c r="F116" s="445"/>
      <c r="G116" s="446"/>
      <c r="H116" s="334"/>
      <c r="I116" s="456">
        <f>SUM(I108:I115)</f>
        <v>9781685.5950000007</v>
      </c>
      <c r="J116" s="3"/>
      <c r="K116" s="4"/>
      <c r="L116" s="4"/>
      <c r="M116" s="4"/>
    </row>
    <row r="117" spans="1:13" ht="32.25" customHeight="1" x14ac:dyDescent="0.25">
      <c r="A117" s="63"/>
      <c r="B117" s="513" t="s">
        <v>188</v>
      </c>
      <c r="C117" s="65"/>
      <c r="D117" s="65"/>
      <c r="E117" s="66" t="s">
        <v>189</v>
      </c>
      <c r="F117" s="67"/>
      <c r="G117" s="65"/>
      <c r="H117" s="68"/>
      <c r="I117" s="452"/>
      <c r="J117" s="23"/>
      <c r="K117" s="4"/>
      <c r="L117" s="4"/>
      <c r="M117" s="4"/>
    </row>
    <row r="118" spans="1:13" ht="15.75" customHeight="1" x14ac:dyDescent="0.25">
      <c r="A118" s="31">
        <v>68</v>
      </c>
      <c r="B118" s="96" t="s">
        <v>190</v>
      </c>
      <c r="C118" s="33" t="s">
        <v>21</v>
      </c>
      <c r="D118" s="436"/>
      <c r="E118" s="437" t="s">
        <v>191</v>
      </c>
      <c r="F118" s="438" t="s">
        <v>44</v>
      </c>
      <c r="G118" s="439">
        <v>1</v>
      </c>
      <c r="H118" s="411">
        <v>1020975</v>
      </c>
      <c r="I118" s="440">
        <f t="shared" ref="I118:I121" si="27">+J118*G118</f>
        <v>1330840.9125000001</v>
      </c>
      <c r="J118" s="3">
        <f t="shared" ref="J118:J121" si="28">+H118*$J$9</f>
        <v>1330840.9125000001</v>
      </c>
      <c r="K118" s="4"/>
      <c r="L118" s="4"/>
      <c r="M118" s="4"/>
    </row>
    <row r="119" spans="1:13" ht="15.75" customHeight="1" x14ac:dyDescent="0.25">
      <c r="A119" s="31">
        <v>69</v>
      </c>
      <c r="B119" s="96" t="s">
        <v>192</v>
      </c>
      <c r="C119" s="33" t="s">
        <v>21</v>
      </c>
      <c r="D119" s="436"/>
      <c r="E119" s="332" t="s">
        <v>193</v>
      </c>
      <c r="F119" s="408" t="s">
        <v>44</v>
      </c>
      <c r="G119" s="439">
        <v>1</v>
      </c>
      <c r="H119" s="409">
        <v>1492674</v>
      </c>
      <c r="I119" s="440">
        <f t="shared" si="27"/>
        <v>1945700.5590000001</v>
      </c>
      <c r="J119" s="3">
        <f t="shared" si="28"/>
        <v>1945700.5590000001</v>
      </c>
      <c r="K119" s="4"/>
      <c r="L119" s="4"/>
      <c r="M119" s="4"/>
    </row>
    <row r="120" spans="1:13" ht="15.75" customHeight="1" x14ac:dyDescent="0.25">
      <c r="A120" s="31">
        <v>70</v>
      </c>
      <c r="B120" s="96" t="s">
        <v>194</v>
      </c>
      <c r="C120" s="33" t="s">
        <v>21</v>
      </c>
      <c r="D120" s="436"/>
      <c r="E120" s="332" t="s">
        <v>195</v>
      </c>
      <c r="F120" s="408" t="s">
        <v>44</v>
      </c>
      <c r="G120" s="439">
        <v>1</v>
      </c>
      <c r="H120" s="409">
        <v>1818565</v>
      </c>
      <c r="I120" s="440">
        <f t="shared" si="27"/>
        <v>2370499.4775</v>
      </c>
      <c r="J120" s="3">
        <f t="shared" si="28"/>
        <v>2370499.4775</v>
      </c>
      <c r="K120" s="4"/>
      <c r="L120" s="4"/>
      <c r="M120" s="4"/>
    </row>
    <row r="121" spans="1:13" ht="15.75" customHeight="1" x14ac:dyDescent="0.25">
      <c r="A121" s="31">
        <v>71</v>
      </c>
      <c r="B121" s="96" t="s">
        <v>196</v>
      </c>
      <c r="C121" s="33" t="s">
        <v>21</v>
      </c>
      <c r="D121" s="436"/>
      <c r="E121" s="332" t="s">
        <v>197</v>
      </c>
      <c r="F121" s="408" t="s">
        <v>44</v>
      </c>
      <c r="G121" s="327">
        <v>2</v>
      </c>
      <c r="H121" s="409">
        <v>3022810</v>
      </c>
      <c r="I121" s="440">
        <f t="shared" si="27"/>
        <v>7880465.6700000009</v>
      </c>
      <c r="J121" s="3">
        <f t="shared" si="28"/>
        <v>3940232.8350000004</v>
      </c>
      <c r="K121" s="4"/>
      <c r="L121" s="4"/>
      <c r="M121" s="4"/>
    </row>
    <row r="122" spans="1:13" ht="15.75" customHeight="1" x14ac:dyDescent="0.25">
      <c r="A122" s="444" t="s">
        <v>33</v>
      </c>
      <c r="B122" s="445"/>
      <c r="C122" s="446"/>
      <c r="D122" s="446"/>
      <c r="E122" s="447"/>
      <c r="F122" s="445"/>
      <c r="G122" s="446"/>
      <c r="H122" s="334"/>
      <c r="I122" s="456">
        <f>SUM(I118:I121)</f>
        <v>13527506.619000001</v>
      </c>
      <c r="J122" s="3"/>
      <c r="K122" s="4"/>
      <c r="L122" s="4"/>
      <c r="M122" s="4"/>
    </row>
    <row r="123" spans="1:13" ht="15.75" customHeight="1" x14ac:dyDescent="0.25">
      <c r="A123" s="63"/>
      <c r="B123" s="513" t="s">
        <v>198</v>
      </c>
      <c r="C123" s="65"/>
      <c r="D123" s="65"/>
      <c r="E123" s="66" t="s">
        <v>199</v>
      </c>
      <c r="F123" s="67"/>
      <c r="G123" s="65"/>
      <c r="H123" s="68"/>
      <c r="I123" s="452"/>
      <c r="J123" s="23"/>
      <c r="K123" s="4"/>
      <c r="L123" s="4"/>
      <c r="M123" s="4"/>
    </row>
    <row r="124" spans="1:13" ht="15.75" customHeight="1" x14ac:dyDescent="0.25">
      <c r="A124" s="31">
        <v>72</v>
      </c>
      <c r="B124" s="96" t="s">
        <v>200</v>
      </c>
      <c r="C124" s="33" t="s">
        <v>21</v>
      </c>
      <c r="D124" s="436"/>
      <c r="E124" s="332" t="s">
        <v>201</v>
      </c>
      <c r="F124" s="408" t="s">
        <v>44</v>
      </c>
      <c r="G124" s="327">
        <v>10</v>
      </c>
      <c r="H124" s="409">
        <v>17708</v>
      </c>
      <c r="I124" s="431">
        <f t="shared" ref="I124:I129" si="29">+J124*G124</f>
        <v>230823.78</v>
      </c>
      <c r="J124" s="3">
        <f t="shared" ref="J124:J129" si="30">+H124*$J$9</f>
        <v>23082.378000000001</v>
      </c>
      <c r="K124" s="4"/>
      <c r="L124" s="4"/>
      <c r="M124" s="4"/>
    </row>
    <row r="125" spans="1:13" ht="15.75" customHeight="1" x14ac:dyDescent="0.25">
      <c r="A125" s="31">
        <v>73</v>
      </c>
      <c r="B125" s="96" t="s">
        <v>202</v>
      </c>
      <c r="C125" s="33" t="s">
        <v>21</v>
      </c>
      <c r="D125" s="436"/>
      <c r="E125" s="332" t="s">
        <v>203</v>
      </c>
      <c r="F125" s="408" t="s">
        <v>44</v>
      </c>
      <c r="G125" s="327">
        <v>20</v>
      </c>
      <c r="H125" s="409">
        <v>22635</v>
      </c>
      <c r="I125" s="431">
        <f t="shared" si="29"/>
        <v>590094.45000000007</v>
      </c>
      <c r="J125" s="3">
        <f t="shared" si="30"/>
        <v>29504.722500000003</v>
      </c>
      <c r="K125" s="4"/>
      <c r="L125" s="4"/>
      <c r="M125" s="4"/>
    </row>
    <row r="126" spans="1:13" ht="15.75" customHeight="1" x14ac:dyDescent="0.25">
      <c r="A126" s="31">
        <v>74</v>
      </c>
      <c r="B126" s="96" t="s">
        <v>204</v>
      </c>
      <c r="C126" s="33" t="s">
        <v>21</v>
      </c>
      <c r="D126" s="436"/>
      <c r="E126" s="332" t="s">
        <v>205</v>
      </c>
      <c r="F126" s="408" t="s">
        <v>44</v>
      </c>
      <c r="G126" s="327">
        <v>10</v>
      </c>
      <c r="H126" s="409">
        <v>29689</v>
      </c>
      <c r="I126" s="431">
        <f t="shared" si="29"/>
        <v>386996.11500000005</v>
      </c>
      <c r="J126" s="3">
        <f t="shared" si="30"/>
        <v>38699.611500000006</v>
      </c>
      <c r="K126" s="4"/>
      <c r="L126" s="4"/>
      <c r="M126" s="4"/>
    </row>
    <row r="127" spans="1:13" ht="15.75" customHeight="1" x14ac:dyDescent="0.25">
      <c r="A127" s="31">
        <v>75</v>
      </c>
      <c r="B127" s="96" t="s">
        <v>206</v>
      </c>
      <c r="C127" s="33" t="s">
        <v>21</v>
      </c>
      <c r="D127" s="436"/>
      <c r="E127" s="332" t="s">
        <v>207</v>
      </c>
      <c r="F127" s="408" t="s">
        <v>44</v>
      </c>
      <c r="G127" s="327">
        <v>10</v>
      </c>
      <c r="H127" s="409">
        <v>38537</v>
      </c>
      <c r="I127" s="431">
        <f t="shared" si="29"/>
        <v>502329.79500000004</v>
      </c>
      <c r="J127" s="3">
        <f t="shared" si="30"/>
        <v>50232.979500000001</v>
      </c>
      <c r="K127" s="4"/>
      <c r="L127" s="4"/>
      <c r="M127" s="4"/>
    </row>
    <row r="128" spans="1:13" ht="15.75" customHeight="1" x14ac:dyDescent="0.25">
      <c r="A128" s="31">
        <v>76</v>
      </c>
      <c r="B128" s="96" t="s">
        <v>208</v>
      </c>
      <c r="C128" s="33" t="s">
        <v>21</v>
      </c>
      <c r="D128" s="436"/>
      <c r="E128" s="332" t="s">
        <v>209</v>
      </c>
      <c r="F128" s="408" t="s">
        <v>44</v>
      </c>
      <c r="G128" s="327">
        <v>10</v>
      </c>
      <c r="H128" s="409">
        <v>49750</v>
      </c>
      <c r="I128" s="431">
        <f t="shared" si="29"/>
        <v>648491.25000000012</v>
      </c>
      <c r="J128" s="3">
        <f t="shared" si="30"/>
        <v>64849.125000000007</v>
      </c>
      <c r="K128" s="4"/>
      <c r="L128" s="4"/>
      <c r="M128" s="4"/>
    </row>
    <row r="129" spans="1:13" ht="15.75" customHeight="1" x14ac:dyDescent="0.25">
      <c r="A129" s="31">
        <v>77</v>
      </c>
      <c r="B129" s="96" t="s">
        <v>210</v>
      </c>
      <c r="C129" s="33" t="s">
        <v>21</v>
      </c>
      <c r="D129" s="436"/>
      <c r="E129" s="332" t="s">
        <v>211</v>
      </c>
      <c r="F129" s="408" t="s">
        <v>44</v>
      </c>
      <c r="G129" s="327">
        <v>10</v>
      </c>
      <c r="H129" s="409">
        <v>75445</v>
      </c>
      <c r="I129" s="431">
        <f t="shared" si="29"/>
        <v>983425.57500000007</v>
      </c>
      <c r="J129" s="3">
        <f t="shared" si="30"/>
        <v>98342.55750000001</v>
      </c>
      <c r="K129" s="4"/>
      <c r="L129" s="4"/>
      <c r="M129" s="4"/>
    </row>
    <row r="130" spans="1:13" ht="15.75" customHeight="1" x14ac:dyDescent="0.25">
      <c r="A130" s="444" t="s">
        <v>33</v>
      </c>
      <c r="B130" s="445"/>
      <c r="C130" s="446"/>
      <c r="D130" s="446"/>
      <c r="E130" s="447"/>
      <c r="F130" s="445"/>
      <c r="G130" s="446"/>
      <c r="H130" s="334"/>
      <c r="I130" s="456">
        <f>SUM(I124:I129)</f>
        <v>3342160.9650000003</v>
      </c>
      <c r="J130" s="3"/>
      <c r="K130" s="4"/>
      <c r="L130" s="4"/>
      <c r="M130" s="4"/>
    </row>
    <row r="131" spans="1:13" ht="15.75" customHeight="1" x14ac:dyDescent="0.25">
      <c r="A131" s="63"/>
      <c r="B131" s="513" t="s">
        <v>212</v>
      </c>
      <c r="C131" s="65"/>
      <c r="D131" s="65"/>
      <c r="E131" s="66" t="s">
        <v>213</v>
      </c>
      <c r="F131" s="67"/>
      <c r="G131" s="65"/>
      <c r="H131" s="68"/>
      <c r="I131" s="452"/>
      <c r="J131" s="23"/>
      <c r="K131" s="4"/>
      <c r="L131" s="4"/>
      <c r="M131" s="4"/>
    </row>
    <row r="132" spans="1:13" ht="15.75" customHeight="1" x14ac:dyDescent="0.25">
      <c r="A132" s="31">
        <v>78</v>
      </c>
      <c r="B132" s="96" t="s">
        <v>214</v>
      </c>
      <c r="C132" s="33" t="s">
        <v>21</v>
      </c>
      <c r="D132" s="436"/>
      <c r="E132" s="332" t="s">
        <v>215</v>
      </c>
      <c r="F132" s="408" t="s">
        <v>44</v>
      </c>
      <c r="G132" s="327">
        <v>1</v>
      </c>
      <c r="H132" s="409">
        <v>134298</v>
      </c>
      <c r="I132" s="431">
        <f t="shared" ref="I132:I138" si="31">+J132*G132</f>
        <v>175057.443</v>
      </c>
      <c r="J132" s="3">
        <f t="shared" ref="J132:J138" si="32">+H132*$J$9</f>
        <v>175057.443</v>
      </c>
      <c r="K132" s="4"/>
      <c r="L132" s="4"/>
      <c r="M132" s="4"/>
    </row>
    <row r="133" spans="1:13" ht="15.75" customHeight="1" x14ac:dyDescent="0.25">
      <c r="A133" s="31">
        <v>79</v>
      </c>
      <c r="B133" s="96" t="s">
        <v>216</v>
      </c>
      <c r="C133" s="33" t="s">
        <v>21</v>
      </c>
      <c r="D133" s="436"/>
      <c r="E133" s="332" t="s">
        <v>217</v>
      </c>
      <c r="F133" s="408" t="s">
        <v>44</v>
      </c>
      <c r="G133" s="327">
        <v>1</v>
      </c>
      <c r="H133" s="409">
        <v>156007</v>
      </c>
      <c r="I133" s="431">
        <f t="shared" si="31"/>
        <v>203355.12450000001</v>
      </c>
      <c r="J133" s="3">
        <f t="shared" si="32"/>
        <v>203355.12450000001</v>
      </c>
      <c r="K133" s="4"/>
      <c r="L133" s="4"/>
      <c r="M133" s="4"/>
    </row>
    <row r="134" spans="1:13" ht="15.75" customHeight="1" x14ac:dyDescent="0.25">
      <c r="A134" s="31">
        <v>80</v>
      </c>
      <c r="B134" s="96" t="s">
        <v>218</v>
      </c>
      <c r="C134" s="33" t="s">
        <v>21</v>
      </c>
      <c r="D134" s="436"/>
      <c r="E134" s="332" t="s">
        <v>219</v>
      </c>
      <c r="F134" s="408" t="s">
        <v>44</v>
      </c>
      <c r="G134" s="327">
        <v>1</v>
      </c>
      <c r="H134" s="409">
        <v>235369</v>
      </c>
      <c r="I134" s="431">
        <f t="shared" si="31"/>
        <v>306803.4915</v>
      </c>
      <c r="J134" s="3">
        <f t="shared" si="32"/>
        <v>306803.4915</v>
      </c>
      <c r="K134" s="4"/>
      <c r="L134" s="4"/>
      <c r="M134" s="4"/>
    </row>
    <row r="135" spans="1:13" ht="15.75" customHeight="1" x14ac:dyDescent="0.25">
      <c r="A135" s="31">
        <v>81</v>
      </c>
      <c r="B135" s="96" t="s">
        <v>220</v>
      </c>
      <c r="C135" s="33" t="s">
        <v>21</v>
      </c>
      <c r="D135" s="436"/>
      <c r="E135" s="332" t="s">
        <v>221</v>
      </c>
      <c r="F135" s="408" t="s">
        <v>44</v>
      </c>
      <c r="G135" s="327">
        <v>1</v>
      </c>
      <c r="H135" s="409">
        <v>266474</v>
      </c>
      <c r="I135" s="431">
        <f t="shared" si="31"/>
        <v>347348.85900000005</v>
      </c>
      <c r="J135" s="3">
        <f t="shared" si="32"/>
        <v>347348.85900000005</v>
      </c>
      <c r="K135" s="4"/>
      <c r="L135" s="4"/>
      <c r="M135" s="4"/>
    </row>
    <row r="136" spans="1:13" ht="15.75" customHeight="1" x14ac:dyDescent="0.25">
      <c r="A136" s="31">
        <v>82</v>
      </c>
      <c r="B136" s="96" t="s">
        <v>222</v>
      </c>
      <c r="C136" s="33" t="s">
        <v>21</v>
      </c>
      <c r="D136" s="436"/>
      <c r="E136" s="332" t="s">
        <v>223</v>
      </c>
      <c r="F136" s="408" t="s">
        <v>44</v>
      </c>
      <c r="G136" s="327">
        <v>1</v>
      </c>
      <c r="H136" s="409">
        <v>429084</v>
      </c>
      <c r="I136" s="431">
        <f t="shared" si="31"/>
        <v>559310.99400000006</v>
      </c>
      <c r="J136" s="3">
        <f t="shared" si="32"/>
        <v>559310.99400000006</v>
      </c>
      <c r="K136" s="4"/>
      <c r="L136" s="4"/>
      <c r="M136" s="4"/>
    </row>
    <row r="137" spans="1:13" ht="15.75" customHeight="1" x14ac:dyDescent="0.25">
      <c r="A137" s="31">
        <v>83</v>
      </c>
      <c r="B137" s="96" t="s">
        <v>224</v>
      </c>
      <c r="C137" s="33" t="s">
        <v>21</v>
      </c>
      <c r="D137" s="436"/>
      <c r="E137" s="332" t="s">
        <v>225</v>
      </c>
      <c r="F137" s="408" t="s">
        <v>44</v>
      </c>
      <c r="G137" s="327">
        <v>1</v>
      </c>
      <c r="H137" s="409">
        <v>591510</v>
      </c>
      <c r="I137" s="431">
        <f t="shared" si="31"/>
        <v>771033.28500000003</v>
      </c>
      <c r="J137" s="3">
        <f t="shared" si="32"/>
        <v>771033.28500000003</v>
      </c>
      <c r="K137" s="4"/>
      <c r="L137" s="4"/>
      <c r="M137" s="4"/>
    </row>
    <row r="138" spans="1:13" ht="15.75" customHeight="1" x14ac:dyDescent="0.25">
      <c r="A138" s="31">
        <v>84</v>
      </c>
      <c r="B138" s="96" t="s">
        <v>226</v>
      </c>
      <c r="C138" s="33" t="s">
        <v>21</v>
      </c>
      <c r="D138" s="436"/>
      <c r="E138" s="332" t="s">
        <v>227</v>
      </c>
      <c r="F138" s="408" t="s">
        <v>44</v>
      </c>
      <c r="G138" s="327">
        <v>1</v>
      </c>
      <c r="H138" s="409">
        <v>947816</v>
      </c>
      <c r="I138" s="431">
        <f t="shared" si="31"/>
        <v>1235478.1560000002</v>
      </c>
      <c r="J138" s="3">
        <f t="shared" si="32"/>
        <v>1235478.1560000002</v>
      </c>
      <c r="K138" s="4"/>
      <c r="L138" s="4"/>
      <c r="M138" s="4"/>
    </row>
    <row r="139" spans="1:13" ht="15.75" customHeight="1" x14ac:dyDescent="0.25">
      <c r="A139" s="444" t="s">
        <v>33</v>
      </c>
      <c r="B139" s="445"/>
      <c r="C139" s="446"/>
      <c r="D139" s="446"/>
      <c r="E139" s="447"/>
      <c r="F139" s="445"/>
      <c r="G139" s="446"/>
      <c r="H139" s="334"/>
      <c r="I139" s="456">
        <f>SUM(I132:I138)</f>
        <v>3598387.3530000001</v>
      </c>
      <c r="J139" s="3"/>
      <c r="K139" s="4"/>
      <c r="L139" s="4"/>
      <c r="M139" s="4"/>
    </row>
    <row r="140" spans="1:13" ht="15.75" customHeight="1" x14ac:dyDescent="0.25">
      <c r="A140" s="63"/>
      <c r="B140" s="513" t="s">
        <v>228</v>
      </c>
      <c r="C140" s="65"/>
      <c r="D140" s="65"/>
      <c r="E140" s="66" t="s">
        <v>229</v>
      </c>
      <c r="F140" s="67"/>
      <c r="G140" s="65"/>
      <c r="H140" s="68"/>
      <c r="I140" s="452"/>
      <c r="J140" s="23"/>
      <c r="K140" s="4"/>
      <c r="L140" s="4"/>
      <c r="M140" s="4"/>
    </row>
    <row r="141" spans="1:13" ht="45" x14ac:dyDescent="0.25">
      <c r="A141" s="31">
        <v>85</v>
      </c>
      <c r="B141" s="96" t="s">
        <v>230</v>
      </c>
      <c r="C141" s="33" t="s">
        <v>21</v>
      </c>
      <c r="D141" s="436"/>
      <c r="E141" s="34" t="s">
        <v>231</v>
      </c>
      <c r="F141" s="32" t="s">
        <v>44</v>
      </c>
      <c r="G141" s="33">
        <v>1</v>
      </c>
      <c r="H141" s="35">
        <v>6120063</v>
      </c>
      <c r="I141" s="431">
        <f t="shared" ref="I141:I142" si="33">+J141*G141</f>
        <v>7977502.1205000002</v>
      </c>
      <c r="J141" s="3">
        <f t="shared" ref="J141:J142" si="34">+H141*$J$9</f>
        <v>7977502.1205000002</v>
      </c>
      <c r="K141" s="4"/>
      <c r="L141" s="4"/>
      <c r="M141" s="4"/>
    </row>
    <row r="142" spans="1:13" ht="45" x14ac:dyDescent="0.25">
      <c r="A142" s="31">
        <v>86</v>
      </c>
      <c r="B142" s="96" t="s">
        <v>232</v>
      </c>
      <c r="C142" s="33" t="s">
        <v>21</v>
      </c>
      <c r="D142" s="436"/>
      <c r="E142" s="407" t="s">
        <v>233</v>
      </c>
      <c r="F142" s="408" t="s">
        <v>44</v>
      </c>
      <c r="G142" s="327">
        <v>1</v>
      </c>
      <c r="H142" s="409">
        <v>6664550</v>
      </c>
      <c r="I142" s="431">
        <f t="shared" si="33"/>
        <v>8687240.9250000007</v>
      </c>
      <c r="J142" s="3">
        <f t="shared" si="34"/>
        <v>8687240.9250000007</v>
      </c>
      <c r="K142" s="4"/>
      <c r="L142" s="4"/>
      <c r="M142" s="4"/>
    </row>
    <row r="143" spans="1:13" ht="15.75" customHeight="1" x14ac:dyDescent="0.25">
      <c r="A143" s="444" t="s">
        <v>33</v>
      </c>
      <c r="B143" s="445"/>
      <c r="C143" s="446"/>
      <c r="D143" s="446"/>
      <c r="E143" s="447"/>
      <c r="F143" s="445"/>
      <c r="G143" s="446"/>
      <c r="H143" s="334"/>
      <c r="I143" s="456">
        <f>SUM(I141:I142)</f>
        <v>16664743.045500001</v>
      </c>
      <c r="J143" s="3"/>
      <c r="K143" s="4"/>
      <c r="L143" s="4"/>
      <c r="M143" s="4"/>
    </row>
    <row r="144" spans="1:13" ht="15.75" customHeight="1" x14ac:dyDescent="0.25">
      <c r="A144" s="63"/>
      <c r="B144" s="513" t="s">
        <v>234</v>
      </c>
      <c r="C144" s="65"/>
      <c r="D144" s="65"/>
      <c r="E144" s="66" t="s">
        <v>235</v>
      </c>
      <c r="F144" s="67"/>
      <c r="G144" s="65"/>
      <c r="H144" s="68"/>
      <c r="I144" s="452"/>
      <c r="J144" s="23"/>
      <c r="K144" s="4"/>
      <c r="L144" s="4"/>
      <c r="M144" s="4"/>
    </row>
    <row r="145" spans="1:13" ht="15.75" customHeight="1" x14ac:dyDescent="0.25">
      <c r="A145" s="31">
        <v>87</v>
      </c>
      <c r="B145" s="96" t="s">
        <v>236</v>
      </c>
      <c r="C145" s="33" t="s">
        <v>21</v>
      </c>
      <c r="D145" s="436"/>
      <c r="E145" s="34" t="s">
        <v>237</v>
      </c>
      <c r="F145" s="32" t="s">
        <v>44</v>
      </c>
      <c r="G145" s="33">
        <v>1</v>
      </c>
      <c r="H145" s="35">
        <v>497287</v>
      </c>
      <c r="I145" s="431">
        <f t="shared" ref="I145:I146" si="35">+J145*G145</f>
        <v>648213.60450000002</v>
      </c>
      <c r="J145" s="3">
        <f t="shared" ref="J145:J146" si="36">+H145*$J$9</f>
        <v>648213.60450000002</v>
      </c>
      <c r="K145" s="4"/>
      <c r="L145" s="4"/>
      <c r="M145" s="4"/>
    </row>
    <row r="146" spans="1:13" ht="15.75" customHeight="1" x14ac:dyDescent="0.25">
      <c r="A146" s="31">
        <v>88</v>
      </c>
      <c r="B146" s="96" t="s">
        <v>238</v>
      </c>
      <c r="C146" s="33" t="s">
        <v>21</v>
      </c>
      <c r="D146" s="436"/>
      <c r="E146" s="34" t="s">
        <v>239</v>
      </c>
      <c r="F146" s="32" t="s">
        <v>44</v>
      </c>
      <c r="G146" s="33">
        <v>1</v>
      </c>
      <c r="H146" s="35">
        <v>692319</v>
      </c>
      <c r="I146" s="431">
        <f t="shared" si="35"/>
        <v>902437.81650000007</v>
      </c>
      <c r="J146" s="3">
        <f t="shared" si="36"/>
        <v>902437.81650000007</v>
      </c>
      <c r="K146" s="4"/>
      <c r="L146" s="4"/>
      <c r="M146" s="4"/>
    </row>
    <row r="147" spans="1:13" ht="15.75" customHeight="1" x14ac:dyDescent="0.25">
      <c r="A147" s="444" t="s">
        <v>33</v>
      </c>
      <c r="B147" s="445"/>
      <c r="C147" s="446"/>
      <c r="D147" s="446"/>
      <c r="E147" s="447"/>
      <c r="F147" s="445"/>
      <c r="G147" s="446"/>
      <c r="H147" s="334"/>
      <c r="I147" s="456">
        <f>SUM(I145:I146)</f>
        <v>1550651.4210000001</v>
      </c>
      <c r="J147" s="3"/>
      <c r="K147" s="4"/>
      <c r="L147" s="4"/>
      <c r="M147" s="4"/>
    </row>
    <row r="148" spans="1:13" ht="15.75" customHeight="1" x14ac:dyDescent="0.25">
      <c r="A148" s="63"/>
      <c r="B148" s="513" t="s">
        <v>240</v>
      </c>
      <c r="C148" s="65"/>
      <c r="D148" s="65"/>
      <c r="E148" s="66" t="s">
        <v>241</v>
      </c>
      <c r="F148" s="67"/>
      <c r="G148" s="65"/>
      <c r="H148" s="68"/>
      <c r="I148" s="452"/>
      <c r="J148" s="23"/>
      <c r="K148" s="4"/>
      <c r="L148" s="4"/>
      <c r="M148" s="4"/>
    </row>
    <row r="149" spans="1:13" ht="15.75" customHeight="1" x14ac:dyDescent="0.25">
      <c r="A149" s="31">
        <v>89</v>
      </c>
      <c r="B149" s="96" t="s">
        <v>242</v>
      </c>
      <c r="C149" s="33" t="s">
        <v>21</v>
      </c>
      <c r="D149" s="436"/>
      <c r="E149" s="34" t="s">
        <v>243</v>
      </c>
      <c r="F149" s="32" t="s">
        <v>44</v>
      </c>
      <c r="G149" s="33">
        <v>1</v>
      </c>
      <c r="H149" s="85">
        <v>3738584</v>
      </c>
      <c r="I149" s="470">
        <f t="shared" ref="I149:I150" si="37">+J149*G149</f>
        <v>4873244.2439999999</v>
      </c>
      <c r="J149" s="3">
        <f t="shared" ref="J149:J150" si="38">+H149*$J$9</f>
        <v>4873244.2439999999</v>
      </c>
      <c r="K149" s="4"/>
      <c r="L149" s="4"/>
      <c r="M149" s="4"/>
    </row>
    <row r="150" spans="1:13" ht="15.75" customHeight="1" x14ac:dyDescent="0.25">
      <c r="A150" s="31">
        <v>90</v>
      </c>
      <c r="B150" s="96" t="s">
        <v>244</v>
      </c>
      <c r="C150" s="33" t="s">
        <v>21</v>
      </c>
      <c r="D150" s="436"/>
      <c r="E150" s="34" t="s">
        <v>245</v>
      </c>
      <c r="F150" s="32" t="s">
        <v>44</v>
      </c>
      <c r="G150" s="33">
        <v>1</v>
      </c>
      <c r="H150" s="85">
        <v>4882459</v>
      </c>
      <c r="I150" s="470">
        <f t="shared" si="37"/>
        <v>6364285.3065000009</v>
      </c>
      <c r="J150" s="3">
        <f t="shared" si="38"/>
        <v>6364285.3065000009</v>
      </c>
      <c r="K150" s="4"/>
      <c r="L150" s="4"/>
      <c r="M150" s="4"/>
    </row>
    <row r="151" spans="1:13" ht="15.75" customHeight="1" x14ac:dyDescent="0.25">
      <c r="A151" s="444" t="s">
        <v>33</v>
      </c>
      <c r="B151" s="445"/>
      <c r="C151" s="446"/>
      <c r="D151" s="446"/>
      <c r="E151" s="447"/>
      <c r="F151" s="445"/>
      <c r="G151" s="446"/>
      <c r="H151" s="334"/>
      <c r="I151" s="456">
        <f>SUM(I149:I150)</f>
        <v>11237529.550500002</v>
      </c>
      <c r="J151" s="3"/>
      <c r="K151" s="4"/>
      <c r="L151" s="4"/>
      <c r="M151" s="4"/>
    </row>
    <row r="152" spans="1:13" ht="15.75" customHeight="1" x14ac:dyDescent="0.25">
      <c r="A152" s="63"/>
      <c r="B152" s="513" t="s">
        <v>246</v>
      </c>
      <c r="C152" s="65"/>
      <c r="D152" s="65"/>
      <c r="E152" s="66" t="s">
        <v>247</v>
      </c>
      <c r="F152" s="67"/>
      <c r="G152" s="65"/>
      <c r="H152" s="68"/>
      <c r="I152" s="452"/>
      <c r="J152" s="23"/>
      <c r="K152" s="4"/>
      <c r="L152" s="4"/>
      <c r="M152" s="4"/>
    </row>
    <row r="153" spans="1:13" s="326" customFormat="1" ht="30.75" customHeight="1" x14ac:dyDescent="0.25">
      <c r="A153" s="321">
        <v>91</v>
      </c>
      <c r="B153" s="96" t="s">
        <v>248</v>
      </c>
      <c r="C153" s="96" t="s">
        <v>21</v>
      </c>
      <c r="D153" s="471"/>
      <c r="E153" s="34" t="s">
        <v>249</v>
      </c>
      <c r="F153" s="32" t="s">
        <v>44</v>
      </c>
      <c r="G153" s="96">
        <v>1</v>
      </c>
      <c r="H153" s="323">
        <v>351144</v>
      </c>
      <c r="I153" s="472">
        <f t="shared" ref="I153:I154" si="39">+J153*G153</f>
        <v>457716.20400000003</v>
      </c>
      <c r="J153" s="324">
        <f t="shared" ref="J153:J154" si="40">+H153*$J$9</f>
        <v>457716.20400000003</v>
      </c>
      <c r="K153" s="325"/>
      <c r="L153" s="325"/>
      <c r="M153" s="325"/>
    </row>
    <row r="154" spans="1:13" s="326" customFormat="1" ht="30.75" customHeight="1" x14ac:dyDescent="0.25">
      <c r="A154" s="321">
        <v>92</v>
      </c>
      <c r="B154" s="96" t="s">
        <v>250</v>
      </c>
      <c r="C154" s="96" t="s">
        <v>21</v>
      </c>
      <c r="D154" s="471"/>
      <c r="E154" s="34" t="s">
        <v>251</v>
      </c>
      <c r="F154" s="32" t="s">
        <v>44</v>
      </c>
      <c r="G154" s="96">
        <v>1</v>
      </c>
      <c r="H154" s="323">
        <v>912697</v>
      </c>
      <c r="I154" s="472">
        <f t="shared" si="39"/>
        <v>1189700.5395000002</v>
      </c>
      <c r="J154" s="324">
        <f t="shared" si="40"/>
        <v>1189700.5395000002</v>
      </c>
      <c r="K154" s="325"/>
      <c r="L154" s="325"/>
      <c r="M154" s="325"/>
    </row>
    <row r="155" spans="1:13" ht="15.75" customHeight="1" x14ac:dyDescent="0.25">
      <c r="A155" s="444" t="s">
        <v>33</v>
      </c>
      <c r="B155" s="445"/>
      <c r="C155" s="446"/>
      <c r="D155" s="446"/>
      <c r="E155" s="447"/>
      <c r="F155" s="445"/>
      <c r="G155" s="446"/>
      <c r="H155" s="334"/>
      <c r="I155" s="456">
        <f>SUM(I153:I154)</f>
        <v>1647416.7435000003</v>
      </c>
      <c r="J155" s="3"/>
      <c r="K155" s="4"/>
      <c r="L155" s="4"/>
      <c r="M155" s="4"/>
    </row>
    <row r="156" spans="1:13" ht="15.75" customHeight="1" x14ac:dyDescent="0.25">
      <c r="A156" s="63"/>
      <c r="B156" s="513" t="s">
        <v>252</v>
      </c>
      <c r="C156" s="65"/>
      <c r="D156" s="65"/>
      <c r="E156" s="66" t="s">
        <v>253</v>
      </c>
      <c r="F156" s="67"/>
      <c r="G156" s="65"/>
      <c r="H156" s="68"/>
      <c r="I156" s="452"/>
      <c r="J156" s="23"/>
      <c r="K156" s="4"/>
      <c r="L156" s="4"/>
      <c r="M156" s="4"/>
    </row>
    <row r="157" spans="1:13" ht="15.75" customHeight="1" x14ac:dyDescent="0.25">
      <c r="A157" s="31">
        <v>93</v>
      </c>
      <c r="B157" s="96" t="s">
        <v>254</v>
      </c>
      <c r="C157" s="33" t="s">
        <v>21</v>
      </c>
      <c r="D157" s="436"/>
      <c r="E157" s="332" t="s">
        <v>255</v>
      </c>
      <c r="F157" s="408" t="s">
        <v>39</v>
      </c>
      <c r="G157" s="327">
        <v>2</v>
      </c>
      <c r="H157" s="409">
        <v>579452</v>
      </c>
      <c r="I157" s="431">
        <f>+J157*G157</f>
        <v>1510631.3640000001</v>
      </c>
      <c r="J157" s="3">
        <f>+H157*$J$9</f>
        <v>755315.68200000003</v>
      </c>
      <c r="K157" s="4"/>
      <c r="L157" s="4"/>
      <c r="M157" s="4"/>
    </row>
    <row r="158" spans="1:13" ht="15.75" customHeight="1" x14ac:dyDescent="0.25">
      <c r="A158" s="444" t="s">
        <v>33</v>
      </c>
      <c r="B158" s="445"/>
      <c r="C158" s="446"/>
      <c r="D158" s="446"/>
      <c r="E158" s="447"/>
      <c r="F158" s="445"/>
      <c r="G158" s="446"/>
      <c r="H158" s="334"/>
      <c r="I158" s="456">
        <f>SUM(I157)</f>
        <v>1510631.3640000001</v>
      </c>
      <c r="J158" s="3"/>
      <c r="K158" s="4"/>
      <c r="L158" s="4"/>
      <c r="M158" s="4"/>
    </row>
    <row r="159" spans="1:13" ht="15.75" customHeight="1" x14ac:dyDescent="0.25">
      <c r="A159" s="63"/>
      <c r="B159" s="513" t="s">
        <v>256</v>
      </c>
      <c r="C159" s="65"/>
      <c r="D159" s="65"/>
      <c r="E159" s="66" t="s">
        <v>257</v>
      </c>
      <c r="F159" s="67"/>
      <c r="G159" s="65"/>
      <c r="H159" s="68"/>
      <c r="I159" s="452"/>
      <c r="J159" s="23"/>
      <c r="K159" s="4"/>
      <c r="L159" s="4"/>
      <c r="M159" s="4"/>
    </row>
    <row r="160" spans="1:13" ht="15.75" customHeight="1" x14ac:dyDescent="0.25">
      <c r="A160" s="31">
        <v>94</v>
      </c>
      <c r="B160" s="32" t="s">
        <v>258</v>
      </c>
      <c r="C160" s="33" t="s">
        <v>21</v>
      </c>
      <c r="D160" s="436"/>
      <c r="E160" s="332" t="s">
        <v>259</v>
      </c>
      <c r="F160" s="408" t="s">
        <v>44</v>
      </c>
      <c r="G160" s="327">
        <v>1</v>
      </c>
      <c r="H160" s="409">
        <v>239922</v>
      </c>
      <c r="I160" s="431">
        <f t="shared" ref="I160:I164" si="41">+J160*G160</f>
        <v>312738.32700000005</v>
      </c>
      <c r="J160" s="3">
        <f t="shared" ref="J160:J164" si="42">+H160*$J$9</f>
        <v>312738.32700000005</v>
      </c>
      <c r="K160" s="4"/>
      <c r="L160" s="4"/>
      <c r="M160" s="4"/>
    </row>
    <row r="161" spans="1:13" ht="15.75" customHeight="1" x14ac:dyDescent="0.25">
      <c r="A161" s="31">
        <v>95</v>
      </c>
      <c r="B161" s="32" t="s">
        <v>260</v>
      </c>
      <c r="C161" s="33" t="s">
        <v>21</v>
      </c>
      <c r="D161" s="436"/>
      <c r="E161" s="332" t="s">
        <v>261</v>
      </c>
      <c r="F161" s="408" t="s">
        <v>44</v>
      </c>
      <c r="G161" s="327">
        <v>1</v>
      </c>
      <c r="H161" s="409">
        <v>359991</v>
      </c>
      <c r="I161" s="431">
        <f t="shared" si="41"/>
        <v>469248.26850000006</v>
      </c>
      <c r="J161" s="3">
        <f t="shared" si="42"/>
        <v>469248.26850000006</v>
      </c>
      <c r="K161" s="4"/>
      <c r="L161" s="4"/>
      <c r="M161" s="4"/>
    </row>
    <row r="162" spans="1:13" ht="15.75" customHeight="1" x14ac:dyDescent="0.25">
      <c r="A162" s="31">
        <v>96</v>
      </c>
      <c r="B162" s="32" t="s">
        <v>262</v>
      </c>
      <c r="C162" s="33" t="s">
        <v>21</v>
      </c>
      <c r="D162" s="436"/>
      <c r="E162" s="332" t="s">
        <v>263</v>
      </c>
      <c r="F162" s="408" t="s">
        <v>44</v>
      </c>
      <c r="G162" s="327">
        <v>13</v>
      </c>
      <c r="H162" s="409">
        <v>567098</v>
      </c>
      <c r="I162" s="431">
        <f t="shared" si="41"/>
        <v>9609759.159</v>
      </c>
      <c r="J162" s="3">
        <f t="shared" si="42"/>
        <v>739212.24300000002</v>
      </c>
      <c r="K162" s="4"/>
      <c r="L162" s="4"/>
      <c r="M162" s="4"/>
    </row>
    <row r="163" spans="1:13" ht="15.75" customHeight="1" x14ac:dyDescent="0.25">
      <c r="A163" s="31">
        <v>97</v>
      </c>
      <c r="B163" s="32" t="s">
        <v>264</v>
      </c>
      <c r="C163" s="33" t="s">
        <v>21</v>
      </c>
      <c r="D163" s="436"/>
      <c r="E163" s="410" t="s">
        <v>265</v>
      </c>
      <c r="F163" s="408" t="s">
        <v>23</v>
      </c>
      <c r="G163" s="327">
        <v>30</v>
      </c>
      <c r="H163" s="409">
        <v>5947</v>
      </c>
      <c r="I163" s="431">
        <f t="shared" si="41"/>
        <v>232557.43500000003</v>
      </c>
      <c r="J163" s="3">
        <f t="shared" si="42"/>
        <v>7751.9145000000008</v>
      </c>
      <c r="K163" s="4"/>
      <c r="L163" s="4"/>
      <c r="M163" s="4"/>
    </row>
    <row r="164" spans="1:13" ht="15.75" customHeight="1" x14ac:dyDescent="0.25">
      <c r="A164" s="31">
        <v>98</v>
      </c>
      <c r="B164" s="32" t="s">
        <v>266</v>
      </c>
      <c r="C164" s="33" t="s">
        <v>21</v>
      </c>
      <c r="D164" s="436"/>
      <c r="E164" s="332" t="s">
        <v>267</v>
      </c>
      <c r="F164" s="408" t="s">
        <v>23</v>
      </c>
      <c r="G164" s="327">
        <v>30</v>
      </c>
      <c r="H164" s="409">
        <v>8443</v>
      </c>
      <c r="I164" s="431">
        <f t="shared" si="41"/>
        <v>330163.51500000001</v>
      </c>
      <c r="J164" s="3">
        <f t="shared" si="42"/>
        <v>11005.450500000001</v>
      </c>
      <c r="K164" s="4"/>
      <c r="L164" s="4"/>
      <c r="M164" s="4"/>
    </row>
    <row r="165" spans="1:13" ht="15.75" customHeight="1" x14ac:dyDescent="0.25">
      <c r="A165" s="444" t="s">
        <v>33</v>
      </c>
      <c r="B165" s="445"/>
      <c r="C165" s="446"/>
      <c r="D165" s="446"/>
      <c r="E165" s="447"/>
      <c r="F165" s="445"/>
      <c r="G165" s="446"/>
      <c r="H165" s="334"/>
      <c r="I165" s="456">
        <f>SUM(I160:I164)</f>
        <v>10954466.704500001</v>
      </c>
      <c r="J165" s="3"/>
      <c r="K165" s="4"/>
      <c r="L165" s="4"/>
      <c r="M165" s="4"/>
    </row>
    <row r="166" spans="1:13" ht="15.75" customHeight="1" x14ac:dyDescent="0.25">
      <c r="A166" s="63"/>
      <c r="B166" s="513" t="s">
        <v>268</v>
      </c>
      <c r="C166" s="65"/>
      <c r="D166" s="65"/>
      <c r="E166" s="66" t="s">
        <v>269</v>
      </c>
      <c r="F166" s="67"/>
      <c r="G166" s="65"/>
      <c r="H166" s="68"/>
      <c r="I166" s="452"/>
      <c r="J166" s="23"/>
      <c r="K166" s="4"/>
      <c r="L166" s="4"/>
      <c r="M166" s="4"/>
    </row>
    <row r="167" spans="1:13" ht="15.75" customHeight="1" x14ac:dyDescent="0.25">
      <c r="A167" s="31">
        <v>99</v>
      </c>
      <c r="B167" s="96" t="s">
        <v>270</v>
      </c>
      <c r="C167" s="33" t="s">
        <v>21</v>
      </c>
      <c r="D167" s="436"/>
      <c r="E167" s="332" t="s">
        <v>271</v>
      </c>
      <c r="F167" s="408" t="s">
        <v>44</v>
      </c>
      <c r="G167" s="327">
        <v>1</v>
      </c>
      <c r="H167" s="409">
        <v>2171588</v>
      </c>
      <c r="I167" s="431">
        <f t="shared" ref="I167:I169" si="43">+J167*G167</f>
        <v>2830664.9580000001</v>
      </c>
      <c r="J167" s="3">
        <f t="shared" ref="J167:J169" si="44">+H167*$J$9</f>
        <v>2830664.9580000001</v>
      </c>
      <c r="K167" s="4"/>
      <c r="L167" s="4"/>
      <c r="M167" s="4"/>
    </row>
    <row r="168" spans="1:13" ht="15.75" customHeight="1" x14ac:dyDescent="0.25">
      <c r="A168" s="31">
        <v>100</v>
      </c>
      <c r="B168" s="96" t="s">
        <v>272</v>
      </c>
      <c r="C168" s="33" t="s">
        <v>21</v>
      </c>
      <c r="D168" s="436"/>
      <c r="E168" s="332" t="s">
        <v>273</v>
      </c>
      <c r="F168" s="408" t="s">
        <v>44</v>
      </c>
      <c r="G168" s="327">
        <v>1</v>
      </c>
      <c r="H168" s="409">
        <v>2718289</v>
      </c>
      <c r="I168" s="431">
        <f t="shared" si="43"/>
        <v>3543289.7115000002</v>
      </c>
      <c r="J168" s="3">
        <f t="shared" si="44"/>
        <v>3543289.7115000002</v>
      </c>
      <c r="K168" s="4"/>
      <c r="L168" s="4"/>
      <c r="M168" s="4"/>
    </row>
    <row r="169" spans="1:13" ht="15.75" customHeight="1" x14ac:dyDescent="0.25">
      <c r="A169" s="31">
        <v>101</v>
      </c>
      <c r="B169" s="96" t="s">
        <v>274</v>
      </c>
      <c r="C169" s="33" t="s">
        <v>21</v>
      </c>
      <c r="D169" s="436"/>
      <c r="E169" s="332" t="s">
        <v>275</v>
      </c>
      <c r="F169" s="408" t="s">
        <v>44</v>
      </c>
      <c r="G169" s="327">
        <v>1</v>
      </c>
      <c r="H169" s="409">
        <v>3104538</v>
      </c>
      <c r="I169" s="431">
        <f t="shared" si="43"/>
        <v>4046765.2830000003</v>
      </c>
      <c r="J169" s="3">
        <f t="shared" si="44"/>
        <v>4046765.2830000003</v>
      </c>
      <c r="K169" s="4"/>
      <c r="L169" s="4"/>
      <c r="M169" s="4"/>
    </row>
    <row r="170" spans="1:13" ht="15.75" customHeight="1" x14ac:dyDescent="0.25">
      <c r="A170" s="444" t="s">
        <v>33</v>
      </c>
      <c r="B170" s="445"/>
      <c r="C170" s="446"/>
      <c r="D170" s="446"/>
      <c r="E170" s="447"/>
      <c r="F170" s="445"/>
      <c r="G170" s="446"/>
      <c r="H170" s="334"/>
      <c r="I170" s="456">
        <f>SUM(I167:I169)</f>
        <v>10420719.952500001</v>
      </c>
      <c r="J170" s="3"/>
      <c r="K170" s="4"/>
      <c r="L170" s="4"/>
      <c r="M170" s="4"/>
    </row>
    <row r="171" spans="1:13" ht="15.75" customHeight="1" x14ac:dyDescent="0.25">
      <c r="A171" s="63"/>
      <c r="B171" s="513" t="s">
        <v>276</v>
      </c>
      <c r="C171" s="65"/>
      <c r="D171" s="65"/>
      <c r="E171" s="66" t="s">
        <v>277</v>
      </c>
      <c r="F171" s="67"/>
      <c r="G171" s="65"/>
      <c r="H171" s="68"/>
      <c r="I171" s="452"/>
      <c r="J171" s="23"/>
      <c r="K171" s="4"/>
      <c r="L171" s="4"/>
      <c r="M171" s="4"/>
    </row>
    <row r="172" spans="1:13" ht="15.75" customHeight="1" x14ac:dyDescent="0.25">
      <c r="A172" s="31">
        <v>102</v>
      </c>
      <c r="B172" s="96" t="s">
        <v>278</v>
      </c>
      <c r="C172" s="33" t="s">
        <v>21</v>
      </c>
      <c r="D172" s="436"/>
      <c r="E172" s="332" t="s">
        <v>279</v>
      </c>
      <c r="F172" s="408" t="s">
        <v>44</v>
      </c>
      <c r="G172" s="327">
        <v>14</v>
      </c>
      <c r="H172" s="409">
        <v>294350</v>
      </c>
      <c r="I172" s="431">
        <f>+J172*G172</f>
        <v>5371593.1500000004</v>
      </c>
      <c r="J172" s="3">
        <f>+H172*$J$9</f>
        <v>383685.22500000003</v>
      </c>
      <c r="K172" s="4"/>
      <c r="L172" s="4"/>
      <c r="M172" s="4"/>
    </row>
    <row r="173" spans="1:13" ht="15.75" customHeight="1" x14ac:dyDescent="0.25">
      <c r="A173" s="444" t="s">
        <v>33</v>
      </c>
      <c r="B173" s="445"/>
      <c r="C173" s="446"/>
      <c r="D173" s="446"/>
      <c r="E173" s="447"/>
      <c r="F173" s="445"/>
      <c r="G173" s="446"/>
      <c r="H173" s="334"/>
      <c r="I173" s="456">
        <f>SUM(I172)</f>
        <v>5371593.1500000004</v>
      </c>
      <c r="J173" s="3"/>
      <c r="K173" s="4"/>
      <c r="L173" s="4"/>
      <c r="M173" s="4"/>
    </row>
    <row r="174" spans="1:13" ht="15.75" customHeight="1" x14ac:dyDescent="0.25">
      <c r="A174" s="63"/>
      <c r="B174" s="513" t="s">
        <v>280</v>
      </c>
      <c r="C174" s="65"/>
      <c r="D174" s="65"/>
      <c r="E174" s="66" t="s">
        <v>281</v>
      </c>
      <c r="F174" s="67"/>
      <c r="G174" s="65"/>
      <c r="H174" s="68"/>
      <c r="I174" s="452"/>
      <c r="J174" s="23"/>
      <c r="K174" s="4"/>
      <c r="L174" s="4"/>
      <c r="M174" s="4"/>
    </row>
    <row r="175" spans="1:13" ht="30" customHeight="1" x14ac:dyDescent="0.25">
      <c r="A175" s="31">
        <v>103</v>
      </c>
      <c r="B175" s="96" t="s">
        <v>282</v>
      </c>
      <c r="C175" s="33" t="s">
        <v>21</v>
      </c>
      <c r="D175" s="436"/>
      <c r="E175" s="407" t="s">
        <v>283</v>
      </c>
      <c r="F175" s="408" t="s">
        <v>44</v>
      </c>
      <c r="G175" s="327">
        <v>1</v>
      </c>
      <c r="H175" s="409">
        <v>450347</v>
      </c>
      <c r="I175" s="431">
        <f t="shared" ref="I175:I179" si="45">+J175*G175</f>
        <v>587027.31450000009</v>
      </c>
      <c r="J175" s="3">
        <f t="shared" ref="J175:J179" si="46">+H175*$J$9</f>
        <v>587027.31450000009</v>
      </c>
      <c r="K175" s="4"/>
      <c r="L175" s="4"/>
      <c r="M175" s="4"/>
    </row>
    <row r="176" spans="1:13" ht="31.5" customHeight="1" x14ac:dyDescent="0.25">
      <c r="A176" s="31">
        <v>104</v>
      </c>
      <c r="B176" s="96" t="s">
        <v>284</v>
      </c>
      <c r="C176" s="33" t="s">
        <v>21</v>
      </c>
      <c r="D176" s="436"/>
      <c r="E176" s="407" t="s">
        <v>285</v>
      </c>
      <c r="F176" s="408" t="s">
        <v>44</v>
      </c>
      <c r="G176" s="327">
        <v>1</v>
      </c>
      <c r="H176" s="409">
        <v>511050</v>
      </c>
      <c r="I176" s="431">
        <f t="shared" si="45"/>
        <v>666153.67500000005</v>
      </c>
      <c r="J176" s="3">
        <f t="shared" si="46"/>
        <v>666153.67500000005</v>
      </c>
      <c r="K176" s="4"/>
      <c r="L176" s="4"/>
      <c r="M176" s="4"/>
    </row>
    <row r="177" spans="1:13" ht="36.75" customHeight="1" x14ac:dyDescent="0.25">
      <c r="A177" s="31">
        <v>105</v>
      </c>
      <c r="B177" s="96" t="s">
        <v>286</v>
      </c>
      <c r="C177" s="33" t="s">
        <v>21</v>
      </c>
      <c r="D177" s="436"/>
      <c r="E177" s="407" t="s">
        <v>287</v>
      </c>
      <c r="F177" s="408" t="s">
        <v>44</v>
      </c>
      <c r="G177" s="327">
        <v>1</v>
      </c>
      <c r="H177" s="409">
        <v>816047</v>
      </c>
      <c r="I177" s="431">
        <f t="shared" si="45"/>
        <v>1063717.2645</v>
      </c>
      <c r="J177" s="3">
        <f t="shared" si="46"/>
        <v>1063717.2645</v>
      </c>
      <c r="K177" s="4"/>
      <c r="L177" s="4"/>
      <c r="M177" s="4"/>
    </row>
    <row r="178" spans="1:13" ht="36" customHeight="1" x14ac:dyDescent="0.25">
      <c r="A178" s="31">
        <v>106</v>
      </c>
      <c r="B178" s="96" t="s">
        <v>288</v>
      </c>
      <c r="C178" s="33" t="s">
        <v>21</v>
      </c>
      <c r="D178" s="436"/>
      <c r="E178" s="407" t="s">
        <v>289</v>
      </c>
      <c r="F178" s="408" t="s">
        <v>44</v>
      </c>
      <c r="G178" s="327">
        <v>1</v>
      </c>
      <c r="H178" s="409">
        <v>538711</v>
      </c>
      <c r="I178" s="431">
        <f t="shared" si="45"/>
        <v>702209.78850000002</v>
      </c>
      <c r="J178" s="3">
        <f t="shared" si="46"/>
        <v>702209.78850000002</v>
      </c>
      <c r="K178" s="4"/>
      <c r="L178" s="4"/>
      <c r="M178" s="4"/>
    </row>
    <row r="179" spans="1:13" ht="45.75" customHeight="1" x14ac:dyDescent="0.25">
      <c r="A179" s="31">
        <v>107</v>
      </c>
      <c r="B179" s="96" t="s">
        <v>290</v>
      </c>
      <c r="C179" s="33" t="s">
        <v>21</v>
      </c>
      <c r="D179" s="436"/>
      <c r="E179" s="473" t="s">
        <v>291</v>
      </c>
      <c r="F179" s="442" t="s">
        <v>44</v>
      </c>
      <c r="G179" s="443">
        <v>1</v>
      </c>
      <c r="H179" s="409">
        <v>914342</v>
      </c>
      <c r="I179" s="431">
        <f t="shared" si="45"/>
        <v>1191844.797</v>
      </c>
      <c r="J179" s="86">
        <f t="shared" si="46"/>
        <v>1191844.797</v>
      </c>
      <c r="K179" s="4"/>
      <c r="L179" s="4"/>
      <c r="M179" s="4"/>
    </row>
    <row r="180" spans="1:13" ht="15.75" customHeight="1" x14ac:dyDescent="0.25">
      <c r="A180" s="444" t="s">
        <v>33</v>
      </c>
      <c r="B180" s="474"/>
      <c r="C180" s="446"/>
      <c r="D180" s="446"/>
      <c r="E180" s="475"/>
      <c r="F180" s="445"/>
      <c r="G180" s="446"/>
      <c r="H180" s="334"/>
      <c r="I180" s="476">
        <f>SUM(I175:I179)</f>
        <v>4210952.8395000007</v>
      </c>
      <c r="J180" s="86"/>
      <c r="K180" s="4"/>
      <c r="L180" s="4"/>
      <c r="M180" s="4"/>
    </row>
    <row r="181" spans="1:13" ht="15.75" customHeight="1" x14ac:dyDescent="0.25">
      <c r="A181" s="417"/>
      <c r="B181" s="89">
        <v>8</v>
      </c>
      <c r="C181" s="402"/>
      <c r="D181" s="402"/>
      <c r="E181" s="477" t="s">
        <v>292</v>
      </c>
      <c r="F181" s="478"/>
      <c r="G181" s="402"/>
      <c r="H181" s="403"/>
      <c r="I181" s="434"/>
      <c r="J181" s="92"/>
      <c r="K181" s="4"/>
      <c r="L181" s="4"/>
      <c r="M181" s="4"/>
    </row>
    <row r="182" spans="1:13" ht="15.75" customHeight="1" x14ac:dyDescent="0.25">
      <c r="A182" s="423"/>
      <c r="B182" s="424" t="s">
        <v>293</v>
      </c>
      <c r="C182" s="426"/>
      <c r="D182" s="426"/>
      <c r="E182" s="427" t="s">
        <v>294</v>
      </c>
      <c r="F182" s="428"/>
      <c r="G182" s="426"/>
      <c r="H182" s="448"/>
      <c r="I182" s="435"/>
      <c r="J182" s="92"/>
      <c r="K182" s="4"/>
      <c r="L182" s="4"/>
      <c r="M182" s="4"/>
    </row>
    <row r="183" spans="1:13" ht="15.75" customHeight="1" x14ac:dyDescent="0.25">
      <c r="A183" s="31">
        <v>108</v>
      </c>
      <c r="B183" s="32" t="s">
        <v>295</v>
      </c>
      <c r="C183" s="33" t="s">
        <v>21</v>
      </c>
      <c r="D183" s="436"/>
      <c r="E183" s="437" t="s">
        <v>296</v>
      </c>
      <c r="F183" s="438" t="s">
        <v>23</v>
      </c>
      <c r="G183" s="439">
        <v>1</v>
      </c>
      <c r="H183" s="411">
        <v>849237</v>
      </c>
      <c r="I183" s="431">
        <f t="shared" ref="I183:I184" si="47">+J183*G183</f>
        <v>1106980.4295000001</v>
      </c>
      <c r="J183" s="86">
        <f t="shared" ref="J183:J184" si="48">+H183*$J$9</f>
        <v>1106980.4295000001</v>
      </c>
      <c r="K183" s="4"/>
      <c r="L183" s="4"/>
      <c r="M183" s="4"/>
    </row>
    <row r="184" spans="1:13" ht="15.75" customHeight="1" x14ac:dyDescent="0.25">
      <c r="A184" s="31">
        <v>109</v>
      </c>
      <c r="B184" s="32" t="s">
        <v>297</v>
      </c>
      <c r="C184" s="33" t="s">
        <v>21</v>
      </c>
      <c r="D184" s="436"/>
      <c r="E184" s="441" t="s">
        <v>298</v>
      </c>
      <c r="F184" s="442" t="s">
        <v>23</v>
      </c>
      <c r="G184" s="443">
        <v>1</v>
      </c>
      <c r="H184" s="412">
        <v>2012020</v>
      </c>
      <c r="I184" s="431">
        <f t="shared" si="47"/>
        <v>2622668.0700000003</v>
      </c>
      <c r="J184" s="86">
        <f t="shared" si="48"/>
        <v>2622668.0700000003</v>
      </c>
      <c r="K184" s="4"/>
      <c r="L184" s="4"/>
      <c r="M184" s="4"/>
    </row>
    <row r="185" spans="1:13" ht="15.75" customHeight="1" x14ac:dyDescent="0.25">
      <c r="A185" s="444" t="s">
        <v>33</v>
      </c>
      <c r="B185" s="474"/>
      <c r="C185" s="446"/>
      <c r="D185" s="446"/>
      <c r="E185" s="475"/>
      <c r="F185" s="445"/>
      <c r="G185" s="446"/>
      <c r="H185" s="334"/>
      <c r="I185" s="476">
        <f>SUM(I183:I184)</f>
        <v>3729648.4995000004</v>
      </c>
      <c r="J185" s="86"/>
      <c r="K185" s="4"/>
      <c r="L185" s="4"/>
      <c r="M185" s="4"/>
    </row>
    <row r="186" spans="1:13" ht="15.75" customHeight="1" x14ac:dyDescent="0.25">
      <c r="A186" s="63"/>
      <c r="B186" s="64" t="s">
        <v>299</v>
      </c>
      <c r="C186" s="65"/>
      <c r="D186" s="65"/>
      <c r="E186" s="66" t="s">
        <v>300</v>
      </c>
      <c r="F186" s="67"/>
      <c r="G186" s="65"/>
      <c r="H186" s="68"/>
      <c r="I186" s="452"/>
      <c r="J186" s="92"/>
      <c r="K186" s="4"/>
      <c r="L186" s="4"/>
      <c r="M186" s="4"/>
    </row>
    <row r="187" spans="1:13" ht="58.5" customHeight="1" x14ac:dyDescent="0.25">
      <c r="A187" s="31">
        <v>110</v>
      </c>
      <c r="B187" s="32" t="s">
        <v>301</v>
      </c>
      <c r="C187" s="33" t="s">
        <v>21</v>
      </c>
      <c r="D187" s="436"/>
      <c r="E187" s="437" t="s">
        <v>302</v>
      </c>
      <c r="F187" s="438" t="s">
        <v>44</v>
      </c>
      <c r="G187" s="439">
        <v>1</v>
      </c>
      <c r="H187" s="411">
        <v>569763</v>
      </c>
      <c r="I187" s="431">
        <f t="shared" ref="I187:I189" si="49">+J187*G187</f>
        <v>742686.07050000003</v>
      </c>
      <c r="J187" s="86">
        <f t="shared" ref="J187:J189" si="50">+H187*$J$9</f>
        <v>742686.07050000003</v>
      </c>
      <c r="K187" s="4"/>
      <c r="L187" s="4"/>
      <c r="M187" s="4"/>
    </row>
    <row r="188" spans="1:13" ht="56.25" customHeight="1" x14ac:dyDescent="0.25">
      <c r="A188" s="31">
        <v>111</v>
      </c>
      <c r="B188" s="32" t="s">
        <v>303</v>
      </c>
      <c r="C188" s="33" t="s">
        <v>21</v>
      </c>
      <c r="D188" s="436"/>
      <c r="E188" s="332" t="s">
        <v>304</v>
      </c>
      <c r="F188" s="408" t="s">
        <v>44</v>
      </c>
      <c r="G188" s="327">
        <v>1</v>
      </c>
      <c r="H188" s="409">
        <v>626626</v>
      </c>
      <c r="I188" s="431">
        <f t="shared" si="49"/>
        <v>816806.99100000004</v>
      </c>
      <c r="J188" s="86">
        <f t="shared" si="50"/>
        <v>816806.99100000004</v>
      </c>
      <c r="K188" s="4"/>
      <c r="L188" s="4"/>
      <c r="M188" s="4"/>
    </row>
    <row r="189" spans="1:13" ht="45.75" customHeight="1" x14ac:dyDescent="0.25">
      <c r="A189" s="31">
        <v>112</v>
      </c>
      <c r="B189" s="32" t="s">
        <v>305</v>
      </c>
      <c r="C189" s="33" t="s">
        <v>21</v>
      </c>
      <c r="D189" s="436"/>
      <c r="E189" s="441" t="s">
        <v>306</v>
      </c>
      <c r="F189" s="442" t="s">
        <v>44</v>
      </c>
      <c r="G189" s="443">
        <v>1</v>
      </c>
      <c r="H189" s="412">
        <v>805970</v>
      </c>
      <c r="I189" s="431">
        <f t="shared" si="49"/>
        <v>1050581.895</v>
      </c>
      <c r="J189" s="86">
        <f t="shared" si="50"/>
        <v>1050581.895</v>
      </c>
      <c r="K189" s="4"/>
      <c r="L189" s="4"/>
      <c r="M189" s="4"/>
    </row>
    <row r="190" spans="1:13" ht="15.75" customHeight="1" x14ac:dyDescent="0.25">
      <c r="A190" s="444" t="s">
        <v>33</v>
      </c>
      <c r="B190" s="474"/>
      <c r="C190" s="446"/>
      <c r="D190" s="446"/>
      <c r="E190" s="475"/>
      <c r="F190" s="445"/>
      <c r="G190" s="446"/>
      <c r="H190" s="334"/>
      <c r="I190" s="476">
        <f>SUM(I187:I189)</f>
        <v>2610074.9565000003</v>
      </c>
      <c r="J190" s="86"/>
      <c r="K190" s="4"/>
      <c r="L190" s="4"/>
      <c r="M190" s="4"/>
    </row>
    <row r="191" spans="1:13" ht="15.75" customHeight="1" x14ac:dyDescent="0.25">
      <c r="A191" s="63"/>
      <c r="B191" s="64" t="s">
        <v>307</v>
      </c>
      <c r="C191" s="65"/>
      <c r="D191" s="65"/>
      <c r="E191" s="66" t="s">
        <v>308</v>
      </c>
      <c r="F191" s="67"/>
      <c r="G191" s="65"/>
      <c r="H191" s="68"/>
      <c r="I191" s="452"/>
      <c r="J191" s="92"/>
      <c r="K191" s="4"/>
      <c r="L191" s="4"/>
      <c r="M191" s="4"/>
    </row>
    <row r="192" spans="1:13" ht="15.75" customHeight="1" x14ac:dyDescent="0.25">
      <c r="A192" s="31">
        <v>113</v>
      </c>
      <c r="B192" s="32" t="s">
        <v>309</v>
      </c>
      <c r="C192" s="33" t="s">
        <v>21</v>
      </c>
      <c r="D192" s="436"/>
      <c r="E192" s="437" t="s">
        <v>310</v>
      </c>
      <c r="F192" s="438" t="s">
        <v>23</v>
      </c>
      <c r="G192" s="439">
        <v>20</v>
      </c>
      <c r="H192" s="411">
        <v>4426</v>
      </c>
      <c r="I192" s="431">
        <f t="shared" ref="I192:I195" si="51">+J192*G192</f>
        <v>115385.82</v>
      </c>
      <c r="J192" s="86">
        <f t="shared" ref="J192:J196" si="52">+H192*$J$9</f>
        <v>5769.2910000000002</v>
      </c>
      <c r="K192" s="4"/>
      <c r="L192" s="4"/>
      <c r="M192" s="4"/>
    </row>
    <row r="193" spans="1:13" ht="15.75" customHeight="1" x14ac:dyDescent="0.25">
      <c r="A193" s="31">
        <v>114</v>
      </c>
      <c r="B193" s="32" t="s">
        <v>311</v>
      </c>
      <c r="C193" s="33" t="s">
        <v>21</v>
      </c>
      <c r="D193" s="436"/>
      <c r="E193" s="332" t="s">
        <v>312</v>
      </c>
      <c r="F193" s="408" t="s">
        <v>23</v>
      </c>
      <c r="G193" s="327">
        <v>20</v>
      </c>
      <c r="H193" s="409">
        <v>4796</v>
      </c>
      <c r="I193" s="431">
        <f t="shared" si="51"/>
        <v>125031.72</v>
      </c>
      <c r="J193" s="86">
        <f t="shared" si="52"/>
        <v>6251.5860000000002</v>
      </c>
      <c r="K193" s="4"/>
      <c r="L193" s="4"/>
      <c r="M193" s="4"/>
    </row>
    <row r="194" spans="1:13" ht="15.75" customHeight="1" x14ac:dyDescent="0.25">
      <c r="A194" s="31">
        <v>115</v>
      </c>
      <c r="B194" s="32" t="s">
        <v>313</v>
      </c>
      <c r="C194" s="33" t="s">
        <v>21</v>
      </c>
      <c r="D194" s="436"/>
      <c r="E194" s="332" t="s">
        <v>314</v>
      </c>
      <c r="F194" s="408" t="s">
        <v>23</v>
      </c>
      <c r="G194" s="327">
        <v>20</v>
      </c>
      <c r="H194" s="409">
        <v>5815</v>
      </c>
      <c r="I194" s="431">
        <f t="shared" si="51"/>
        <v>151597.05000000002</v>
      </c>
      <c r="J194" s="86">
        <f t="shared" si="52"/>
        <v>7579.8525000000009</v>
      </c>
      <c r="K194" s="4"/>
      <c r="L194" s="4"/>
      <c r="M194" s="4"/>
    </row>
    <row r="195" spans="1:13" ht="15.75" customHeight="1" x14ac:dyDescent="0.25">
      <c r="A195" s="31">
        <v>116</v>
      </c>
      <c r="B195" s="32" t="s">
        <v>315</v>
      </c>
      <c r="C195" s="33" t="s">
        <v>21</v>
      </c>
      <c r="D195" s="436"/>
      <c r="E195" s="332" t="s">
        <v>316</v>
      </c>
      <c r="F195" s="408" t="s">
        <v>23</v>
      </c>
      <c r="G195" s="327">
        <v>20</v>
      </c>
      <c r="H195" s="409">
        <v>8028</v>
      </c>
      <c r="I195" s="431">
        <f t="shared" si="51"/>
        <v>209289.96000000002</v>
      </c>
      <c r="J195" s="86">
        <f t="shared" si="52"/>
        <v>10464.498000000001</v>
      </c>
      <c r="K195" s="4"/>
      <c r="L195" s="4"/>
      <c r="M195" s="4"/>
    </row>
    <row r="196" spans="1:13" ht="15.75" customHeight="1" x14ac:dyDescent="0.25">
      <c r="A196" s="479" t="s">
        <v>33</v>
      </c>
      <c r="B196" s="445"/>
      <c r="C196" s="446"/>
      <c r="D196" s="446"/>
      <c r="E196" s="475"/>
      <c r="F196" s="445"/>
      <c r="G196" s="446"/>
      <c r="H196" s="334"/>
      <c r="I196" s="476">
        <f>SUM(I192:I195)</f>
        <v>601304.55000000005</v>
      </c>
      <c r="J196" s="86">
        <f t="shared" si="52"/>
        <v>0</v>
      </c>
      <c r="K196" s="4"/>
      <c r="L196" s="4"/>
      <c r="M196" s="4"/>
    </row>
    <row r="197" spans="1:13" ht="15.75" customHeight="1" x14ac:dyDescent="0.25">
      <c r="A197" s="417"/>
      <c r="B197" s="418">
        <v>9</v>
      </c>
      <c r="C197" s="402"/>
      <c r="D197" s="402"/>
      <c r="E197" s="382" t="s">
        <v>317</v>
      </c>
      <c r="F197" s="420"/>
      <c r="G197" s="402"/>
      <c r="H197" s="403"/>
      <c r="I197" s="434"/>
      <c r="J197" s="92"/>
      <c r="K197" s="4"/>
      <c r="L197" s="4"/>
      <c r="M197" s="4"/>
    </row>
    <row r="198" spans="1:13" ht="15.75" customHeight="1" x14ac:dyDescent="0.25">
      <c r="A198" s="423"/>
      <c r="B198" s="424" t="s">
        <v>318</v>
      </c>
      <c r="C198" s="426"/>
      <c r="D198" s="426"/>
      <c r="E198" s="427" t="s">
        <v>319</v>
      </c>
      <c r="F198" s="428"/>
      <c r="G198" s="426"/>
      <c r="H198" s="448"/>
      <c r="I198" s="435"/>
      <c r="J198" s="92"/>
      <c r="K198" s="4"/>
      <c r="L198" s="4"/>
      <c r="M198" s="4"/>
    </row>
    <row r="199" spans="1:13" ht="15.75" customHeight="1" x14ac:dyDescent="0.25">
      <c r="A199" s="31">
        <v>121</v>
      </c>
      <c r="B199" s="32" t="s">
        <v>320</v>
      </c>
      <c r="C199" s="33" t="s">
        <v>21</v>
      </c>
      <c r="D199" s="436"/>
      <c r="E199" s="332" t="s">
        <v>321</v>
      </c>
      <c r="F199" s="408" t="s">
        <v>39</v>
      </c>
      <c r="G199" s="327">
        <v>4</v>
      </c>
      <c r="H199" s="409">
        <v>582591</v>
      </c>
      <c r="I199" s="431">
        <f t="shared" ref="I199" si="53">+J199*G199</f>
        <v>3037629.4740000004</v>
      </c>
      <c r="J199" s="86">
        <f t="shared" ref="J199" si="54">+H199*$J$9</f>
        <v>759407.3685000001</v>
      </c>
      <c r="K199" s="4"/>
      <c r="L199" s="4"/>
      <c r="M199" s="4"/>
    </row>
    <row r="200" spans="1:13" ht="15.75" customHeight="1" x14ac:dyDescent="0.25">
      <c r="A200" s="479" t="s">
        <v>33</v>
      </c>
      <c r="B200" s="445"/>
      <c r="C200" s="446"/>
      <c r="D200" s="446"/>
      <c r="E200" s="475"/>
      <c r="F200" s="445"/>
      <c r="G200" s="446"/>
      <c r="H200" s="334"/>
      <c r="I200" s="476">
        <f>SUM(I199:I199)</f>
        <v>3037629.4740000004</v>
      </c>
      <c r="J200" s="86"/>
      <c r="K200" s="4"/>
      <c r="L200" s="4"/>
      <c r="M200" s="4"/>
    </row>
    <row r="201" spans="1:13" ht="15.75" customHeight="1" x14ac:dyDescent="0.25">
      <c r="A201" s="63"/>
      <c r="B201" s="64" t="s">
        <v>322</v>
      </c>
      <c r="C201" s="65"/>
      <c r="D201" s="65"/>
      <c r="E201" s="66" t="s">
        <v>323</v>
      </c>
      <c r="F201" s="67"/>
      <c r="G201" s="65"/>
      <c r="H201" s="68"/>
      <c r="I201" s="452"/>
      <c r="J201" s="95"/>
      <c r="K201" s="4"/>
      <c r="L201" s="4"/>
      <c r="M201" s="4"/>
    </row>
    <row r="202" spans="1:13" ht="15.75" customHeight="1" x14ac:dyDescent="0.25">
      <c r="A202" s="31">
        <v>111</v>
      </c>
      <c r="B202" s="32" t="s">
        <v>324</v>
      </c>
      <c r="C202" s="33" t="s">
        <v>21</v>
      </c>
      <c r="D202" s="436"/>
      <c r="E202" s="437" t="s">
        <v>325</v>
      </c>
      <c r="F202" s="438" t="s">
        <v>39</v>
      </c>
      <c r="G202" s="439">
        <v>4</v>
      </c>
      <c r="H202" s="411">
        <v>780247</v>
      </c>
      <c r="I202" s="431">
        <f t="shared" ref="I202" si="55">+J202*G202</f>
        <v>4068207.8580000005</v>
      </c>
      <c r="J202" s="86">
        <f t="shared" ref="J202" si="56">+H202*$J$9</f>
        <v>1017051.9645000001</v>
      </c>
      <c r="K202" s="4"/>
      <c r="L202" s="4"/>
      <c r="M202" s="4"/>
    </row>
    <row r="203" spans="1:13" ht="15.75" customHeight="1" x14ac:dyDescent="0.25">
      <c r="A203" s="479" t="s">
        <v>33</v>
      </c>
      <c r="B203" s="445"/>
      <c r="C203" s="446"/>
      <c r="D203" s="446"/>
      <c r="E203" s="475"/>
      <c r="F203" s="445"/>
      <c r="G203" s="446"/>
      <c r="H203" s="334"/>
      <c r="I203" s="476">
        <f>SUM(I202:I202)</f>
        <v>4068207.8580000005</v>
      </c>
      <c r="J203" s="86"/>
      <c r="K203" s="4"/>
      <c r="L203" s="4"/>
      <c r="M203" s="4"/>
    </row>
    <row r="204" spans="1:13" ht="15.75" customHeight="1" x14ac:dyDescent="0.25">
      <c r="A204" s="63"/>
      <c r="B204" s="64" t="s">
        <v>327</v>
      </c>
      <c r="C204" s="65"/>
      <c r="D204" s="65"/>
      <c r="E204" s="66" t="s">
        <v>328</v>
      </c>
      <c r="F204" s="67"/>
      <c r="G204" s="65"/>
      <c r="H204" s="68"/>
      <c r="I204" s="452"/>
      <c r="J204" s="92"/>
      <c r="K204" s="4"/>
      <c r="L204" s="4"/>
      <c r="M204" s="4"/>
    </row>
    <row r="205" spans="1:13" ht="15.75" customHeight="1" x14ac:dyDescent="0.25">
      <c r="A205" s="31">
        <v>123</v>
      </c>
      <c r="B205" s="32" t="s">
        <v>329</v>
      </c>
      <c r="C205" s="33" t="s">
        <v>21</v>
      </c>
      <c r="D205" s="436"/>
      <c r="E205" s="437" t="s">
        <v>330</v>
      </c>
      <c r="F205" s="438" t="s">
        <v>39</v>
      </c>
      <c r="G205" s="439">
        <v>3</v>
      </c>
      <c r="H205" s="411">
        <v>459952</v>
      </c>
      <c r="I205" s="431">
        <f t="shared" ref="I205:I207" si="57">+J205*G205</f>
        <v>1798642.2960000001</v>
      </c>
      <c r="J205" s="86">
        <f t="shared" ref="J205:J207" si="58">+H205*$J$9</f>
        <v>599547.43200000003</v>
      </c>
      <c r="K205" s="4"/>
      <c r="L205" s="4"/>
      <c r="M205" s="4"/>
    </row>
    <row r="206" spans="1:13" ht="15.75" customHeight="1" x14ac:dyDescent="0.25">
      <c r="A206" s="31">
        <v>124</v>
      </c>
      <c r="B206" s="32" t="s">
        <v>331</v>
      </c>
      <c r="C206" s="33" t="s">
        <v>21</v>
      </c>
      <c r="D206" s="436"/>
      <c r="E206" s="332" t="s">
        <v>332</v>
      </c>
      <c r="F206" s="408" t="s">
        <v>39</v>
      </c>
      <c r="G206" s="327">
        <v>1</v>
      </c>
      <c r="H206" s="409">
        <v>478003</v>
      </c>
      <c r="I206" s="431">
        <f t="shared" si="57"/>
        <v>623076.9105</v>
      </c>
      <c r="J206" s="86">
        <f t="shared" si="58"/>
        <v>623076.9105</v>
      </c>
      <c r="K206" s="4"/>
      <c r="L206" s="4"/>
      <c r="M206" s="4"/>
    </row>
    <row r="207" spans="1:13" ht="15.75" customHeight="1" x14ac:dyDescent="0.25">
      <c r="A207" s="31">
        <v>125</v>
      </c>
      <c r="B207" s="32">
        <v>6.5</v>
      </c>
      <c r="C207" s="33" t="s">
        <v>333</v>
      </c>
      <c r="D207" s="436"/>
      <c r="E207" s="332" t="s">
        <v>334</v>
      </c>
      <c r="F207" s="408" t="s">
        <v>26</v>
      </c>
      <c r="G207" s="327">
        <v>182</v>
      </c>
      <c r="H207" s="409">
        <v>10224</v>
      </c>
      <c r="I207" s="431">
        <f t="shared" si="57"/>
        <v>2425511.088</v>
      </c>
      <c r="J207" s="86">
        <f t="shared" si="58"/>
        <v>13326.984</v>
      </c>
      <c r="K207" s="4"/>
      <c r="L207" s="4"/>
      <c r="M207" s="4"/>
    </row>
    <row r="208" spans="1:13" ht="15.75" customHeight="1" x14ac:dyDescent="0.25">
      <c r="A208" s="479" t="s">
        <v>33</v>
      </c>
      <c r="B208" s="445"/>
      <c r="C208" s="446"/>
      <c r="D208" s="446"/>
      <c r="E208" s="475"/>
      <c r="F208" s="445"/>
      <c r="G208" s="446"/>
      <c r="H208" s="334"/>
      <c r="I208" s="476">
        <f>SUM(I205:I207)</f>
        <v>4847230.2945000008</v>
      </c>
      <c r="J208" s="86"/>
      <c r="K208" s="4"/>
      <c r="L208" s="4"/>
      <c r="M208" s="4"/>
    </row>
    <row r="209" spans="1:13" ht="15.75" customHeight="1" x14ac:dyDescent="0.25">
      <c r="A209" s="63"/>
      <c r="B209" s="64" t="s">
        <v>335</v>
      </c>
      <c r="C209" s="65"/>
      <c r="D209" s="65"/>
      <c r="E209" s="66" t="s">
        <v>336</v>
      </c>
      <c r="F209" s="67"/>
      <c r="G209" s="65"/>
      <c r="H209" s="68"/>
      <c r="I209" s="452"/>
      <c r="J209" s="92"/>
      <c r="K209" s="4"/>
      <c r="L209" s="4"/>
      <c r="M209" s="4"/>
    </row>
    <row r="210" spans="1:13" ht="15.75" customHeight="1" x14ac:dyDescent="0.25">
      <c r="A210" s="31">
        <v>126</v>
      </c>
      <c r="B210" s="32">
        <v>11774</v>
      </c>
      <c r="C210" s="327" t="s">
        <v>151</v>
      </c>
      <c r="D210" s="436"/>
      <c r="E210" s="407" t="s">
        <v>337</v>
      </c>
      <c r="F210" s="497" t="s">
        <v>338</v>
      </c>
      <c r="G210" s="327">
        <v>50</v>
      </c>
      <c r="H210" s="414">
        <v>6157</v>
      </c>
      <c r="I210" s="431">
        <f t="shared" ref="I210:I212" si="59">+J210*G210</f>
        <v>401282.47500000003</v>
      </c>
      <c r="J210" s="86">
        <f t="shared" ref="J210:J212" si="60">+H210*$J$9</f>
        <v>8025.6495000000004</v>
      </c>
      <c r="K210" s="4"/>
      <c r="L210" s="4"/>
      <c r="M210" s="4"/>
    </row>
    <row r="211" spans="1:13" ht="15.75" customHeight="1" x14ac:dyDescent="0.25">
      <c r="A211" s="31">
        <v>177</v>
      </c>
      <c r="B211" s="32" t="s">
        <v>339</v>
      </c>
      <c r="C211" s="33" t="s">
        <v>21</v>
      </c>
      <c r="D211" s="436"/>
      <c r="E211" s="407" t="s">
        <v>340</v>
      </c>
      <c r="F211" s="497" t="s">
        <v>338</v>
      </c>
      <c r="G211" s="327">
        <v>50</v>
      </c>
      <c r="H211" s="409">
        <v>6554</v>
      </c>
      <c r="I211" s="431">
        <f t="shared" si="59"/>
        <v>427156.95000000007</v>
      </c>
      <c r="J211" s="86">
        <f t="shared" si="60"/>
        <v>8543.139000000001</v>
      </c>
      <c r="K211" s="4"/>
      <c r="L211" s="4"/>
      <c r="M211" s="4"/>
    </row>
    <row r="212" spans="1:13" ht="15.75" customHeight="1" x14ac:dyDescent="0.25">
      <c r="A212" s="31">
        <v>178</v>
      </c>
      <c r="B212" s="32" t="s">
        <v>341</v>
      </c>
      <c r="C212" s="33" t="s">
        <v>21</v>
      </c>
      <c r="D212" s="436"/>
      <c r="E212" s="407" t="s">
        <v>342</v>
      </c>
      <c r="F212" s="497" t="s">
        <v>338</v>
      </c>
      <c r="G212" s="327">
        <v>60</v>
      </c>
      <c r="H212" s="409">
        <v>10021</v>
      </c>
      <c r="I212" s="431">
        <f t="shared" si="59"/>
        <v>783742.41000000015</v>
      </c>
      <c r="J212" s="86">
        <f t="shared" si="60"/>
        <v>13062.373500000002</v>
      </c>
      <c r="K212" s="4"/>
      <c r="L212" s="4"/>
      <c r="M212" s="4"/>
    </row>
    <row r="213" spans="1:13" ht="15.75" customHeight="1" x14ac:dyDescent="0.25">
      <c r="A213" s="479" t="s">
        <v>33</v>
      </c>
      <c r="B213" s="445"/>
      <c r="C213" s="446"/>
      <c r="D213" s="446"/>
      <c r="E213" s="475"/>
      <c r="F213" s="445"/>
      <c r="G213" s="446"/>
      <c r="H213" s="334"/>
      <c r="I213" s="476">
        <f>SUM(I210:I212)</f>
        <v>1612181.8350000002</v>
      </c>
      <c r="J213" s="86"/>
      <c r="K213" s="4"/>
      <c r="L213" s="4"/>
      <c r="M213" s="4"/>
    </row>
    <row r="214" spans="1:13" ht="15.75" customHeight="1" x14ac:dyDescent="0.25">
      <c r="A214" s="63"/>
      <c r="B214" s="64" t="s">
        <v>343</v>
      </c>
      <c r="C214" s="65"/>
      <c r="D214" s="65"/>
      <c r="E214" s="66" t="s">
        <v>344</v>
      </c>
      <c r="F214" s="67"/>
      <c r="G214" s="65"/>
      <c r="H214" s="68"/>
      <c r="I214" s="452"/>
      <c r="J214" s="92"/>
      <c r="K214" s="4"/>
      <c r="L214" s="4"/>
      <c r="M214" s="4"/>
    </row>
    <row r="215" spans="1:13" ht="15.75" customHeight="1" x14ac:dyDescent="0.25">
      <c r="A215" s="31">
        <v>179</v>
      </c>
      <c r="B215" s="32" t="s">
        <v>345</v>
      </c>
      <c r="C215" s="33" t="s">
        <v>21</v>
      </c>
      <c r="D215" s="436"/>
      <c r="E215" s="332" t="s">
        <v>346</v>
      </c>
      <c r="F215" s="408" t="s">
        <v>338</v>
      </c>
      <c r="G215" s="327">
        <v>25</v>
      </c>
      <c r="H215" s="409">
        <v>204365</v>
      </c>
      <c r="I215" s="431">
        <f t="shared" ref="I215:I217" si="61">+J215*G215</f>
        <v>6659744.4375000009</v>
      </c>
      <c r="J215" s="86">
        <f t="shared" ref="J215:J217" si="62">+H215*$J$9</f>
        <v>266389.77750000003</v>
      </c>
      <c r="K215" s="4"/>
      <c r="L215" s="4"/>
      <c r="M215" s="4"/>
    </row>
    <row r="216" spans="1:13" ht="15.75" customHeight="1" x14ac:dyDescent="0.25">
      <c r="A216" s="31">
        <v>127</v>
      </c>
      <c r="B216" s="32" t="s">
        <v>347</v>
      </c>
      <c r="C216" s="33" t="s">
        <v>21</v>
      </c>
      <c r="D216" s="436"/>
      <c r="E216" s="332" t="s">
        <v>348</v>
      </c>
      <c r="F216" s="408" t="s">
        <v>338</v>
      </c>
      <c r="G216" s="496">
        <f>0.5*G207</f>
        <v>91</v>
      </c>
      <c r="H216" s="409">
        <v>26669</v>
      </c>
      <c r="I216" s="431">
        <f t="shared" si="61"/>
        <v>3163436.7765000002</v>
      </c>
      <c r="J216" s="86">
        <f t="shared" si="62"/>
        <v>34763.041499999999</v>
      </c>
      <c r="K216" s="4"/>
      <c r="L216" s="4"/>
      <c r="M216" s="4"/>
    </row>
    <row r="217" spans="1:13" ht="15.75" customHeight="1" x14ac:dyDescent="0.25">
      <c r="A217" s="31">
        <v>181</v>
      </c>
      <c r="B217" s="32" t="s">
        <v>349</v>
      </c>
      <c r="C217" s="33" t="s">
        <v>21</v>
      </c>
      <c r="D217" s="436"/>
      <c r="E217" s="332" t="s">
        <v>350</v>
      </c>
      <c r="F217" s="408" t="s">
        <v>338</v>
      </c>
      <c r="G217" s="327">
        <v>25</v>
      </c>
      <c r="H217" s="409">
        <v>20295</v>
      </c>
      <c r="I217" s="431">
        <f t="shared" si="61"/>
        <v>661363.3125</v>
      </c>
      <c r="J217" s="86">
        <f t="shared" si="62"/>
        <v>26454.532500000001</v>
      </c>
      <c r="K217" s="4"/>
      <c r="L217" s="4"/>
      <c r="M217" s="4"/>
    </row>
    <row r="218" spans="1:13" ht="15.75" customHeight="1" x14ac:dyDescent="0.25">
      <c r="A218" s="479" t="s">
        <v>33</v>
      </c>
      <c r="B218" s="445"/>
      <c r="C218" s="446"/>
      <c r="D218" s="446"/>
      <c r="E218" s="475"/>
      <c r="F218" s="445"/>
      <c r="G218" s="446"/>
      <c r="H218" s="334"/>
      <c r="I218" s="476">
        <f>SUM(I215:I217)</f>
        <v>10484544.526500002</v>
      </c>
      <c r="J218" s="86"/>
      <c r="K218" s="4"/>
      <c r="L218" s="4"/>
      <c r="M218" s="4"/>
    </row>
    <row r="219" spans="1:13" ht="15.75" customHeight="1" x14ac:dyDescent="0.25">
      <c r="A219" s="63"/>
      <c r="B219" s="64" t="s">
        <v>351</v>
      </c>
      <c r="C219" s="65"/>
      <c r="D219" s="65"/>
      <c r="E219" s="66" t="s">
        <v>352</v>
      </c>
      <c r="F219" s="67"/>
      <c r="G219" s="65"/>
      <c r="H219" s="68"/>
      <c r="I219" s="452"/>
      <c r="J219" s="92"/>
      <c r="K219" s="4"/>
      <c r="L219" s="4"/>
      <c r="M219" s="4"/>
    </row>
    <row r="220" spans="1:13" ht="15.75" customHeight="1" x14ac:dyDescent="0.25">
      <c r="A220" s="31">
        <v>128</v>
      </c>
      <c r="B220" s="32" t="s">
        <v>353</v>
      </c>
      <c r="C220" s="33" t="s">
        <v>21</v>
      </c>
      <c r="D220" s="436"/>
      <c r="E220" s="332" t="s">
        <v>354</v>
      </c>
      <c r="F220" s="408" t="s">
        <v>23</v>
      </c>
      <c r="G220" s="327">
        <v>10</v>
      </c>
      <c r="H220" s="409">
        <v>62604</v>
      </c>
      <c r="I220" s="431">
        <f t="shared" ref="I220:I221" si="63">+J220*G220</f>
        <v>816043.14000000013</v>
      </c>
      <c r="J220" s="86">
        <f t="shared" ref="J220:J221" si="64">+H220*$J$9</f>
        <v>81604.314000000013</v>
      </c>
      <c r="K220" s="4"/>
      <c r="L220" s="4"/>
      <c r="M220" s="4"/>
    </row>
    <row r="221" spans="1:13" ht="15.75" customHeight="1" x14ac:dyDescent="0.25">
      <c r="A221" s="31">
        <v>129</v>
      </c>
      <c r="B221" s="32" t="s">
        <v>355</v>
      </c>
      <c r="C221" s="33" t="s">
        <v>21</v>
      </c>
      <c r="D221" s="436"/>
      <c r="E221" s="441" t="s">
        <v>356</v>
      </c>
      <c r="F221" s="442" t="s">
        <v>23</v>
      </c>
      <c r="G221" s="443">
        <v>5</v>
      </c>
      <c r="H221" s="409">
        <v>110863</v>
      </c>
      <c r="I221" s="431">
        <f t="shared" si="63"/>
        <v>722549.60250000004</v>
      </c>
      <c r="J221" s="86">
        <f t="shared" si="64"/>
        <v>144509.92050000001</v>
      </c>
      <c r="K221" s="4"/>
      <c r="L221" s="4"/>
      <c r="M221" s="4"/>
    </row>
    <row r="222" spans="1:13" ht="15.75" customHeight="1" x14ac:dyDescent="0.25">
      <c r="A222" s="479" t="s">
        <v>33</v>
      </c>
      <c r="B222" s="445"/>
      <c r="C222" s="446"/>
      <c r="D222" s="446"/>
      <c r="E222" s="475"/>
      <c r="F222" s="445"/>
      <c r="G222" s="446"/>
      <c r="H222" s="334"/>
      <c r="I222" s="476">
        <f>SUM(I220:I221)</f>
        <v>1538592.7425000002</v>
      </c>
      <c r="J222" s="86"/>
      <c r="K222" s="4"/>
      <c r="L222" s="4"/>
      <c r="M222" s="4"/>
    </row>
    <row r="223" spans="1:13" ht="15.75" customHeight="1" x14ac:dyDescent="0.25">
      <c r="A223" s="63"/>
      <c r="B223" s="65" t="s">
        <v>357</v>
      </c>
      <c r="C223" s="65"/>
      <c r="D223" s="65"/>
      <c r="E223" s="66" t="s">
        <v>358</v>
      </c>
      <c r="F223" s="65"/>
      <c r="G223" s="65"/>
      <c r="H223" s="68"/>
      <c r="I223" s="452"/>
      <c r="J223" s="92"/>
      <c r="K223" s="4"/>
      <c r="L223" s="4"/>
      <c r="M223" s="4"/>
    </row>
    <row r="224" spans="1:13" ht="15.75" customHeight="1" x14ac:dyDescent="0.25">
      <c r="A224" s="31">
        <v>130</v>
      </c>
      <c r="B224" s="32" t="s">
        <v>359</v>
      </c>
      <c r="C224" s="33" t="s">
        <v>21</v>
      </c>
      <c r="D224" s="436"/>
      <c r="E224" s="332" t="s">
        <v>360</v>
      </c>
      <c r="F224" s="408" t="s">
        <v>26</v>
      </c>
      <c r="G224" s="327">
        <v>15</v>
      </c>
      <c r="H224" s="409">
        <v>78962</v>
      </c>
      <c r="I224" s="431">
        <f t="shared" ref="I224:I228" si="65">+J224*G224</f>
        <v>1543904.5050000001</v>
      </c>
      <c r="J224" s="86">
        <f t="shared" ref="J224:J228" si="66">+H224*$J$9</f>
        <v>102926.967</v>
      </c>
      <c r="K224" s="4"/>
      <c r="L224" s="4"/>
      <c r="M224" s="4"/>
    </row>
    <row r="225" spans="1:13" ht="15.75" customHeight="1" x14ac:dyDescent="0.25">
      <c r="A225" s="31">
        <v>131</v>
      </c>
      <c r="B225" s="32" t="s">
        <v>361</v>
      </c>
      <c r="C225" s="33" t="s">
        <v>21</v>
      </c>
      <c r="D225" s="436"/>
      <c r="E225" s="332" t="s">
        <v>362</v>
      </c>
      <c r="F225" s="408" t="s">
        <v>26</v>
      </c>
      <c r="G225" s="327">
        <v>15</v>
      </c>
      <c r="H225" s="409">
        <v>103322</v>
      </c>
      <c r="I225" s="431">
        <f t="shared" si="65"/>
        <v>2020203.4050000003</v>
      </c>
      <c r="J225" s="86">
        <f t="shared" si="66"/>
        <v>134680.22700000001</v>
      </c>
      <c r="K225" s="4"/>
      <c r="L225" s="4"/>
      <c r="M225" s="4"/>
    </row>
    <row r="226" spans="1:13" ht="15.75" customHeight="1" x14ac:dyDescent="0.25">
      <c r="A226" s="31">
        <v>132</v>
      </c>
      <c r="B226" s="32" t="s">
        <v>363</v>
      </c>
      <c r="C226" s="33" t="s">
        <v>21</v>
      </c>
      <c r="D226" s="436"/>
      <c r="E226" s="332" t="s">
        <v>364</v>
      </c>
      <c r="F226" s="408" t="s">
        <v>26</v>
      </c>
      <c r="G226" s="327">
        <v>15</v>
      </c>
      <c r="H226" s="409">
        <v>25782</v>
      </c>
      <c r="I226" s="431">
        <f t="shared" si="65"/>
        <v>504102.55499999999</v>
      </c>
      <c r="J226" s="86">
        <f t="shared" si="66"/>
        <v>33606.837</v>
      </c>
      <c r="K226" s="4"/>
      <c r="L226" s="4"/>
      <c r="M226" s="4"/>
    </row>
    <row r="227" spans="1:13" ht="15.75" customHeight="1" x14ac:dyDescent="0.25">
      <c r="A227" s="31">
        <v>133</v>
      </c>
      <c r="B227" s="32" t="s">
        <v>365</v>
      </c>
      <c r="C227" s="33" t="s">
        <v>21</v>
      </c>
      <c r="D227" s="436"/>
      <c r="E227" s="332" t="s">
        <v>366</v>
      </c>
      <c r="F227" s="408" t="s">
        <v>26</v>
      </c>
      <c r="G227" s="327">
        <v>15</v>
      </c>
      <c r="H227" s="409">
        <v>35703</v>
      </c>
      <c r="I227" s="431">
        <f t="shared" si="65"/>
        <v>698082.90750000009</v>
      </c>
      <c r="J227" s="86">
        <f t="shared" si="66"/>
        <v>46538.860500000003</v>
      </c>
      <c r="K227" s="4"/>
      <c r="L227" s="4"/>
      <c r="M227" s="4"/>
    </row>
    <row r="228" spans="1:13" ht="15.75" customHeight="1" x14ac:dyDescent="0.25">
      <c r="A228" s="31">
        <v>134</v>
      </c>
      <c r="B228" s="32" t="s">
        <v>367</v>
      </c>
      <c r="C228" s="33" t="s">
        <v>21</v>
      </c>
      <c r="D228" s="436"/>
      <c r="E228" s="332" t="s">
        <v>368</v>
      </c>
      <c r="F228" s="408" t="s">
        <v>26</v>
      </c>
      <c r="G228" s="327">
        <v>15</v>
      </c>
      <c r="H228" s="409">
        <v>40830</v>
      </c>
      <c r="I228" s="431">
        <f t="shared" si="65"/>
        <v>798328.57500000007</v>
      </c>
      <c r="J228" s="86">
        <f t="shared" si="66"/>
        <v>53221.905000000006</v>
      </c>
      <c r="K228" s="4"/>
      <c r="L228" s="4"/>
      <c r="M228" s="4"/>
    </row>
    <row r="229" spans="1:13" ht="15.75" customHeight="1" x14ac:dyDescent="0.25">
      <c r="A229" s="479" t="s">
        <v>33</v>
      </c>
      <c r="B229" s="445"/>
      <c r="C229" s="446"/>
      <c r="D229" s="446"/>
      <c r="E229" s="475"/>
      <c r="F229" s="445"/>
      <c r="G229" s="446"/>
      <c r="H229" s="334"/>
      <c r="I229" s="476">
        <f>SUM(I224:I228)</f>
        <v>5564621.9475000007</v>
      </c>
      <c r="J229" s="3"/>
      <c r="K229" s="4"/>
      <c r="L229" s="4"/>
      <c r="M229" s="4"/>
    </row>
    <row r="230" spans="1:13" ht="15.75" customHeight="1" x14ac:dyDescent="0.25">
      <c r="A230" s="63"/>
      <c r="B230" s="65" t="s">
        <v>369</v>
      </c>
      <c r="C230" s="65"/>
      <c r="D230" s="65"/>
      <c r="E230" s="66" t="s">
        <v>370</v>
      </c>
      <c r="F230" s="65"/>
      <c r="G230" s="65"/>
      <c r="H230" s="68"/>
      <c r="I230" s="452"/>
      <c r="J230" s="92"/>
      <c r="K230" s="4"/>
      <c r="L230" s="4"/>
      <c r="M230" s="4"/>
    </row>
    <row r="231" spans="1:13" ht="15.75" customHeight="1" x14ac:dyDescent="0.25">
      <c r="A231" s="31">
        <v>135</v>
      </c>
      <c r="B231" s="32" t="s">
        <v>371</v>
      </c>
      <c r="C231" s="33" t="s">
        <v>21</v>
      </c>
      <c r="D231" s="436"/>
      <c r="E231" s="332" t="s">
        <v>372</v>
      </c>
      <c r="F231" s="408" t="s">
        <v>26</v>
      </c>
      <c r="G231" s="327">
        <v>80</v>
      </c>
      <c r="H231" s="409">
        <v>45399</v>
      </c>
      <c r="I231" s="431">
        <f t="shared" ref="I231:I234" si="67">+J231*G231</f>
        <v>4734207.7200000007</v>
      </c>
      <c r="J231" s="86">
        <f t="shared" ref="J231:J234" si="68">+H231*$J$9</f>
        <v>59177.596500000007</v>
      </c>
      <c r="K231" s="4"/>
      <c r="L231" s="4"/>
      <c r="M231" s="4"/>
    </row>
    <row r="232" spans="1:13" ht="15.75" customHeight="1" x14ac:dyDescent="0.25">
      <c r="A232" s="31">
        <v>137</v>
      </c>
      <c r="B232" s="32" t="s">
        <v>375</v>
      </c>
      <c r="C232" s="33" t="s">
        <v>21</v>
      </c>
      <c r="D232" s="436"/>
      <c r="E232" s="332" t="s">
        <v>376</v>
      </c>
      <c r="F232" s="408" t="s">
        <v>26</v>
      </c>
      <c r="G232" s="327">
        <v>20</v>
      </c>
      <c r="H232" s="409">
        <v>52173</v>
      </c>
      <c r="I232" s="431">
        <f t="shared" si="67"/>
        <v>1360150.1099999999</v>
      </c>
      <c r="J232" s="86">
        <f t="shared" si="68"/>
        <v>68007.505499999999</v>
      </c>
      <c r="K232" s="4"/>
      <c r="L232" s="4"/>
      <c r="M232" s="4"/>
    </row>
    <row r="233" spans="1:13" ht="15.75" customHeight="1" x14ac:dyDescent="0.25">
      <c r="A233" s="31">
        <v>136</v>
      </c>
      <c r="B233" s="32" t="s">
        <v>373</v>
      </c>
      <c r="C233" s="33" t="s">
        <v>21</v>
      </c>
      <c r="D233" s="436"/>
      <c r="E233" s="332" t="s">
        <v>374</v>
      </c>
      <c r="F233" s="408" t="s">
        <v>26</v>
      </c>
      <c r="G233" s="327">
        <v>20</v>
      </c>
      <c r="H233" s="409">
        <v>104969</v>
      </c>
      <c r="I233" s="431">
        <f>+J233*G233</f>
        <v>2736541.83</v>
      </c>
      <c r="J233" s="86">
        <f>+H233*$J$9</f>
        <v>136827.09150000001</v>
      </c>
      <c r="K233" s="4"/>
      <c r="L233" s="4"/>
      <c r="M233" s="4"/>
    </row>
    <row r="234" spans="1:13" ht="15.75" customHeight="1" x14ac:dyDescent="0.25">
      <c r="A234" s="31">
        <v>138</v>
      </c>
      <c r="B234" s="32">
        <v>7.12</v>
      </c>
      <c r="C234" s="33" t="s">
        <v>333</v>
      </c>
      <c r="D234" s="436"/>
      <c r="E234" s="332" t="s">
        <v>377</v>
      </c>
      <c r="F234" s="408" t="s">
        <v>23</v>
      </c>
      <c r="G234" s="327">
        <v>10</v>
      </c>
      <c r="H234" s="409">
        <v>84588</v>
      </c>
      <c r="I234" s="431">
        <f t="shared" si="67"/>
        <v>1102604.58</v>
      </c>
      <c r="J234" s="86">
        <f t="shared" si="68"/>
        <v>110260.45800000001</v>
      </c>
      <c r="K234" s="4"/>
      <c r="L234" s="4"/>
      <c r="M234" s="4"/>
    </row>
    <row r="235" spans="1:13" ht="15.75" customHeight="1" x14ac:dyDescent="0.25">
      <c r="A235" s="479" t="s">
        <v>33</v>
      </c>
      <c r="B235" s="445"/>
      <c r="C235" s="446"/>
      <c r="D235" s="446"/>
      <c r="E235" s="475"/>
      <c r="F235" s="445"/>
      <c r="G235" s="446"/>
      <c r="H235" s="334"/>
      <c r="I235" s="476">
        <f>SUM(I231:I234)</f>
        <v>9933504.2400000002</v>
      </c>
      <c r="J235" s="3"/>
      <c r="K235" s="4"/>
      <c r="L235" s="4"/>
      <c r="M235" s="4"/>
    </row>
    <row r="236" spans="1:13" ht="15.75" customHeight="1" x14ac:dyDescent="0.25">
      <c r="A236" s="63"/>
      <c r="B236" s="65" t="s">
        <v>378</v>
      </c>
      <c r="C236" s="65"/>
      <c r="D236" s="65"/>
      <c r="E236" s="66" t="s">
        <v>379</v>
      </c>
      <c r="F236" s="65"/>
      <c r="G236" s="65"/>
      <c r="H236" s="68"/>
      <c r="I236" s="452"/>
      <c r="J236" s="92"/>
      <c r="K236" s="4"/>
      <c r="L236" s="4"/>
      <c r="M236" s="4"/>
    </row>
    <row r="237" spans="1:13" ht="15.75" customHeight="1" x14ac:dyDescent="0.25">
      <c r="A237" s="31">
        <v>196</v>
      </c>
      <c r="B237" s="32" t="s">
        <v>380</v>
      </c>
      <c r="C237" s="33" t="s">
        <v>21</v>
      </c>
      <c r="D237" s="436"/>
      <c r="E237" s="332" t="s">
        <v>381</v>
      </c>
      <c r="F237" s="408" t="s">
        <v>44</v>
      </c>
      <c r="G237" s="327">
        <v>1</v>
      </c>
      <c r="H237" s="409">
        <v>40646</v>
      </c>
      <c r="I237" s="431">
        <f t="shared" ref="I237:I240" si="69">+J237*G237</f>
        <v>52982.061000000002</v>
      </c>
      <c r="J237" s="86">
        <f t="shared" ref="J237:J240" si="70">+H237*$J$9</f>
        <v>52982.061000000002</v>
      </c>
      <c r="K237" s="4"/>
      <c r="L237" s="4"/>
      <c r="M237" s="4"/>
    </row>
    <row r="238" spans="1:13" ht="15.75" customHeight="1" x14ac:dyDescent="0.25">
      <c r="A238" s="31">
        <v>197</v>
      </c>
      <c r="B238" s="32" t="s">
        <v>382</v>
      </c>
      <c r="C238" s="33" t="s">
        <v>21</v>
      </c>
      <c r="D238" s="436"/>
      <c r="E238" s="332" t="s">
        <v>383</v>
      </c>
      <c r="F238" s="408" t="s">
        <v>44</v>
      </c>
      <c r="G238" s="327">
        <v>1</v>
      </c>
      <c r="H238" s="409">
        <v>92860</v>
      </c>
      <c r="I238" s="431">
        <f t="shared" si="69"/>
        <v>121043.01000000001</v>
      </c>
      <c r="J238" s="86">
        <f t="shared" si="70"/>
        <v>121043.01000000001</v>
      </c>
      <c r="K238" s="4"/>
      <c r="L238" s="4"/>
      <c r="M238" s="4"/>
    </row>
    <row r="239" spans="1:13" ht="15.75" customHeight="1" x14ac:dyDescent="0.25">
      <c r="A239" s="31">
        <v>198</v>
      </c>
      <c r="B239" s="32" t="s">
        <v>384</v>
      </c>
      <c r="C239" s="33" t="s">
        <v>21</v>
      </c>
      <c r="D239" s="436"/>
      <c r="E239" s="332" t="s">
        <v>385</v>
      </c>
      <c r="F239" s="408" t="s">
        <v>44</v>
      </c>
      <c r="G239" s="327">
        <v>1</v>
      </c>
      <c r="H239" s="409">
        <v>130605</v>
      </c>
      <c r="I239" s="431">
        <f t="shared" si="69"/>
        <v>170243.61750000002</v>
      </c>
      <c r="J239" s="86">
        <f t="shared" si="70"/>
        <v>170243.61750000002</v>
      </c>
      <c r="K239" s="4"/>
      <c r="L239" s="4"/>
      <c r="M239" s="4"/>
    </row>
    <row r="240" spans="1:13" ht="15.75" customHeight="1" x14ac:dyDescent="0.25">
      <c r="A240" s="31">
        <v>139</v>
      </c>
      <c r="B240" s="96" t="s">
        <v>384</v>
      </c>
      <c r="C240" s="33" t="s">
        <v>156</v>
      </c>
      <c r="D240" s="436"/>
      <c r="E240" s="407" t="s">
        <v>552</v>
      </c>
      <c r="F240" s="408" t="s">
        <v>44</v>
      </c>
      <c r="G240" s="327">
        <v>1</v>
      </c>
      <c r="H240" s="409">
        <f>+'PRESUPUESTO FINAL FDLU'!H240</f>
        <v>1004556</v>
      </c>
      <c r="I240" s="431">
        <f t="shared" si="69"/>
        <v>1309438.746</v>
      </c>
      <c r="J240" s="86">
        <f t="shared" si="70"/>
        <v>1309438.746</v>
      </c>
      <c r="K240" s="4"/>
      <c r="L240" s="4"/>
      <c r="M240" s="4"/>
    </row>
    <row r="241" spans="1:13" ht="15.75" customHeight="1" x14ac:dyDescent="0.25">
      <c r="A241" s="479" t="s">
        <v>33</v>
      </c>
      <c r="B241" s="445"/>
      <c r="C241" s="446"/>
      <c r="D241" s="446"/>
      <c r="E241" s="475"/>
      <c r="F241" s="445"/>
      <c r="G241" s="446"/>
      <c r="H241" s="334"/>
      <c r="I241" s="476">
        <f>SUM(I237:I240)</f>
        <v>1653707.4345</v>
      </c>
      <c r="J241" s="3"/>
      <c r="K241" s="4"/>
      <c r="L241" s="4"/>
      <c r="M241" s="4"/>
    </row>
    <row r="242" spans="1:13" ht="15.75" customHeight="1" x14ac:dyDescent="0.25">
      <c r="A242" s="63"/>
      <c r="B242" s="65" t="s">
        <v>386</v>
      </c>
      <c r="C242" s="65"/>
      <c r="D242" s="65"/>
      <c r="E242" s="66" t="s">
        <v>387</v>
      </c>
      <c r="F242" s="65"/>
      <c r="G242" s="65"/>
      <c r="H242" s="68"/>
      <c r="I242" s="452"/>
      <c r="J242" s="92"/>
      <c r="K242" s="4"/>
      <c r="L242" s="4"/>
      <c r="M242" s="4"/>
    </row>
    <row r="243" spans="1:13" ht="18.75" customHeight="1" x14ac:dyDescent="0.25">
      <c r="A243" s="31">
        <v>199</v>
      </c>
      <c r="B243" s="32" t="s">
        <v>388</v>
      </c>
      <c r="C243" s="33" t="s">
        <v>21</v>
      </c>
      <c r="D243" s="436"/>
      <c r="E243" s="332" t="s">
        <v>389</v>
      </c>
      <c r="F243" s="408" t="s">
        <v>26</v>
      </c>
      <c r="G243" s="327">
        <v>10</v>
      </c>
      <c r="H243" s="409">
        <v>51012</v>
      </c>
      <c r="I243" s="431">
        <f t="shared" ref="I243:I246" si="71">+J243*G243</f>
        <v>664941.42000000004</v>
      </c>
      <c r="J243" s="86">
        <f t="shared" ref="J243:J246" si="72">+H243*$J$9</f>
        <v>66494.142000000007</v>
      </c>
      <c r="K243" s="4"/>
      <c r="L243" s="4"/>
      <c r="M243" s="4"/>
    </row>
    <row r="244" spans="1:13" ht="18.75" customHeight="1" x14ac:dyDescent="0.25">
      <c r="A244" s="31">
        <v>200</v>
      </c>
      <c r="B244" s="32" t="s">
        <v>390</v>
      </c>
      <c r="C244" s="33" t="s">
        <v>21</v>
      </c>
      <c r="D244" s="436"/>
      <c r="E244" s="332" t="s">
        <v>391</v>
      </c>
      <c r="F244" s="408" t="s">
        <v>26</v>
      </c>
      <c r="G244" s="327">
        <v>5</v>
      </c>
      <c r="H244" s="409">
        <v>75393</v>
      </c>
      <c r="I244" s="431">
        <f t="shared" si="71"/>
        <v>491373.8775</v>
      </c>
      <c r="J244" s="86">
        <f t="shared" si="72"/>
        <v>98274.775500000003</v>
      </c>
      <c r="K244" s="4"/>
      <c r="L244" s="4"/>
      <c r="M244" s="4"/>
    </row>
    <row r="245" spans="1:13" ht="18.75" customHeight="1" x14ac:dyDescent="0.25">
      <c r="A245" s="31">
        <v>201</v>
      </c>
      <c r="B245" s="32" t="s">
        <v>392</v>
      </c>
      <c r="C245" s="33" t="s">
        <v>21</v>
      </c>
      <c r="D245" s="436"/>
      <c r="E245" s="332" t="s">
        <v>393</v>
      </c>
      <c r="F245" s="408" t="s">
        <v>23</v>
      </c>
      <c r="G245" s="327">
        <v>10</v>
      </c>
      <c r="H245" s="409">
        <v>14550</v>
      </c>
      <c r="I245" s="431">
        <f t="shared" si="71"/>
        <v>189659.25000000003</v>
      </c>
      <c r="J245" s="86">
        <f t="shared" si="72"/>
        <v>18965.925000000003</v>
      </c>
      <c r="K245" s="4"/>
      <c r="L245" s="4"/>
      <c r="M245" s="4"/>
    </row>
    <row r="246" spans="1:13" ht="15.75" customHeight="1" x14ac:dyDescent="0.25">
      <c r="A246" s="31">
        <v>202</v>
      </c>
      <c r="B246" s="32" t="s">
        <v>394</v>
      </c>
      <c r="C246" s="33" t="s">
        <v>333</v>
      </c>
      <c r="D246" s="436"/>
      <c r="E246" s="332" t="s">
        <v>395</v>
      </c>
      <c r="F246" s="408" t="s">
        <v>26</v>
      </c>
      <c r="G246" s="327">
        <v>5</v>
      </c>
      <c r="H246" s="409">
        <v>198500</v>
      </c>
      <c r="I246" s="431">
        <f t="shared" si="71"/>
        <v>1293723.7500000002</v>
      </c>
      <c r="J246" s="86">
        <f t="shared" si="72"/>
        <v>258744.75000000003</v>
      </c>
      <c r="K246" s="4"/>
      <c r="L246" s="4"/>
      <c r="M246" s="4"/>
    </row>
    <row r="247" spans="1:13" ht="15.75" customHeight="1" x14ac:dyDescent="0.25">
      <c r="A247" s="479" t="s">
        <v>33</v>
      </c>
      <c r="B247" s="445"/>
      <c r="C247" s="446"/>
      <c r="D247" s="446"/>
      <c r="E247" s="475"/>
      <c r="F247" s="445"/>
      <c r="G247" s="446"/>
      <c r="H247" s="334"/>
      <c r="I247" s="476">
        <f>SUM(I243:I246)</f>
        <v>2639698.2975000003</v>
      </c>
      <c r="J247" s="4"/>
      <c r="K247" s="4"/>
      <c r="L247" s="4"/>
      <c r="M247" s="4"/>
    </row>
    <row r="248" spans="1:13" ht="15.75" customHeight="1" x14ac:dyDescent="0.25">
      <c r="A248" s="63"/>
      <c r="B248" s="65" t="s">
        <v>396</v>
      </c>
      <c r="C248" s="65"/>
      <c r="D248" s="65"/>
      <c r="E248" s="66" t="s">
        <v>397</v>
      </c>
      <c r="F248" s="65"/>
      <c r="G248" s="65"/>
      <c r="H248" s="68"/>
      <c r="I248" s="452"/>
      <c r="J248" s="92"/>
      <c r="K248" s="4"/>
      <c r="L248" s="4"/>
      <c r="M248" s="4"/>
    </row>
    <row r="249" spans="1:13" ht="15.75" customHeight="1" x14ac:dyDescent="0.25">
      <c r="A249" s="31">
        <v>140</v>
      </c>
      <c r="B249" s="32" t="s">
        <v>398</v>
      </c>
      <c r="C249" s="33" t="s">
        <v>21</v>
      </c>
      <c r="D249" s="436"/>
      <c r="E249" s="332" t="s">
        <v>399</v>
      </c>
      <c r="F249" s="408" t="s">
        <v>23</v>
      </c>
      <c r="G249" s="327">
        <v>5</v>
      </c>
      <c r="H249" s="409">
        <v>248626</v>
      </c>
      <c r="I249" s="431">
        <f t="shared" ref="I249:I258" si="73">+J249*G249</f>
        <v>1620419.9550000001</v>
      </c>
      <c r="J249" s="86">
        <f t="shared" ref="J249:J258" si="74">+H249*$J$9</f>
        <v>324083.99100000004</v>
      </c>
      <c r="K249" s="4"/>
      <c r="L249" s="4"/>
      <c r="M249" s="4"/>
    </row>
    <row r="250" spans="1:13" ht="45" x14ac:dyDescent="0.25">
      <c r="A250" s="31">
        <v>141</v>
      </c>
      <c r="B250" s="32" t="s">
        <v>400</v>
      </c>
      <c r="C250" s="33" t="s">
        <v>21</v>
      </c>
      <c r="D250" s="436"/>
      <c r="E250" s="407" t="s">
        <v>401</v>
      </c>
      <c r="F250" s="408" t="s">
        <v>23</v>
      </c>
      <c r="G250" s="327">
        <v>5</v>
      </c>
      <c r="H250" s="409">
        <v>272119</v>
      </c>
      <c r="I250" s="431">
        <f t="shared" si="73"/>
        <v>1773535.5825</v>
      </c>
      <c r="J250" s="86">
        <f t="shared" si="74"/>
        <v>354707.1165</v>
      </c>
      <c r="K250" s="4"/>
      <c r="L250" s="4"/>
      <c r="M250" s="4"/>
    </row>
    <row r="251" spans="1:13" ht="45" x14ac:dyDescent="0.25">
      <c r="A251" s="31">
        <v>142</v>
      </c>
      <c r="B251" s="32" t="s">
        <v>402</v>
      </c>
      <c r="C251" s="33" t="s">
        <v>21</v>
      </c>
      <c r="D251" s="436"/>
      <c r="E251" s="407" t="s">
        <v>403</v>
      </c>
      <c r="F251" s="408" t="s">
        <v>23</v>
      </c>
      <c r="G251" s="327">
        <v>5</v>
      </c>
      <c r="H251" s="409">
        <v>328855</v>
      </c>
      <c r="I251" s="431">
        <f t="shared" si="73"/>
        <v>2143312.4625000004</v>
      </c>
      <c r="J251" s="86">
        <f t="shared" si="74"/>
        <v>428662.49250000005</v>
      </c>
      <c r="K251" s="4"/>
      <c r="L251" s="4"/>
      <c r="M251" s="4"/>
    </row>
    <row r="252" spans="1:13" ht="45" x14ac:dyDescent="0.25">
      <c r="A252" s="31">
        <v>143</v>
      </c>
      <c r="B252" s="32" t="s">
        <v>404</v>
      </c>
      <c r="C252" s="33" t="s">
        <v>21</v>
      </c>
      <c r="D252" s="436"/>
      <c r="E252" s="407" t="s">
        <v>405</v>
      </c>
      <c r="F252" s="408" t="s">
        <v>23</v>
      </c>
      <c r="G252" s="327">
        <v>5</v>
      </c>
      <c r="H252" s="409">
        <v>448368</v>
      </c>
      <c r="I252" s="431">
        <f t="shared" si="73"/>
        <v>2922238.4400000004</v>
      </c>
      <c r="J252" s="86">
        <f t="shared" si="74"/>
        <v>584447.68800000008</v>
      </c>
      <c r="K252" s="4"/>
      <c r="L252" s="4"/>
      <c r="M252" s="4"/>
    </row>
    <row r="253" spans="1:13" ht="45" x14ac:dyDescent="0.25">
      <c r="A253" s="31">
        <v>144</v>
      </c>
      <c r="B253" s="32" t="s">
        <v>406</v>
      </c>
      <c r="C253" s="33" t="s">
        <v>21</v>
      </c>
      <c r="D253" s="436"/>
      <c r="E253" s="332" t="s">
        <v>407</v>
      </c>
      <c r="F253" s="408" t="s">
        <v>23</v>
      </c>
      <c r="G253" s="327">
        <v>5</v>
      </c>
      <c r="H253" s="409">
        <v>247804</v>
      </c>
      <c r="I253" s="431">
        <f t="shared" si="73"/>
        <v>1615062.57</v>
      </c>
      <c r="J253" s="86">
        <f t="shared" si="74"/>
        <v>323012.51400000002</v>
      </c>
      <c r="K253" s="4"/>
      <c r="L253" s="4"/>
      <c r="M253" s="4"/>
    </row>
    <row r="254" spans="1:13" ht="45" x14ac:dyDescent="0.25">
      <c r="A254" s="31">
        <v>145</v>
      </c>
      <c r="B254" s="32" t="s">
        <v>408</v>
      </c>
      <c r="C254" s="33" t="s">
        <v>21</v>
      </c>
      <c r="D254" s="436"/>
      <c r="E254" s="332" t="s">
        <v>409</v>
      </c>
      <c r="F254" s="408" t="s">
        <v>23</v>
      </c>
      <c r="G254" s="327">
        <v>5</v>
      </c>
      <c r="H254" s="409">
        <v>176401</v>
      </c>
      <c r="I254" s="431">
        <f t="shared" si="73"/>
        <v>1149693.5175000001</v>
      </c>
      <c r="J254" s="86">
        <f t="shared" si="74"/>
        <v>229938.70350000003</v>
      </c>
      <c r="K254" s="4"/>
      <c r="L254" s="4"/>
      <c r="M254" s="4"/>
    </row>
    <row r="255" spans="1:13" ht="45" x14ac:dyDescent="0.25">
      <c r="A255" s="31">
        <v>146</v>
      </c>
      <c r="B255" s="32" t="s">
        <v>410</v>
      </c>
      <c r="C255" s="33" t="s">
        <v>21</v>
      </c>
      <c r="D255" s="436"/>
      <c r="E255" s="407" t="s">
        <v>411</v>
      </c>
      <c r="F255" s="408" t="s">
        <v>44</v>
      </c>
      <c r="G255" s="327">
        <v>5</v>
      </c>
      <c r="H255" s="409">
        <v>237042</v>
      </c>
      <c r="I255" s="431">
        <f t="shared" si="73"/>
        <v>1544921.2350000001</v>
      </c>
      <c r="J255" s="86">
        <f t="shared" si="74"/>
        <v>308984.24700000003</v>
      </c>
      <c r="K255" s="4"/>
      <c r="L255" s="4"/>
      <c r="M255" s="4"/>
    </row>
    <row r="256" spans="1:13" ht="15.75" customHeight="1" x14ac:dyDescent="0.25">
      <c r="A256" s="31">
        <v>147</v>
      </c>
      <c r="B256" s="32" t="s">
        <v>412</v>
      </c>
      <c r="C256" s="33" t="s">
        <v>21</v>
      </c>
      <c r="D256" s="436"/>
      <c r="E256" s="332" t="s">
        <v>413</v>
      </c>
      <c r="F256" s="408" t="s">
        <v>26</v>
      </c>
      <c r="G256" s="327">
        <v>1</v>
      </c>
      <c r="H256" s="409">
        <v>390280</v>
      </c>
      <c r="I256" s="431">
        <f t="shared" si="73"/>
        <v>508729.98000000004</v>
      </c>
      <c r="J256" s="86">
        <f t="shared" si="74"/>
        <v>508729.98000000004</v>
      </c>
      <c r="K256" s="4"/>
      <c r="L256" s="4"/>
      <c r="M256" s="4"/>
    </row>
    <row r="257" spans="1:13" ht="45" x14ac:dyDescent="0.25">
      <c r="A257" s="31">
        <v>148</v>
      </c>
      <c r="B257" s="32" t="s">
        <v>414</v>
      </c>
      <c r="C257" s="33" t="s">
        <v>21</v>
      </c>
      <c r="D257" s="436"/>
      <c r="E257" s="407" t="s">
        <v>415</v>
      </c>
      <c r="F257" s="408" t="s">
        <v>26</v>
      </c>
      <c r="G257" s="327">
        <v>1</v>
      </c>
      <c r="H257" s="409">
        <v>231634</v>
      </c>
      <c r="I257" s="431">
        <f t="shared" si="73"/>
        <v>301934.91900000005</v>
      </c>
      <c r="J257" s="86">
        <f t="shared" si="74"/>
        <v>301934.91900000005</v>
      </c>
      <c r="K257" s="4"/>
      <c r="L257" s="4"/>
      <c r="M257" s="4"/>
    </row>
    <row r="258" spans="1:13" ht="45" x14ac:dyDescent="0.25">
      <c r="A258" s="31">
        <v>149</v>
      </c>
      <c r="B258" s="96" t="s">
        <v>412</v>
      </c>
      <c r="C258" s="33" t="s">
        <v>21</v>
      </c>
      <c r="D258" s="436"/>
      <c r="E258" s="407" t="s">
        <v>416</v>
      </c>
      <c r="F258" s="408" t="s">
        <v>44</v>
      </c>
      <c r="G258" s="327">
        <v>1</v>
      </c>
      <c r="H258" s="409">
        <v>1271142</v>
      </c>
      <c r="I258" s="431">
        <f t="shared" si="73"/>
        <v>1656933.5970000001</v>
      </c>
      <c r="J258" s="86">
        <f t="shared" si="74"/>
        <v>1656933.5970000001</v>
      </c>
      <c r="K258" s="4"/>
      <c r="L258" s="4"/>
      <c r="M258" s="4"/>
    </row>
    <row r="259" spans="1:13" ht="15.75" customHeight="1" x14ac:dyDescent="0.25">
      <c r="A259" s="479" t="s">
        <v>33</v>
      </c>
      <c r="B259" s="445"/>
      <c r="C259" s="446"/>
      <c r="D259" s="446"/>
      <c r="E259" s="475"/>
      <c r="F259" s="445"/>
      <c r="G259" s="446"/>
      <c r="H259" s="334"/>
      <c r="I259" s="476">
        <f>SUM(I249:I258)</f>
        <v>15236782.258500002</v>
      </c>
      <c r="J259" s="4"/>
      <c r="K259" s="4"/>
      <c r="L259" s="4"/>
      <c r="M259" s="4"/>
    </row>
    <row r="260" spans="1:13" ht="15.75" customHeight="1" x14ac:dyDescent="0.25">
      <c r="A260" s="63"/>
      <c r="B260" s="65" t="s">
        <v>417</v>
      </c>
      <c r="C260" s="65"/>
      <c r="D260" s="65"/>
      <c r="E260" s="66" t="s">
        <v>418</v>
      </c>
      <c r="F260" s="65"/>
      <c r="G260" s="65"/>
      <c r="H260" s="68"/>
      <c r="I260" s="452"/>
      <c r="J260" s="92"/>
      <c r="K260" s="4"/>
      <c r="L260" s="4"/>
      <c r="M260" s="4"/>
    </row>
    <row r="261" spans="1:13" ht="15.75" customHeight="1" x14ac:dyDescent="0.25">
      <c r="A261" s="31">
        <v>220</v>
      </c>
      <c r="B261" s="32" t="s">
        <v>419</v>
      </c>
      <c r="C261" s="33" t="s">
        <v>21</v>
      </c>
      <c r="D261" s="436"/>
      <c r="E261" s="34" t="s">
        <v>420</v>
      </c>
      <c r="F261" s="32" t="s">
        <v>26</v>
      </c>
      <c r="G261" s="33">
        <v>10</v>
      </c>
      <c r="H261" s="35">
        <v>11589</v>
      </c>
      <c r="I261" s="431">
        <f t="shared" ref="I261:I263" si="75">+J261*G261</f>
        <v>151062.61499999999</v>
      </c>
      <c r="J261" s="86">
        <f t="shared" ref="J261:J263" si="76">+H261*$J$9</f>
        <v>15106.261500000001</v>
      </c>
      <c r="K261" s="4"/>
      <c r="L261" s="4"/>
      <c r="M261" s="4"/>
    </row>
    <row r="262" spans="1:13" ht="15.75" customHeight="1" x14ac:dyDescent="0.25">
      <c r="A262" s="31">
        <v>150</v>
      </c>
      <c r="B262" s="32" t="s">
        <v>421</v>
      </c>
      <c r="C262" s="33" t="s">
        <v>21</v>
      </c>
      <c r="D262" s="436"/>
      <c r="E262" s="34" t="s">
        <v>422</v>
      </c>
      <c r="F262" s="32" t="s">
        <v>23</v>
      </c>
      <c r="G262" s="33">
        <v>10</v>
      </c>
      <c r="H262" s="35">
        <v>5848</v>
      </c>
      <c r="I262" s="431">
        <f t="shared" si="75"/>
        <v>76228.680000000008</v>
      </c>
      <c r="J262" s="86">
        <f t="shared" si="76"/>
        <v>7622.8680000000004</v>
      </c>
      <c r="K262" s="4"/>
      <c r="L262" s="4"/>
      <c r="M262" s="4"/>
    </row>
    <row r="263" spans="1:13" ht="15.75" customHeight="1" x14ac:dyDescent="0.25">
      <c r="A263" s="31">
        <v>151</v>
      </c>
      <c r="B263" s="32" t="s">
        <v>423</v>
      </c>
      <c r="C263" s="33" t="s">
        <v>21</v>
      </c>
      <c r="D263" s="436"/>
      <c r="E263" s="34" t="s">
        <v>424</v>
      </c>
      <c r="F263" s="32" t="s">
        <v>26</v>
      </c>
      <c r="G263" s="33">
        <v>10</v>
      </c>
      <c r="H263" s="35">
        <v>19025</v>
      </c>
      <c r="I263" s="431">
        <f t="shared" si="75"/>
        <v>247990.875</v>
      </c>
      <c r="J263" s="86">
        <f t="shared" si="76"/>
        <v>24799.087500000001</v>
      </c>
      <c r="K263" s="4"/>
      <c r="L263" s="4"/>
      <c r="M263" s="4"/>
    </row>
    <row r="264" spans="1:13" ht="15.75" customHeight="1" x14ac:dyDescent="0.25">
      <c r="A264" s="479" t="s">
        <v>33</v>
      </c>
      <c r="B264" s="445"/>
      <c r="C264" s="446"/>
      <c r="D264" s="446"/>
      <c r="E264" s="475"/>
      <c r="F264" s="445"/>
      <c r="G264" s="446"/>
      <c r="H264" s="334"/>
      <c r="I264" s="476">
        <f>SUM(I261:I263)</f>
        <v>475282.17</v>
      </c>
      <c r="J264" s="4"/>
      <c r="K264" s="4"/>
      <c r="L264" s="4"/>
      <c r="M264" s="4"/>
    </row>
    <row r="265" spans="1:13" ht="15.75" customHeight="1" x14ac:dyDescent="0.25">
      <c r="A265" s="63"/>
      <c r="B265" s="65" t="s">
        <v>425</v>
      </c>
      <c r="C265" s="65"/>
      <c r="D265" s="65"/>
      <c r="E265" s="66" t="s">
        <v>426</v>
      </c>
      <c r="F265" s="65"/>
      <c r="G265" s="65"/>
      <c r="H265" s="68"/>
      <c r="I265" s="452"/>
      <c r="J265" s="92"/>
      <c r="K265" s="4"/>
      <c r="L265" s="4"/>
      <c r="M265" s="4"/>
    </row>
    <row r="266" spans="1:13" ht="15.75" customHeight="1" x14ac:dyDescent="0.25">
      <c r="A266" s="31">
        <v>152</v>
      </c>
      <c r="B266" s="32" t="s">
        <v>427</v>
      </c>
      <c r="C266" s="33" t="s">
        <v>21</v>
      </c>
      <c r="D266" s="436"/>
      <c r="E266" s="332" t="s">
        <v>428</v>
      </c>
      <c r="F266" s="408" t="s">
        <v>26</v>
      </c>
      <c r="G266" s="327">
        <v>5</v>
      </c>
      <c r="H266" s="409">
        <v>799537</v>
      </c>
      <c r="I266" s="431">
        <f t="shared" ref="I266:I268" si="77">+J266*G266</f>
        <v>5210982.3975000009</v>
      </c>
      <c r="J266" s="86">
        <f t="shared" ref="J266:J268" si="78">+H266*$J$9</f>
        <v>1042196.4795000001</v>
      </c>
      <c r="K266" s="4"/>
      <c r="L266" s="4"/>
      <c r="M266" s="4"/>
    </row>
    <row r="267" spans="1:13" ht="15.75" customHeight="1" x14ac:dyDescent="0.25">
      <c r="A267" s="31">
        <v>153</v>
      </c>
      <c r="B267" s="32" t="s">
        <v>429</v>
      </c>
      <c r="C267" s="33" t="s">
        <v>21</v>
      </c>
      <c r="D267" s="436"/>
      <c r="E267" s="332" t="s">
        <v>430</v>
      </c>
      <c r="F267" s="408" t="s">
        <v>44</v>
      </c>
      <c r="G267" s="327">
        <v>1</v>
      </c>
      <c r="H267" s="409">
        <v>787233</v>
      </c>
      <c r="I267" s="431">
        <f t="shared" si="77"/>
        <v>1026158.2155</v>
      </c>
      <c r="J267" s="86">
        <f t="shared" si="78"/>
        <v>1026158.2155</v>
      </c>
      <c r="K267" s="4"/>
      <c r="L267" s="4"/>
      <c r="M267" s="4"/>
    </row>
    <row r="268" spans="1:13" ht="15.75" customHeight="1" x14ac:dyDescent="0.25">
      <c r="A268" s="31">
        <v>154</v>
      </c>
      <c r="B268" s="32" t="s">
        <v>431</v>
      </c>
      <c r="C268" s="33" t="s">
        <v>21</v>
      </c>
      <c r="D268" s="436"/>
      <c r="E268" s="332" t="s">
        <v>432</v>
      </c>
      <c r="F268" s="408" t="s">
        <v>44</v>
      </c>
      <c r="G268" s="327">
        <v>1</v>
      </c>
      <c r="H268" s="409">
        <v>434696</v>
      </c>
      <c r="I268" s="431">
        <f t="shared" si="77"/>
        <v>566626.23600000003</v>
      </c>
      <c r="J268" s="86">
        <f t="shared" si="78"/>
        <v>566626.23600000003</v>
      </c>
      <c r="K268" s="4"/>
      <c r="L268" s="4"/>
      <c r="M268" s="4"/>
    </row>
    <row r="269" spans="1:13" ht="15.75" customHeight="1" x14ac:dyDescent="0.25">
      <c r="A269" s="479" t="s">
        <v>33</v>
      </c>
      <c r="B269" s="445"/>
      <c r="C269" s="446"/>
      <c r="D269" s="446"/>
      <c r="E269" s="475"/>
      <c r="F269" s="445"/>
      <c r="G269" s="446"/>
      <c r="H269" s="334"/>
      <c r="I269" s="476">
        <f>SUM(I266:I268)</f>
        <v>6803766.8490000013</v>
      </c>
      <c r="J269" s="4"/>
      <c r="K269" s="4"/>
      <c r="L269" s="4"/>
      <c r="M269" s="4"/>
    </row>
    <row r="270" spans="1:13" ht="15.75" customHeight="1" x14ac:dyDescent="0.25">
      <c r="A270" s="63"/>
      <c r="B270" s="65" t="s">
        <v>433</v>
      </c>
      <c r="C270" s="65"/>
      <c r="D270" s="65"/>
      <c r="E270" s="66" t="s">
        <v>434</v>
      </c>
      <c r="F270" s="65"/>
      <c r="G270" s="65"/>
      <c r="H270" s="68"/>
      <c r="I270" s="452"/>
      <c r="J270" s="92"/>
      <c r="K270" s="4"/>
      <c r="L270" s="4"/>
      <c r="M270" s="4"/>
    </row>
    <row r="271" spans="1:13" ht="15.75" customHeight="1" x14ac:dyDescent="0.25">
      <c r="A271" s="31">
        <v>155</v>
      </c>
      <c r="B271" s="32" t="s">
        <v>435</v>
      </c>
      <c r="C271" s="33" t="s">
        <v>21</v>
      </c>
      <c r="D271" s="436"/>
      <c r="E271" s="332" t="s">
        <v>436</v>
      </c>
      <c r="F271" s="408" t="s">
        <v>23</v>
      </c>
      <c r="G271" s="327">
        <v>10</v>
      </c>
      <c r="H271" s="409">
        <v>68168</v>
      </c>
      <c r="I271" s="431">
        <f t="shared" ref="I271:I274" si="79">+J271*G271</f>
        <v>888569.88000000012</v>
      </c>
      <c r="J271" s="86">
        <f t="shared" ref="J271:J274" si="80">+H271*$J$9</f>
        <v>88856.988000000012</v>
      </c>
      <c r="K271" s="4"/>
      <c r="L271" s="4"/>
      <c r="M271" s="4"/>
    </row>
    <row r="272" spans="1:13" ht="15.75" customHeight="1" x14ac:dyDescent="0.25">
      <c r="A272" s="31">
        <v>156</v>
      </c>
      <c r="B272" s="32" t="s">
        <v>437</v>
      </c>
      <c r="C272" s="33" t="s">
        <v>21</v>
      </c>
      <c r="D272" s="436"/>
      <c r="E272" s="332" t="s">
        <v>438</v>
      </c>
      <c r="F272" s="408" t="s">
        <v>23</v>
      </c>
      <c r="G272" s="327">
        <v>10</v>
      </c>
      <c r="H272" s="409">
        <v>4200</v>
      </c>
      <c r="I272" s="431">
        <f t="shared" si="79"/>
        <v>54747.000000000007</v>
      </c>
      <c r="J272" s="86">
        <f t="shared" si="80"/>
        <v>5474.7000000000007</v>
      </c>
      <c r="K272" s="4"/>
      <c r="L272" s="4"/>
      <c r="M272" s="4"/>
    </row>
    <row r="273" spans="1:13" ht="30" customHeight="1" x14ac:dyDescent="0.25">
      <c r="A273" s="31">
        <v>157</v>
      </c>
      <c r="B273" s="32" t="s">
        <v>439</v>
      </c>
      <c r="C273" s="33" t="s">
        <v>21</v>
      </c>
      <c r="D273" s="436"/>
      <c r="E273" s="407" t="s">
        <v>440</v>
      </c>
      <c r="F273" s="408" t="s">
        <v>26</v>
      </c>
      <c r="G273" s="327">
        <v>10</v>
      </c>
      <c r="H273" s="409">
        <v>149789</v>
      </c>
      <c r="I273" s="431">
        <f t="shared" si="79"/>
        <v>1952499.615</v>
      </c>
      <c r="J273" s="86">
        <f t="shared" si="80"/>
        <v>195249.9615</v>
      </c>
      <c r="K273" s="4"/>
      <c r="L273" s="4"/>
      <c r="M273" s="4"/>
    </row>
    <row r="274" spans="1:13" ht="15.75" customHeight="1" x14ac:dyDescent="0.25">
      <c r="A274" s="455">
        <v>158</v>
      </c>
      <c r="B274" s="32" t="s">
        <v>441</v>
      </c>
      <c r="C274" s="33" t="s">
        <v>21</v>
      </c>
      <c r="D274" s="436"/>
      <c r="E274" s="332" t="s">
        <v>442</v>
      </c>
      <c r="F274" s="408" t="s">
        <v>44</v>
      </c>
      <c r="G274" s="327">
        <v>1</v>
      </c>
      <c r="H274" s="409">
        <v>364475</v>
      </c>
      <c r="I274" s="431">
        <f t="shared" si="79"/>
        <v>475093.16250000003</v>
      </c>
      <c r="J274" s="86">
        <f t="shared" si="80"/>
        <v>475093.16250000003</v>
      </c>
      <c r="K274" s="4"/>
      <c r="L274" s="4"/>
      <c r="M274" s="4"/>
    </row>
    <row r="275" spans="1:13" ht="15.75" customHeight="1" x14ac:dyDescent="0.25">
      <c r="A275" s="479" t="s">
        <v>33</v>
      </c>
      <c r="B275" s="445"/>
      <c r="C275" s="446"/>
      <c r="D275" s="446"/>
      <c r="E275" s="475"/>
      <c r="F275" s="445"/>
      <c r="G275" s="446"/>
      <c r="H275" s="334"/>
      <c r="I275" s="476">
        <f>SUM(I271:I274)</f>
        <v>3370909.6575000002</v>
      </c>
      <c r="J275" s="4"/>
      <c r="K275" s="4"/>
      <c r="L275" s="4"/>
      <c r="M275" s="4"/>
    </row>
    <row r="276" spans="1:13" ht="15.75" customHeight="1" x14ac:dyDescent="0.25">
      <c r="A276" s="63"/>
      <c r="B276" s="65"/>
      <c r="C276" s="65"/>
      <c r="D276" s="65"/>
      <c r="E276" s="66" t="s">
        <v>443</v>
      </c>
      <c r="F276" s="65"/>
      <c r="G276" s="65"/>
      <c r="H276" s="68"/>
      <c r="I276" s="452"/>
      <c r="J276" s="92"/>
      <c r="K276" s="4"/>
      <c r="L276" s="4"/>
      <c r="M276" s="4"/>
    </row>
    <row r="277" spans="1:13" ht="15.75" customHeight="1" x14ac:dyDescent="0.25">
      <c r="A277" s="31">
        <v>159</v>
      </c>
      <c r="B277" s="329">
        <v>6404</v>
      </c>
      <c r="C277" s="96" t="s">
        <v>444</v>
      </c>
      <c r="D277" s="436"/>
      <c r="E277" s="407" t="s">
        <v>445</v>
      </c>
      <c r="F277" s="497" t="s">
        <v>44</v>
      </c>
      <c r="G277" s="327">
        <v>1</v>
      </c>
      <c r="H277" s="409">
        <v>115430</v>
      </c>
      <c r="I277" s="431">
        <f t="shared" ref="I277:I292" si="81">+J277*G277</f>
        <v>150463.005</v>
      </c>
      <c r="J277" s="86">
        <f t="shared" ref="J277:J293" si="82">+H277*$J$9</f>
        <v>150463.005</v>
      </c>
      <c r="K277" s="4"/>
      <c r="L277" s="4"/>
      <c r="M277" s="4"/>
    </row>
    <row r="278" spans="1:13" ht="15.75" customHeight="1" x14ac:dyDescent="0.25">
      <c r="A278" s="31">
        <v>160</v>
      </c>
      <c r="B278" s="329">
        <v>6405</v>
      </c>
      <c r="C278" s="96" t="s">
        <v>444</v>
      </c>
      <c r="D278" s="436"/>
      <c r="E278" s="407" t="s">
        <v>446</v>
      </c>
      <c r="F278" s="497" t="s">
        <v>44</v>
      </c>
      <c r="G278" s="327">
        <v>1</v>
      </c>
      <c r="H278" s="409">
        <v>198057</v>
      </c>
      <c r="I278" s="431">
        <f t="shared" si="81"/>
        <v>258167.29950000002</v>
      </c>
      <c r="J278" s="86">
        <f t="shared" si="82"/>
        <v>258167.29950000002</v>
      </c>
      <c r="K278" s="4"/>
      <c r="L278" s="4"/>
      <c r="M278" s="4"/>
    </row>
    <row r="279" spans="1:13" ht="15.75" customHeight="1" x14ac:dyDescent="0.25">
      <c r="A279" s="31">
        <v>161</v>
      </c>
      <c r="B279" s="329">
        <v>6406</v>
      </c>
      <c r="C279" s="96" t="s">
        <v>444</v>
      </c>
      <c r="D279" s="436"/>
      <c r="E279" s="407" t="s">
        <v>447</v>
      </c>
      <c r="F279" s="497" t="s">
        <v>44</v>
      </c>
      <c r="G279" s="327">
        <v>1</v>
      </c>
      <c r="H279" s="409">
        <v>262523</v>
      </c>
      <c r="I279" s="431">
        <f t="shared" si="81"/>
        <v>342198.73050000001</v>
      </c>
      <c r="J279" s="86">
        <f t="shared" si="82"/>
        <v>342198.73050000001</v>
      </c>
      <c r="K279" s="4"/>
      <c r="L279" s="4"/>
      <c r="M279" s="4"/>
    </row>
    <row r="280" spans="1:13" ht="15.75" customHeight="1" x14ac:dyDescent="0.25">
      <c r="A280" s="31">
        <v>162</v>
      </c>
      <c r="B280" s="329">
        <v>6407</v>
      </c>
      <c r="C280" s="96" t="s">
        <v>444</v>
      </c>
      <c r="D280" s="436"/>
      <c r="E280" s="407" t="s">
        <v>448</v>
      </c>
      <c r="F280" s="497" t="s">
        <v>44</v>
      </c>
      <c r="G280" s="327">
        <v>2</v>
      </c>
      <c r="H280" s="409">
        <v>529550</v>
      </c>
      <c r="I280" s="431">
        <f t="shared" si="81"/>
        <v>1380536.85</v>
      </c>
      <c r="J280" s="86">
        <f t="shared" si="82"/>
        <v>690268.42500000005</v>
      </c>
      <c r="K280" s="4"/>
      <c r="L280" s="4"/>
      <c r="M280" s="4"/>
    </row>
    <row r="281" spans="1:13" ht="15.75" customHeight="1" x14ac:dyDescent="0.25">
      <c r="A281" s="31">
        <v>163</v>
      </c>
      <c r="B281" s="329">
        <v>6416</v>
      </c>
      <c r="C281" s="96" t="s">
        <v>444</v>
      </c>
      <c r="D281" s="436"/>
      <c r="E281" s="407" t="s">
        <v>449</v>
      </c>
      <c r="F281" s="497" t="s">
        <v>44</v>
      </c>
      <c r="G281" s="327">
        <v>1</v>
      </c>
      <c r="H281" s="409">
        <v>134470</v>
      </c>
      <c r="I281" s="431">
        <f t="shared" si="81"/>
        <v>175281.64500000002</v>
      </c>
      <c r="J281" s="86">
        <f t="shared" si="82"/>
        <v>175281.64500000002</v>
      </c>
      <c r="K281" s="4"/>
      <c r="L281" s="4"/>
      <c r="M281" s="4"/>
    </row>
    <row r="282" spans="1:13" ht="15.75" customHeight="1" x14ac:dyDescent="0.25">
      <c r="A282" s="31">
        <v>164</v>
      </c>
      <c r="B282" s="329">
        <v>6417</v>
      </c>
      <c r="C282" s="96" t="s">
        <v>444</v>
      </c>
      <c r="D282" s="436"/>
      <c r="E282" s="407" t="s">
        <v>450</v>
      </c>
      <c r="F282" s="497" t="s">
        <v>44</v>
      </c>
      <c r="G282" s="327">
        <v>1</v>
      </c>
      <c r="H282" s="409">
        <v>177305</v>
      </c>
      <c r="I282" s="431">
        <f t="shared" si="81"/>
        <v>231117.0675</v>
      </c>
      <c r="J282" s="86">
        <f t="shared" si="82"/>
        <v>231117.0675</v>
      </c>
      <c r="K282" s="4"/>
      <c r="L282" s="4"/>
      <c r="M282" s="4"/>
    </row>
    <row r="283" spans="1:13" ht="15.75" customHeight="1" x14ac:dyDescent="0.25">
      <c r="A283" s="31">
        <v>165</v>
      </c>
      <c r="B283" s="329">
        <v>6418</v>
      </c>
      <c r="C283" s="96" t="s">
        <v>444</v>
      </c>
      <c r="D283" s="436"/>
      <c r="E283" s="407" t="s">
        <v>451</v>
      </c>
      <c r="F283" s="497" t="s">
        <v>44</v>
      </c>
      <c r="G283" s="327">
        <v>1</v>
      </c>
      <c r="H283" s="409">
        <v>232596</v>
      </c>
      <c r="I283" s="431">
        <f t="shared" si="81"/>
        <v>303188.886</v>
      </c>
      <c r="J283" s="86">
        <f t="shared" si="82"/>
        <v>303188.886</v>
      </c>
      <c r="K283" s="4"/>
      <c r="L283" s="4"/>
      <c r="M283" s="4"/>
    </row>
    <row r="284" spans="1:13" ht="15.75" customHeight="1" x14ac:dyDescent="0.25">
      <c r="A284" s="31">
        <v>166</v>
      </c>
      <c r="B284" s="329">
        <v>6645</v>
      </c>
      <c r="C284" s="96" t="s">
        <v>444</v>
      </c>
      <c r="D284" s="436"/>
      <c r="E284" s="407" t="s">
        <v>452</v>
      </c>
      <c r="F284" s="497" t="s">
        <v>44</v>
      </c>
      <c r="G284" s="544">
        <v>3</v>
      </c>
      <c r="H284" s="409">
        <v>95971</v>
      </c>
      <c r="I284" s="431">
        <f t="shared" si="81"/>
        <v>375294.59550000005</v>
      </c>
      <c r="J284" s="86">
        <f t="shared" si="82"/>
        <v>125098.19850000001</v>
      </c>
      <c r="K284" s="4"/>
      <c r="L284" s="4"/>
      <c r="M284" s="4"/>
    </row>
    <row r="285" spans="1:13" ht="15.75" customHeight="1" x14ac:dyDescent="0.25">
      <c r="A285" s="31">
        <v>167</v>
      </c>
      <c r="B285" s="329">
        <v>6646</v>
      </c>
      <c r="C285" s="96" t="s">
        <v>444</v>
      </c>
      <c r="D285" s="436"/>
      <c r="E285" s="407" t="s">
        <v>453</v>
      </c>
      <c r="F285" s="497" t="s">
        <v>44</v>
      </c>
      <c r="G285" s="327">
        <v>1</v>
      </c>
      <c r="H285" s="409">
        <v>133412</v>
      </c>
      <c r="I285" s="431">
        <f t="shared" si="81"/>
        <v>173902.54200000002</v>
      </c>
      <c r="J285" s="86">
        <f t="shared" si="82"/>
        <v>173902.54200000002</v>
      </c>
      <c r="K285" s="4"/>
      <c r="L285" s="4"/>
      <c r="M285" s="4"/>
    </row>
    <row r="286" spans="1:13" ht="15.75" customHeight="1" x14ac:dyDescent="0.25">
      <c r="A286" s="31">
        <v>168</v>
      </c>
      <c r="B286" s="329">
        <v>6650</v>
      </c>
      <c r="C286" s="96" t="s">
        <v>444</v>
      </c>
      <c r="D286" s="436"/>
      <c r="E286" s="407" t="s">
        <v>454</v>
      </c>
      <c r="F286" s="497" t="s">
        <v>44</v>
      </c>
      <c r="G286" s="327">
        <v>1</v>
      </c>
      <c r="H286" s="409">
        <v>85021</v>
      </c>
      <c r="I286" s="431">
        <f t="shared" si="81"/>
        <v>110824.8735</v>
      </c>
      <c r="J286" s="86">
        <f t="shared" si="82"/>
        <v>110824.8735</v>
      </c>
      <c r="K286" s="4"/>
      <c r="L286" s="4"/>
      <c r="M286" s="4"/>
    </row>
    <row r="287" spans="1:13" ht="15.75" customHeight="1" x14ac:dyDescent="0.25">
      <c r="A287" s="31">
        <v>169</v>
      </c>
      <c r="B287" s="329">
        <v>6649</v>
      </c>
      <c r="C287" s="96" t="s">
        <v>444</v>
      </c>
      <c r="D287" s="436"/>
      <c r="E287" s="407" t="s">
        <v>455</v>
      </c>
      <c r="F287" s="497" t="s">
        <v>44</v>
      </c>
      <c r="G287" s="327">
        <v>1</v>
      </c>
      <c r="H287" s="409">
        <v>110061</v>
      </c>
      <c r="I287" s="431">
        <f t="shared" si="81"/>
        <v>143464.5135</v>
      </c>
      <c r="J287" s="86">
        <f t="shared" si="82"/>
        <v>143464.5135</v>
      </c>
      <c r="K287" s="4"/>
      <c r="L287" s="4"/>
      <c r="M287" s="4"/>
    </row>
    <row r="288" spans="1:13" ht="15.75" customHeight="1" x14ac:dyDescent="0.25">
      <c r="A288" s="31">
        <v>170</v>
      </c>
      <c r="B288" s="329">
        <v>6651</v>
      </c>
      <c r="C288" s="96" t="s">
        <v>444</v>
      </c>
      <c r="D288" s="436"/>
      <c r="E288" s="407" t="s">
        <v>456</v>
      </c>
      <c r="F288" s="497" t="s">
        <v>44</v>
      </c>
      <c r="G288" s="327">
        <v>1</v>
      </c>
      <c r="H288" s="409">
        <v>126615</v>
      </c>
      <c r="I288" s="431">
        <f t="shared" si="81"/>
        <v>165042.65250000003</v>
      </c>
      <c r="J288" s="86">
        <f t="shared" si="82"/>
        <v>165042.65250000003</v>
      </c>
      <c r="K288" s="4"/>
      <c r="L288" s="4"/>
      <c r="M288" s="4"/>
    </row>
    <row r="289" spans="1:13" ht="15.75" customHeight="1" x14ac:dyDescent="0.25">
      <c r="A289" s="31">
        <v>171</v>
      </c>
      <c r="B289" s="329">
        <v>6652</v>
      </c>
      <c r="C289" s="96" t="s">
        <v>444</v>
      </c>
      <c r="D289" s="436"/>
      <c r="E289" s="407" t="s">
        <v>457</v>
      </c>
      <c r="F289" s="497" t="s">
        <v>44</v>
      </c>
      <c r="G289" s="327">
        <v>1</v>
      </c>
      <c r="H289" s="409">
        <v>167099</v>
      </c>
      <c r="I289" s="431">
        <f t="shared" si="81"/>
        <v>217813.54650000003</v>
      </c>
      <c r="J289" s="86">
        <f t="shared" si="82"/>
        <v>217813.54650000003</v>
      </c>
      <c r="K289" s="4"/>
      <c r="L289" s="4"/>
      <c r="M289" s="4"/>
    </row>
    <row r="290" spans="1:13" ht="15.75" customHeight="1" x14ac:dyDescent="0.25">
      <c r="A290" s="31">
        <v>172</v>
      </c>
      <c r="B290" s="329">
        <v>6653</v>
      </c>
      <c r="C290" s="96" t="s">
        <v>444</v>
      </c>
      <c r="D290" s="436"/>
      <c r="E290" s="407" t="s">
        <v>458</v>
      </c>
      <c r="F290" s="497" t="s">
        <v>44</v>
      </c>
      <c r="G290" s="327">
        <v>2</v>
      </c>
      <c r="H290" s="409">
        <v>313678</v>
      </c>
      <c r="I290" s="431">
        <f t="shared" si="81"/>
        <v>817758.54600000009</v>
      </c>
      <c r="J290" s="86">
        <f t="shared" si="82"/>
        <v>408879.27300000004</v>
      </c>
      <c r="K290" s="4"/>
      <c r="L290" s="4"/>
      <c r="M290" s="4"/>
    </row>
    <row r="291" spans="1:13" ht="15.75" customHeight="1" x14ac:dyDescent="0.25">
      <c r="A291" s="31">
        <v>173</v>
      </c>
      <c r="B291" s="329">
        <v>8174</v>
      </c>
      <c r="C291" s="96" t="s">
        <v>444</v>
      </c>
      <c r="D291" s="436"/>
      <c r="E291" s="407" t="s">
        <v>459</v>
      </c>
      <c r="F291" s="497" t="s">
        <v>44</v>
      </c>
      <c r="G291" s="327">
        <v>1</v>
      </c>
      <c r="H291" s="409">
        <v>14068</v>
      </c>
      <c r="I291" s="431">
        <f t="shared" si="81"/>
        <v>18337.638000000003</v>
      </c>
      <c r="J291" s="86">
        <f t="shared" si="82"/>
        <v>18337.638000000003</v>
      </c>
      <c r="K291" s="4"/>
      <c r="L291" s="4"/>
      <c r="M291" s="4"/>
    </row>
    <row r="292" spans="1:13" ht="15.75" customHeight="1" x14ac:dyDescent="0.25">
      <c r="A292" s="31">
        <v>174</v>
      </c>
      <c r="B292" s="329">
        <v>8175</v>
      </c>
      <c r="C292" s="96" t="s">
        <v>444</v>
      </c>
      <c r="D292" s="436"/>
      <c r="E292" s="407" t="s">
        <v>460</v>
      </c>
      <c r="F292" s="497" t="s">
        <v>44</v>
      </c>
      <c r="G292" s="327">
        <v>1</v>
      </c>
      <c r="H292" s="409">
        <v>10702</v>
      </c>
      <c r="I292" s="431">
        <f t="shared" si="81"/>
        <v>13950.057000000001</v>
      </c>
      <c r="J292" s="86">
        <f t="shared" si="82"/>
        <v>13950.057000000001</v>
      </c>
      <c r="K292" s="4"/>
      <c r="L292" s="4"/>
      <c r="M292" s="4"/>
    </row>
    <row r="293" spans="1:13" ht="15.75" customHeight="1" x14ac:dyDescent="0.25">
      <c r="A293" s="31">
        <v>175</v>
      </c>
      <c r="B293" s="329">
        <v>8088</v>
      </c>
      <c r="C293" s="96" t="s">
        <v>444</v>
      </c>
      <c r="D293" s="436"/>
      <c r="E293" s="407" t="s">
        <v>461</v>
      </c>
      <c r="F293" s="497" t="s">
        <v>44</v>
      </c>
      <c r="G293" s="443">
        <v>1</v>
      </c>
      <c r="H293" s="409">
        <v>4125</v>
      </c>
      <c r="I293" s="431">
        <f>+J293*G293</f>
        <v>5376.9375</v>
      </c>
      <c r="J293" s="86">
        <f t="shared" si="82"/>
        <v>5376.9375</v>
      </c>
      <c r="K293" s="4"/>
      <c r="L293" s="4"/>
      <c r="M293" s="4"/>
    </row>
    <row r="294" spans="1:13" ht="15.75" customHeight="1" x14ac:dyDescent="0.25">
      <c r="A294" s="479" t="s">
        <v>33</v>
      </c>
      <c r="B294" s="445"/>
      <c r="C294" s="446"/>
      <c r="D294" s="446"/>
      <c r="E294" s="498"/>
      <c r="F294" s="499"/>
      <c r="G294" s="500"/>
      <c r="H294" s="501"/>
      <c r="I294" s="502">
        <f>SUM(I277:I293)</f>
        <v>4882719.3855000008</v>
      </c>
      <c r="J294" s="4"/>
      <c r="K294" s="4"/>
      <c r="L294" s="4"/>
      <c r="M294" s="4"/>
    </row>
    <row r="295" spans="1:13" ht="15.75" customHeight="1" x14ac:dyDescent="0.25">
      <c r="A295" s="97"/>
      <c r="B295" s="514">
        <v>11</v>
      </c>
      <c r="C295" s="65"/>
      <c r="D295" s="65"/>
      <c r="E295" s="362" t="s">
        <v>554</v>
      </c>
      <c r="F295" s="65"/>
      <c r="G295" s="65"/>
      <c r="H295" s="68"/>
      <c r="I295" s="452"/>
      <c r="J295" s="92"/>
      <c r="K295" s="4"/>
      <c r="L295" s="4"/>
      <c r="M295" s="4"/>
    </row>
    <row r="296" spans="1:13" ht="15.75" customHeight="1" x14ac:dyDescent="0.25">
      <c r="A296" s="33">
        <v>176</v>
      </c>
      <c r="B296" s="392">
        <v>11.1</v>
      </c>
      <c r="C296" s="335" t="s">
        <v>156</v>
      </c>
      <c r="D296" s="480"/>
      <c r="E296" s="503" t="str">
        <f>+'PRESUPUESTO FINAL FDLU'!E296</f>
        <v>SUM E INST. PANEL SOLAR 330 W</v>
      </c>
      <c r="F296" s="504" t="s">
        <v>44</v>
      </c>
      <c r="G296" s="439">
        <v>2</v>
      </c>
      <c r="H296" s="409">
        <f>+'PRESUPUESTO FINAL FDLU'!H296</f>
        <v>344556</v>
      </c>
      <c r="I296" s="505">
        <f>+J296*G296</f>
        <v>898257.49200000009</v>
      </c>
      <c r="J296" s="86">
        <f>+H296*$J$9</f>
        <v>449128.74600000004</v>
      </c>
      <c r="K296" s="4"/>
      <c r="L296" s="4"/>
      <c r="M296" s="4"/>
    </row>
    <row r="297" spans="1:13" ht="15.75" customHeight="1" x14ac:dyDescent="0.25">
      <c r="A297" s="445"/>
      <c r="B297" s="445"/>
      <c r="C297" s="481"/>
      <c r="D297" s="446"/>
      <c r="E297" s="340"/>
      <c r="F297" s="445"/>
      <c r="G297" s="446"/>
      <c r="H297" s="334"/>
      <c r="I297" s="476">
        <f>SUM(I296:I296)</f>
        <v>898257.49200000009</v>
      </c>
      <c r="J297" s="86"/>
      <c r="K297" s="4"/>
      <c r="L297" s="4"/>
      <c r="M297" s="4"/>
    </row>
    <row r="298" spans="1:13" ht="15.75" customHeight="1" x14ac:dyDescent="0.25">
      <c r="A298" s="97"/>
      <c r="B298" s="97">
        <v>12</v>
      </c>
      <c r="C298" s="65"/>
      <c r="D298" s="65"/>
      <c r="E298" s="339" t="s">
        <v>462</v>
      </c>
      <c r="F298" s="65"/>
      <c r="G298" s="65"/>
      <c r="H298" s="68"/>
      <c r="I298" s="452"/>
      <c r="J298" s="92"/>
      <c r="K298" s="4"/>
      <c r="L298" s="4"/>
      <c r="M298" s="4"/>
    </row>
    <row r="299" spans="1:13" ht="15.75" customHeight="1" x14ac:dyDescent="0.25">
      <c r="A299" s="33">
        <v>176</v>
      </c>
      <c r="B299" s="32">
        <v>12.1</v>
      </c>
      <c r="C299" s="33" t="s">
        <v>156</v>
      </c>
      <c r="D299" s="436"/>
      <c r="E299" s="506" t="s">
        <v>463</v>
      </c>
      <c r="F299" s="508" t="s">
        <v>23</v>
      </c>
      <c r="G299" s="439">
        <v>120</v>
      </c>
      <c r="H299" s="409">
        <f>+'PRESUPUESTO FINAL FDLU'!H299</f>
        <v>6470</v>
      </c>
      <c r="I299" s="505">
        <f>+J299*G299</f>
        <v>1012037.4</v>
      </c>
      <c r="J299" s="86">
        <f t="shared" ref="J299:J302" si="83">+H299*$J$9</f>
        <v>8433.6450000000004</v>
      </c>
      <c r="K299" s="4"/>
      <c r="L299" s="4"/>
      <c r="M299" s="4"/>
    </row>
    <row r="300" spans="1:13" ht="15.75" customHeight="1" x14ac:dyDescent="0.25">
      <c r="A300" s="33">
        <v>177</v>
      </c>
      <c r="B300" s="32">
        <v>12.2</v>
      </c>
      <c r="C300" s="33" t="s">
        <v>156</v>
      </c>
      <c r="D300" s="436"/>
      <c r="E300" s="506" t="s">
        <v>464</v>
      </c>
      <c r="F300" s="507" t="s">
        <v>23</v>
      </c>
      <c r="G300" s="439">
        <v>120</v>
      </c>
      <c r="H300" s="409">
        <f>+'PRESUPUESTO FINAL FDLU'!H300</f>
        <v>8692</v>
      </c>
      <c r="I300" s="505">
        <f t="shared" ref="I300:I302" si="84">+J300*G300</f>
        <v>1359602.6400000001</v>
      </c>
      <c r="J300" s="86">
        <f t="shared" si="83"/>
        <v>11330.022000000001</v>
      </c>
      <c r="K300" s="4"/>
      <c r="L300" s="4"/>
      <c r="M300" s="4"/>
    </row>
    <row r="301" spans="1:13" ht="15.75" customHeight="1" x14ac:dyDescent="0.25">
      <c r="A301" s="33">
        <v>178</v>
      </c>
      <c r="B301" s="32">
        <v>12.3</v>
      </c>
      <c r="C301" s="33" t="s">
        <v>156</v>
      </c>
      <c r="D301" s="482"/>
      <c r="E301" s="506" t="s">
        <v>465</v>
      </c>
      <c r="F301" s="507" t="s">
        <v>23</v>
      </c>
      <c r="G301" s="439">
        <v>150</v>
      </c>
      <c r="H301" s="509">
        <f>+'PRESUPUESTO FINAL FDLU'!H301</f>
        <v>20715</v>
      </c>
      <c r="I301" s="505">
        <f t="shared" si="84"/>
        <v>4050300.3750000005</v>
      </c>
      <c r="J301" s="86">
        <f t="shared" si="83"/>
        <v>27002.002500000002</v>
      </c>
      <c r="K301" s="4"/>
      <c r="L301" s="4"/>
      <c r="M301" s="4"/>
    </row>
    <row r="302" spans="1:13" ht="15.75" customHeight="1" x14ac:dyDescent="0.25">
      <c r="A302" s="33">
        <v>179</v>
      </c>
      <c r="B302" s="32">
        <v>12.4</v>
      </c>
      <c r="C302" s="33" t="s">
        <v>156</v>
      </c>
      <c r="D302" s="436"/>
      <c r="E302" s="506" t="s">
        <v>466</v>
      </c>
      <c r="F302" s="510" t="s">
        <v>23</v>
      </c>
      <c r="G302" s="439">
        <v>150</v>
      </c>
      <c r="H302" s="409">
        <f>+'PRESUPUESTO FINAL FDLU'!H302</f>
        <v>33393</v>
      </c>
      <c r="I302" s="505">
        <f t="shared" si="84"/>
        <v>6529166.3250000002</v>
      </c>
      <c r="J302" s="86">
        <f t="shared" si="83"/>
        <v>43527.775500000003</v>
      </c>
      <c r="K302" s="4"/>
      <c r="L302" s="4"/>
      <c r="M302" s="4"/>
    </row>
    <row r="303" spans="1:13" ht="15.75" customHeight="1" thickBot="1" x14ac:dyDescent="0.3">
      <c r="A303" s="101"/>
      <c r="B303" s="101"/>
      <c r="C303" s="102"/>
      <c r="D303" s="103"/>
      <c r="E303" s="104"/>
      <c r="F303" s="101"/>
      <c r="G303" s="103"/>
      <c r="H303" s="105"/>
      <c r="I303" s="483">
        <f>SUM(I299:I302)</f>
        <v>12951106.740000002</v>
      </c>
      <c r="J303" s="86"/>
      <c r="K303" s="4"/>
      <c r="L303" s="4"/>
      <c r="M303" s="4"/>
    </row>
    <row r="304" spans="1:13" ht="15.75" customHeight="1" x14ac:dyDescent="0.25">
      <c r="A304" s="97"/>
      <c r="B304" s="97">
        <v>13</v>
      </c>
      <c r="C304" s="65"/>
      <c r="D304" s="402"/>
      <c r="E304" s="339" t="s">
        <v>467</v>
      </c>
      <c r="F304" s="65"/>
      <c r="G304" s="65"/>
      <c r="H304" s="68"/>
      <c r="I304" s="69"/>
      <c r="J304" s="92"/>
      <c r="K304" s="398"/>
      <c r="L304" s="4"/>
      <c r="M304" s="4"/>
    </row>
    <row r="305" spans="1:13" ht="15.75" customHeight="1" x14ac:dyDescent="0.25">
      <c r="A305" s="33">
        <v>252</v>
      </c>
      <c r="B305" s="32">
        <v>13.1</v>
      </c>
      <c r="C305" s="516" t="s">
        <v>156</v>
      </c>
      <c r="D305" s="404"/>
      <c r="E305" s="341" t="s">
        <v>562</v>
      </c>
      <c r="F305" s="521" t="s">
        <v>23</v>
      </c>
      <c r="G305" s="49">
        <v>1</v>
      </c>
      <c r="H305" s="384">
        <f>+'[4]PERFORACION H.2"SR '!$O$56</f>
        <v>867717.88767848106</v>
      </c>
      <c r="I305" s="525">
        <f>+J305*G305</f>
        <v>1131070.2665889002</v>
      </c>
      <c r="J305" s="86">
        <f t="shared" ref="J305:J312" si="85">+H305*$J$9</f>
        <v>1131070.2665889002</v>
      </c>
      <c r="K305" s="398"/>
      <c r="L305" s="4"/>
      <c r="M305" s="4"/>
    </row>
    <row r="306" spans="1:13" ht="15.75" customHeight="1" x14ac:dyDescent="0.25">
      <c r="A306" s="33">
        <v>253</v>
      </c>
      <c r="B306" s="32">
        <v>13.2</v>
      </c>
      <c r="C306" s="516" t="s">
        <v>156</v>
      </c>
      <c r="D306" s="404"/>
      <c r="E306" s="506" t="s">
        <v>563</v>
      </c>
      <c r="F306" s="522" t="s">
        <v>23</v>
      </c>
      <c r="G306" s="520">
        <v>1</v>
      </c>
      <c r="H306" s="384">
        <f>+'[4]PERFORACION H.3"SR'!$O$56</f>
        <v>1017717.8876784811</v>
      </c>
      <c r="I306" s="525">
        <f t="shared" ref="I306:I308" si="86">+J306*G306</f>
        <v>1326595.2665889002</v>
      </c>
      <c r="J306" s="86">
        <f t="shared" si="85"/>
        <v>1326595.2665889002</v>
      </c>
      <c r="K306" s="398"/>
      <c r="L306" s="4"/>
      <c r="M306" s="4"/>
    </row>
    <row r="307" spans="1:13" ht="15.75" customHeight="1" x14ac:dyDescent="0.25">
      <c r="A307" s="33">
        <v>254</v>
      </c>
      <c r="B307" s="32">
        <v>13.3</v>
      </c>
      <c r="C307" s="516" t="s">
        <v>156</v>
      </c>
      <c r="D307" s="405"/>
      <c r="E307" s="341" t="s">
        <v>564</v>
      </c>
      <c r="F307" s="522" t="s">
        <v>23</v>
      </c>
      <c r="G307" s="520">
        <v>1</v>
      </c>
      <c r="H307" s="384">
        <f>+'[4]PERFORACION H.4"SR '!$O$56</f>
        <v>1217717.8876784812</v>
      </c>
      <c r="I307" s="525">
        <f t="shared" si="86"/>
        <v>1587295.2665889002</v>
      </c>
      <c r="J307" s="86">
        <f t="shared" si="85"/>
        <v>1587295.2665889002</v>
      </c>
      <c r="K307" s="398"/>
      <c r="L307" s="4"/>
      <c r="M307" s="4"/>
    </row>
    <row r="308" spans="1:13" ht="15.75" customHeight="1" x14ac:dyDescent="0.25">
      <c r="A308" s="33">
        <v>255</v>
      </c>
      <c r="B308" s="32">
        <v>13.4</v>
      </c>
      <c r="C308" s="516" t="s">
        <v>156</v>
      </c>
      <c r="D308" s="404"/>
      <c r="E308" s="341" t="s">
        <v>565</v>
      </c>
      <c r="F308" s="522" t="s">
        <v>23</v>
      </c>
      <c r="G308" s="520">
        <v>1</v>
      </c>
      <c r="H308" s="384">
        <f>+'[4]PERFORACION H.6"SR '!$O$56</f>
        <v>1667717.8876784812</v>
      </c>
      <c r="I308" s="525">
        <f t="shared" si="86"/>
        <v>2173870.2665889002</v>
      </c>
      <c r="J308" s="86">
        <f t="shared" si="85"/>
        <v>2173870.2665889002</v>
      </c>
      <c r="K308" s="398"/>
      <c r="L308" s="4"/>
      <c r="M308" s="4"/>
    </row>
    <row r="309" spans="1:13" ht="15.75" customHeight="1" x14ac:dyDescent="0.25">
      <c r="A309" s="33">
        <v>252</v>
      </c>
      <c r="B309" s="32">
        <v>13.5</v>
      </c>
      <c r="C309" s="516" t="s">
        <v>156</v>
      </c>
      <c r="D309" s="404"/>
      <c r="E309" s="341" t="s">
        <v>566</v>
      </c>
      <c r="F309" s="522" t="s">
        <v>23</v>
      </c>
      <c r="G309" s="520">
        <v>67</v>
      </c>
      <c r="H309" s="384">
        <f>+'[4]PERFORACION H.2"CR  '!$O$56</f>
        <v>1617717.8876784812</v>
      </c>
      <c r="I309" s="525">
        <f>+J309*G309</f>
        <v>141282582.8614563</v>
      </c>
      <c r="J309" s="86">
        <f t="shared" si="85"/>
        <v>2108695.2665889002</v>
      </c>
      <c r="K309" s="398"/>
      <c r="L309" s="4"/>
      <c r="M309" s="4"/>
    </row>
    <row r="310" spans="1:13" ht="15.75" customHeight="1" x14ac:dyDescent="0.25">
      <c r="A310" s="33">
        <v>253</v>
      </c>
      <c r="B310" s="32">
        <v>13.6</v>
      </c>
      <c r="C310" s="516" t="s">
        <v>156</v>
      </c>
      <c r="D310" s="404"/>
      <c r="E310" s="341" t="s">
        <v>567</v>
      </c>
      <c r="F310" s="522" t="s">
        <v>23</v>
      </c>
      <c r="G310" s="520">
        <v>2</v>
      </c>
      <c r="H310" s="384">
        <f>+'[4]PERFORACION H.3"CR '!$O$56</f>
        <v>2267717.8876784812</v>
      </c>
      <c r="I310" s="525">
        <f>+J310*G310</f>
        <v>5911940.5331778005</v>
      </c>
      <c r="J310" s="86">
        <f t="shared" si="85"/>
        <v>2955970.2665889002</v>
      </c>
      <c r="K310" s="398"/>
      <c r="L310" s="4"/>
      <c r="M310" s="4"/>
    </row>
    <row r="311" spans="1:13" ht="15.75" customHeight="1" x14ac:dyDescent="0.25">
      <c r="A311" s="33">
        <v>254</v>
      </c>
      <c r="B311" s="32">
        <v>13.7</v>
      </c>
      <c r="C311" s="516" t="s">
        <v>156</v>
      </c>
      <c r="D311" s="405"/>
      <c r="E311" s="341" t="s">
        <v>568</v>
      </c>
      <c r="F311" s="336" t="s">
        <v>23</v>
      </c>
      <c r="G311" s="49">
        <v>1</v>
      </c>
      <c r="H311" s="384">
        <f>+'[4]PERFORACION H.4"CR'!$O$56</f>
        <v>2857717.8876784807</v>
      </c>
      <c r="I311" s="525">
        <f t="shared" ref="I311:I312" si="87">+J311*G311</f>
        <v>3725035.2665888998</v>
      </c>
      <c r="J311" s="86">
        <f t="shared" si="85"/>
        <v>3725035.2665888998</v>
      </c>
      <c r="K311" s="398"/>
      <c r="L311" s="4"/>
      <c r="M311" s="4"/>
    </row>
    <row r="312" spans="1:13" ht="15.75" customHeight="1" x14ac:dyDescent="0.25">
      <c r="A312" s="33">
        <v>255</v>
      </c>
      <c r="B312" s="32">
        <v>13.8</v>
      </c>
      <c r="C312" s="516" t="s">
        <v>156</v>
      </c>
      <c r="D312" s="404"/>
      <c r="E312" s="341" t="s">
        <v>569</v>
      </c>
      <c r="F312" s="338" t="s">
        <v>23</v>
      </c>
      <c r="G312" s="49">
        <v>1</v>
      </c>
      <c r="H312" s="384">
        <f>+'[4]PERFORACION H.6"CR '!$O$56</f>
        <v>4037717.8876784807</v>
      </c>
      <c r="I312" s="525">
        <f t="shared" si="87"/>
        <v>5263165.2665889002</v>
      </c>
      <c r="J312" s="86">
        <f t="shared" si="85"/>
        <v>5263165.2665889002</v>
      </c>
      <c r="K312" s="398"/>
      <c r="L312" s="4"/>
      <c r="M312" s="4"/>
    </row>
    <row r="313" spans="1:13" ht="15.75" customHeight="1" thickBot="1" x14ac:dyDescent="0.3">
      <c r="A313" s="101"/>
      <c r="B313" s="101"/>
      <c r="C313" s="102"/>
      <c r="D313" s="517"/>
      <c r="E313" s="383"/>
      <c r="F313" s="101"/>
      <c r="G313" s="103"/>
      <c r="H313" s="105"/>
      <c r="I313" s="105">
        <f>SUM(I305:I312)</f>
        <v>162401554.99416751</v>
      </c>
      <c r="J313" s="98"/>
      <c r="K313" s="4"/>
      <c r="L313" s="4"/>
      <c r="M313" s="4"/>
    </row>
    <row r="314" spans="1:13" ht="15.75" customHeight="1" x14ac:dyDescent="0.25">
      <c r="A314" s="97"/>
      <c r="B314" s="97">
        <v>16</v>
      </c>
      <c r="C314" s="65"/>
      <c r="D314" s="65"/>
      <c r="E314" s="339" t="s">
        <v>558</v>
      </c>
      <c r="F314" s="65"/>
      <c r="G314" s="65"/>
      <c r="H314" s="68"/>
      <c r="I314" s="452"/>
      <c r="J314" s="92"/>
      <c r="K314" s="4"/>
      <c r="L314" s="4"/>
      <c r="M314" s="4"/>
    </row>
    <row r="315" spans="1:13" ht="15.75" customHeight="1" x14ac:dyDescent="0.25">
      <c r="A315" s="33">
        <v>230</v>
      </c>
      <c r="B315" s="96">
        <v>13.1</v>
      </c>
      <c r="C315" s="33" t="s">
        <v>156</v>
      </c>
      <c r="D315" s="436"/>
      <c r="E315" s="506" t="s">
        <v>559</v>
      </c>
      <c r="F315" s="511" t="s">
        <v>26</v>
      </c>
      <c r="G315" s="439">
        <v>100</v>
      </c>
      <c r="H315" s="409">
        <f>+'[5]APU IMPERM TK'!$H$37</f>
        <v>67036</v>
      </c>
      <c r="I315" s="505">
        <f>+J315*G315</f>
        <v>8738142.6000000015</v>
      </c>
      <c r="J315" s="86">
        <f>+H315*$J$9</f>
        <v>87381.426000000007</v>
      </c>
      <c r="K315" s="4"/>
      <c r="L315" s="4"/>
      <c r="M315" s="4"/>
    </row>
    <row r="316" spans="1:13" ht="15.75" customHeight="1" thickBot="1" x14ac:dyDescent="0.3">
      <c r="A316" s="101"/>
      <c r="B316" s="101"/>
      <c r="C316" s="102"/>
      <c r="D316" s="103"/>
      <c r="E316" s="104"/>
      <c r="F316" s="101"/>
      <c r="G316" s="103"/>
      <c r="H316" s="105"/>
      <c r="I316" s="483">
        <f>SUM(I315:I315)</f>
        <v>8738142.6000000015</v>
      </c>
      <c r="J316" s="98"/>
      <c r="K316" s="4"/>
      <c r="L316" s="4"/>
      <c r="M316" s="4"/>
    </row>
    <row r="317" spans="1:13" ht="15.75" customHeight="1" thickBot="1" x14ac:dyDescent="0.3">
      <c r="A317" s="436"/>
      <c r="B317" s="436"/>
      <c r="C317" s="484"/>
      <c r="D317" s="436"/>
      <c r="E317" s="485" t="s">
        <v>468</v>
      </c>
      <c r="F317" s="486"/>
      <c r="G317" s="487"/>
      <c r="H317" s="109"/>
      <c r="I317" s="488">
        <f>+I17+I27+I33+I38+I41+I44+I59+I50+I63+I67+I71+I78+I89+I93+I99+I106+I116+I122+I130+I139+I143+I147+I151+I155+I158+I165+I170+I173+I180+I185+I190+I196+I200+I203+I208+I213+I218+I222+I229+I235+I241+I247+I259+I264+I269+I275+I294+I297+I303+I313+I316</f>
        <v>407730325.8380093</v>
      </c>
      <c r="J317" s="86"/>
      <c r="K317" s="4"/>
      <c r="L317" s="4"/>
      <c r="M317" s="4"/>
    </row>
    <row r="318" spans="1:13" ht="15.75" customHeight="1" thickBot="1" x14ac:dyDescent="0.3">
      <c r="A318" s="436"/>
      <c r="B318" s="436"/>
      <c r="C318" s="484"/>
      <c r="D318" s="436"/>
      <c r="E318" s="489" t="s">
        <v>469</v>
      </c>
      <c r="F318" s="490"/>
      <c r="G318" s="490"/>
      <c r="H318" s="491">
        <v>8.0000000000000002E-3</v>
      </c>
      <c r="I318" s="492">
        <f>+I317*H318</f>
        <v>3261842.6067040744</v>
      </c>
      <c r="J318" s="86"/>
      <c r="K318" s="4"/>
      <c r="L318" s="4"/>
      <c r="M318" s="4"/>
    </row>
    <row r="319" spans="1:13" ht="15.75" customHeight="1" thickBot="1" x14ac:dyDescent="0.3">
      <c r="A319" s="436"/>
      <c r="B319" s="436"/>
      <c r="C319" s="484"/>
      <c r="D319" s="436"/>
      <c r="E319" s="489" t="s">
        <v>470</v>
      </c>
      <c r="F319" s="490"/>
      <c r="G319" s="493"/>
      <c r="H319" s="491">
        <v>8.0000000000000002E-3</v>
      </c>
      <c r="I319" s="494">
        <f>+I317*H319</f>
        <v>3261842.6067040744</v>
      </c>
      <c r="J319" s="86"/>
      <c r="K319" s="4"/>
      <c r="L319" s="4"/>
      <c r="M319" s="4"/>
    </row>
    <row r="320" spans="1:13" ht="15.75" customHeight="1" thickBot="1" x14ac:dyDescent="0.3">
      <c r="A320" s="436"/>
      <c r="B320" s="436"/>
      <c r="C320" s="484"/>
      <c r="D320" s="436"/>
      <c r="E320" s="489" t="s">
        <v>471</v>
      </c>
      <c r="F320" s="490"/>
      <c r="G320" s="436"/>
      <c r="H320" s="491">
        <v>5.0000000000000001E-3</v>
      </c>
      <c r="I320" s="494">
        <f>+I317*H320</f>
        <v>2038651.6291900466</v>
      </c>
      <c r="J320" s="86"/>
      <c r="K320" s="4"/>
      <c r="L320" s="4"/>
      <c r="M320" s="4"/>
    </row>
    <row r="321" spans="1:13" ht="15.75" customHeight="1" thickBot="1" x14ac:dyDescent="0.3">
      <c r="A321" s="436"/>
      <c r="B321" s="436"/>
      <c r="C321" s="484"/>
      <c r="D321" s="436"/>
      <c r="E321" s="117" t="s">
        <v>472</v>
      </c>
      <c r="F321" s="118"/>
      <c r="G321" s="119"/>
      <c r="H321" s="120"/>
      <c r="I321" s="495">
        <f>SUM(I317:I320)</f>
        <v>416292662.68060744</v>
      </c>
      <c r="J321" s="86"/>
      <c r="K321" s="4"/>
      <c r="L321" s="4"/>
      <c r="M321" s="4"/>
    </row>
    <row r="322" spans="1:13" ht="15.75" customHeight="1" x14ac:dyDescent="0.25">
      <c r="A322" s="1"/>
      <c r="B322" s="1"/>
      <c r="C322" s="2"/>
      <c r="D322" s="1"/>
      <c r="E322" s="1"/>
      <c r="F322" s="1"/>
      <c r="G322" s="1"/>
      <c r="H322" s="1"/>
      <c r="I322" s="1"/>
      <c r="J322" s="3"/>
      <c r="K322" s="4"/>
      <c r="L322" s="4"/>
      <c r="M322" s="4"/>
    </row>
    <row r="323" spans="1:13" ht="15.75" customHeight="1" x14ac:dyDescent="0.25">
      <c r="A323" s="1"/>
      <c r="B323" s="1"/>
      <c r="C323" s="2"/>
      <c r="D323" s="1"/>
      <c r="E323" s="1"/>
      <c r="F323" s="1"/>
      <c r="G323" s="1"/>
      <c r="H323" s="1"/>
      <c r="I323" s="1"/>
      <c r="J323" s="3"/>
      <c r="K323" s="4"/>
      <c r="L323" s="4"/>
      <c r="M323" s="4"/>
    </row>
    <row r="324" spans="1:13" ht="15.75" customHeight="1" thickBot="1" x14ac:dyDescent="0.3">
      <c r="A324" s="1"/>
      <c r="B324" s="1"/>
      <c r="C324" s="2"/>
      <c r="D324" s="1"/>
      <c r="E324" s="1"/>
      <c r="F324" s="1"/>
      <c r="G324" s="1"/>
      <c r="H324" s="1"/>
      <c r="I324" s="1"/>
      <c r="J324" s="3"/>
      <c r="K324" s="4"/>
      <c r="L324" s="4"/>
      <c r="M324" s="4"/>
    </row>
    <row r="325" spans="1:13" ht="15.75" customHeight="1" x14ac:dyDescent="0.25">
      <c r="A325" s="1"/>
      <c r="B325" s="122"/>
      <c r="C325" s="123"/>
      <c r="D325" s="123"/>
      <c r="E325" s="123"/>
      <c r="F325" s="123"/>
      <c r="G325" s="123"/>
      <c r="H325" s="123"/>
      <c r="I325" s="123"/>
      <c r="J325" s="3"/>
      <c r="K325" s="3"/>
      <c r="L325" s="4"/>
      <c r="M325" s="4"/>
    </row>
    <row r="326" spans="1:13" ht="15.75" customHeight="1" x14ac:dyDescent="0.25">
      <c r="A326" s="1"/>
      <c r="B326" s="584" t="s">
        <v>473</v>
      </c>
      <c r="C326" s="585"/>
      <c r="D326" s="585"/>
      <c r="E326" s="579"/>
      <c r="F326" s="578" t="s">
        <v>474</v>
      </c>
      <c r="G326" s="585"/>
      <c r="H326" s="579"/>
      <c r="I326" s="124" t="s">
        <v>475</v>
      </c>
      <c r="J326" s="3"/>
      <c r="K326" s="3"/>
      <c r="L326" s="4"/>
      <c r="M326" s="4"/>
    </row>
    <row r="327" spans="1:13" ht="15.75" customHeight="1" x14ac:dyDescent="0.25">
      <c r="A327" s="1"/>
      <c r="B327" s="584" t="s">
        <v>476</v>
      </c>
      <c r="C327" s="585"/>
      <c r="D327" s="585"/>
      <c r="E327" s="579"/>
      <c r="F327" s="580" t="s">
        <v>477</v>
      </c>
      <c r="G327" s="579"/>
      <c r="H327" s="359" t="s">
        <v>478</v>
      </c>
      <c r="I327" s="125">
        <v>0</v>
      </c>
      <c r="J327" s="3"/>
      <c r="K327" s="3"/>
      <c r="L327" s="4"/>
      <c r="M327" s="4"/>
    </row>
    <row r="328" spans="1:13" ht="15.75" customHeight="1" x14ac:dyDescent="0.25">
      <c r="A328" s="1"/>
      <c r="B328" s="584" t="s">
        <v>479</v>
      </c>
      <c r="C328" s="585"/>
      <c r="D328" s="585"/>
      <c r="E328" s="579"/>
      <c r="F328" s="586" t="s">
        <v>480</v>
      </c>
      <c r="G328" s="579"/>
      <c r="H328" s="359" t="s">
        <v>481</v>
      </c>
      <c r="I328" s="125">
        <v>0</v>
      </c>
      <c r="J328" s="3"/>
      <c r="K328" s="4"/>
      <c r="L328" s="4"/>
      <c r="M328" s="4"/>
    </row>
    <row r="329" spans="1:13" ht="15.75" customHeight="1" x14ac:dyDescent="0.25">
      <c r="A329" s="1"/>
      <c r="B329" s="570" t="s">
        <v>482</v>
      </c>
      <c r="C329" s="571"/>
      <c r="D329" s="571"/>
      <c r="E329" s="572"/>
      <c r="F329" s="578" t="s">
        <v>483</v>
      </c>
      <c r="G329" s="579"/>
      <c r="H329" s="359" t="s">
        <v>484</v>
      </c>
      <c r="I329" s="125">
        <v>0</v>
      </c>
      <c r="J329" s="3"/>
      <c r="K329" s="4"/>
      <c r="L329" s="4"/>
      <c r="M329" s="4"/>
    </row>
    <row r="330" spans="1:13" ht="15.75" customHeight="1" x14ac:dyDescent="0.25">
      <c r="A330" s="71"/>
      <c r="B330" s="573"/>
      <c r="C330" s="553"/>
      <c r="D330" s="553"/>
      <c r="E330" s="574"/>
      <c r="F330" s="580" t="s">
        <v>485</v>
      </c>
      <c r="G330" s="579"/>
      <c r="H330" s="406" t="s">
        <v>560</v>
      </c>
      <c r="I330" s="126">
        <f>SUM(I327:I329)</f>
        <v>0</v>
      </c>
      <c r="J330" s="3"/>
      <c r="K330" s="4"/>
      <c r="L330" s="4"/>
      <c r="M330" s="4"/>
    </row>
    <row r="331" spans="1:13" ht="26.25" customHeight="1" x14ac:dyDescent="0.25">
      <c r="A331" s="71"/>
      <c r="B331" s="575"/>
      <c r="C331" s="576"/>
      <c r="D331" s="576"/>
      <c r="E331" s="577"/>
      <c r="F331" s="581" t="s">
        <v>487</v>
      </c>
      <c r="G331" s="571"/>
      <c r="H331" s="571"/>
      <c r="I331" s="582"/>
      <c r="J331" s="3"/>
      <c r="K331" s="4"/>
      <c r="L331" s="4"/>
      <c r="M331" s="4"/>
    </row>
    <row r="332" spans="1:13" ht="51.75" customHeight="1" thickBot="1" x14ac:dyDescent="0.3">
      <c r="A332" s="71"/>
      <c r="B332" s="127"/>
      <c r="C332" s="128"/>
      <c r="D332" s="128"/>
      <c r="E332" s="128"/>
      <c r="F332" s="583"/>
      <c r="G332" s="557"/>
      <c r="H332" s="557"/>
      <c r="I332" s="558"/>
      <c r="J332" s="3"/>
      <c r="K332" s="4"/>
      <c r="L332" s="4"/>
      <c r="M332" s="4"/>
    </row>
  </sheetData>
  <mergeCells count="22">
    <mergeCell ref="B329:E331"/>
    <mergeCell ref="F329:G329"/>
    <mergeCell ref="F330:G330"/>
    <mergeCell ref="F331:I332"/>
    <mergeCell ref="B326:E326"/>
    <mergeCell ref="F326:H326"/>
    <mergeCell ref="B327:E327"/>
    <mergeCell ref="F327:G327"/>
    <mergeCell ref="B328:E328"/>
    <mergeCell ref="F328:G328"/>
    <mergeCell ref="A2:C2"/>
    <mergeCell ref="D2:I3"/>
    <mergeCell ref="A4:I4"/>
    <mergeCell ref="A5:I5"/>
    <mergeCell ref="A8:A9"/>
    <mergeCell ref="B8:B9"/>
    <mergeCell ref="C8:D8"/>
    <mergeCell ref="E8:E9"/>
    <mergeCell ref="F8:F9"/>
    <mergeCell ref="G8:G9"/>
    <mergeCell ref="H8:H9"/>
    <mergeCell ref="I8:I9"/>
  </mergeCells>
  <pageMargins left="0.7" right="0.7" top="0.75" bottom="0.75" header="0" footer="0"/>
  <pageSetup orientation="portrait" r:id="rId1"/>
  <rowBreaks count="1" manualBreakCount="1">
    <brk id="100" man="1"/>
  </row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M332"/>
  <sheetViews>
    <sheetView topLeftCell="D1" zoomScale="85" zoomScaleNormal="85" workbookViewId="0">
      <pane ySplit="9" topLeftCell="A274" activePane="bottomLeft" state="frozen"/>
      <selection pane="bottomLeft" activeCell="H284" sqref="H284"/>
    </sheetView>
  </sheetViews>
  <sheetFormatPr baseColWidth="10" defaultColWidth="12.5703125" defaultRowHeight="15" customHeight="1" x14ac:dyDescent="0.25"/>
  <cols>
    <col min="1" max="1" width="10" customWidth="1"/>
    <col min="2" max="2" width="13.85546875" customWidth="1"/>
    <col min="3" max="3" width="17.7109375" bestFit="1" customWidth="1"/>
    <col min="4" max="4" width="11.85546875" customWidth="1"/>
    <col min="5" max="5" width="97.85546875" customWidth="1"/>
    <col min="6" max="7" width="10" customWidth="1"/>
    <col min="8" max="8" width="16.7109375" customWidth="1"/>
    <col min="9" max="9" width="23.140625" customWidth="1"/>
    <col min="10" max="10" width="22.5703125" customWidth="1"/>
    <col min="11" max="11" width="16.42578125" customWidth="1"/>
    <col min="12" max="13" width="10" customWidth="1"/>
  </cols>
  <sheetData>
    <row r="1" spans="1:13" ht="6.75" customHeight="1" thickBot="1" x14ac:dyDescent="0.3">
      <c r="A1" s="1"/>
      <c r="B1" s="1"/>
      <c r="C1" s="2"/>
      <c r="D1" s="1"/>
      <c r="E1" s="1"/>
      <c r="F1" s="1"/>
      <c r="G1" s="1"/>
      <c r="H1" s="1"/>
      <c r="I1" s="1"/>
      <c r="J1" s="3"/>
      <c r="K1" s="4"/>
      <c r="L1" s="4"/>
      <c r="M1" s="4"/>
    </row>
    <row r="2" spans="1:13" x14ac:dyDescent="0.25">
      <c r="A2" s="547" t="s">
        <v>0</v>
      </c>
      <c r="B2" s="548"/>
      <c r="C2" s="549"/>
      <c r="D2" s="550" t="s">
        <v>1</v>
      </c>
      <c r="E2" s="551"/>
      <c r="F2" s="551"/>
      <c r="G2" s="551"/>
      <c r="H2" s="551"/>
      <c r="I2" s="552"/>
      <c r="J2" s="3"/>
      <c r="K2" s="4"/>
      <c r="L2" s="4"/>
      <c r="M2" s="4"/>
    </row>
    <row r="3" spans="1:13" ht="49.5" customHeight="1" x14ac:dyDescent="0.25">
      <c r="A3" s="5" t="s">
        <v>2</v>
      </c>
      <c r="B3" s="6" t="s">
        <v>3</v>
      </c>
      <c r="C3" s="6">
        <v>1</v>
      </c>
      <c r="D3" s="553"/>
      <c r="E3" s="553"/>
      <c r="F3" s="553"/>
      <c r="G3" s="553"/>
      <c r="H3" s="553"/>
      <c r="I3" s="554"/>
      <c r="J3" s="4"/>
      <c r="K3" s="4"/>
      <c r="L3" s="4"/>
      <c r="M3" s="4"/>
    </row>
    <row r="4" spans="1:13" x14ac:dyDescent="0.25">
      <c r="A4" s="555" t="s">
        <v>4</v>
      </c>
      <c r="B4" s="553"/>
      <c r="C4" s="553"/>
      <c r="D4" s="553"/>
      <c r="E4" s="553"/>
      <c r="F4" s="553"/>
      <c r="G4" s="553"/>
      <c r="H4" s="553"/>
      <c r="I4" s="554"/>
      <c r="J4" s="3"/>
      <c r="K4" s="4"/>
      <c r="L4" s="4"/>
      <c r="M4" s="4"/>
    </row>
    <row r="5" spans="1:13" ht="15.75" thickBot="1" x14ac:dyDescent="0.3">
      <c r="A5" s="556" t="s">
        <v>5</v>
      </c>
      <c r="B5" s="557"/>
      <c r="C5" s="557"/>
      <c r="D5" s="557"/>
      <c r="E5" s="557"/>
      <c r="F5" s="557"/>
      <c r="G5" s="557"/>
      <c r="H5" s="557"/>
      <c r="I5" s="558"/>
      <c r="J5" s="3"/>
      <c r="K5" s="4"/>
      <c r="L5" s="4"/>
      <c r="M5" s="4"/>
    </row>
    <row r="6" spans="1:13" ht="15" customHeight="1" x14ac:dyDescent="0.25">
      <c r="A6" s="7"/>
      <c r="B6" s="8"/>
      <c r="C6" s="9"/>
      <c r="D6" s="9"/>
      <c r="E6" s="9"/>
      <c r="F6" s="9"/>
      <c r="G6" s="9"/>
      <c r="H6" s="9"/>
      <c r="I6" s="9"/>
      <c r="J6" s="3"/>
      <c r="K6" s="4"/>
      <c r="L6" s="4"/>
      <c r="M6" s="4"/>
    </row>
    <row r="7" spans="1:13" ht="15.75" thickBot="1" x14ac:dyDescent="0.3">
      <c r="A7" s="10"/>
      <c r="B7" s="11"/>
      <c r="C7" s="12"/>
      <c r="D7" s="12"/>
      <c r="E7" s="12"/>
      <c r="F7" s="12"/>
      <c r="G7" s="12"/>
      <c r="H7" s="12"/>
      <c r="I7" s="12"/>
      <c r="J7" s="3"/>
      <c r="K7" s="4"/>
      <c r="L7" s="4"/>
      <c r="M7" s="4"/>
    </row>
    <row r="8" spans="1:13" ht="15" customHeight="1" x14ac:dyDescent="0.25">
      <c r="A8" s="559" t="s">
        <v>6</v>
      </c>
      <c r="B8" s="561" t="s">
        <v>7</v>
      </c>
      <c r="C8" s="563" t="s">
        <v>8</v>
      </c>
      <c r="D8" s="564"/>
      <c r="E8" s="559" t="s">
        <v>9</v>
      </c>
      <c r="F8" s="561" t="s">
        <v>10</v>
      </c>
      <c r="G8" s="561" t="s">
        <v>11</v>
      </c>
      <c r="H8" s="567" t="s">
        <v>12</v>
      </c>
      <c r="I8" s="568" t="s">
        <v>13</v>
      </c>
      <c r="J8" s="3" t="s">
        <v>14</v>
      </c>
      <c r="K8" s="4"/>
      <c r="L8" s="4"/>
      <c r="M8" s="4"/>
    </row>
    <row r="9" spans="1:13" ht="30" x14ac:dyDescent="0.25">
      <c r="A9" s="560"/>
      <c r="B9" s="562"/>
      <c r="C9" s="13" t="s">
        <v>15</v>
      </c>
      <c r="D9" s="14" t="s">
        <v>16</v>
      </c>
      <c r="E9" s="560"/>
      <c r="F9" s="566"/>
      <c r="G9" s="566"/>
      <c r="H9" s="566"/>
      <c r="I9" s="569"/>
      <c r="J9" s="15">
        <v>1.3035000000000001</v>
      </c>
      <c r="K9" s="4"/>
      <c r="L9" s="4"/>
      <c r="M9" s="4"/>
    </row>
    <row r="10" spans="1:13" x14ac:dyDescent="0.25">
      <c r="A10" s="16"/>
      <c r="B10" s="17">
        <v>1</v>
      </c>
      <c r="C10" s="18"/>
      <c r="D10" s="19"/>
      <c r="E10" s="20" t="s">
        <v>17</v>
      </c>
      <c r="F10" s="21"/>
      <c r="G10" s="19"/>
      <c r="H10" s="22"/>
      <c r="I10" s="19"/>
      <c r="J10" s="23"/>
      <c r="K10" s="4"/>
      <c r="L10" s="4"/>
      <c r="M10" s="4"/>
    </row>
    <row r="11" spans="1:13" x14ac:dyDescent="0.25">
      <c r="A11" s="24"/>
      <c r="B11" s="25" t="s">
        <v>18</v>
      </c>
      <c r="C11" s="26"/>
      <c r="D11" s="27"/>
      <c r="E11" s="28" t="s">
        <v>19</v>
      </c>
      <c r="F11" s="29"/>
      <c r="G11" s="27"/>
      <c r="H11" s="30"/>
      <c r="I11" s="538"/>
      <c r="J11" s="23"/>
      <c r="K11" s="4"/>
      <c r="L11" s="4"/>
      <c r="M11" s="4"/>
    </row>
    <row r="12" spans="1:13" x14ac:dyDescent="0.25">
      <c r="A12" s="31">
        <v>1</v>
      </c>
      <c r="B12" s="32" t="s">
        <v>20</v>
      </c>
      <c r="C12" s="33" t="s">
        <v>21</v>
      </c>
      <c r="D12" s="33"/>
      <c r="E12" s="353" t="s">
        <v>22</v>
      </c>
      <c r="F12" s="354" t="s">
        <v>23</v>
      </c>
      <c r="G12" s="355">
        <v>2486.1790000000001</v>
      </c>
      <c r="H12" s="537">
        <v>12426</v>
      </c>
      <c r="I12" s="540">
        <f>+J12*G12</f>
        <v>40269364.741089001</v>
      </c>
      <c r="J12" s="3">
        <f>+H12*J9</f>
        <v>16197.291000000001</v>
      </c>
      <c r="K12" s="4"/>
      <c r="L12" s="4"/>
      <c r="M12" s="4"/>
    </row>
    <row r="13" spans="1:13" x14ac:dyDescent="0.25">
      <c r="A13" s="31">
        <v>2</v>
      </c>
      <c r="B13" s="32" t="s">
        <v>24</v>
      </c>
      <c r="C13" s="33" t="s">
        <v>21</v>
      </c>
      <c r="D13" s="33"/>
      <c r="E13" s="34" t="s">
        <v>25</v>
      </c>
      <c r="F13" s="32" t="s">
        <v>26</v>
      </c>
      <c r="G13" s="33">
        <v>2</v>
      </c>
      <c r="H13" s="35">
        <v>15249</v>
      </c>
      <c r="I13" s="539">
        <f t="shared" ref="I13:I16" si="0">+J13*G13</f>
        <v>39754.143000000004</v>
      </c>
      <c r="J13" s="3">
        <f>+H13*J9</f>
        <v>19877.071500000002</v>
      </c>
      <c r="K13" s="4"/>
      <c r="L13" s="4"/>
      <c r="M13" s="4"/>
    </row>
    <row r="14" spans="1:13" x14ac:dyDescent="0.25">
      <c r="A14" s="31">
        <v>2</v>
      </c>
      <c r="B14" s="32" t="s">
        <v>27</v>
      </c>
      <c r="C14" s="33" t="s">
        <v>21</v>
      </c>
      <c r="D14" s="33"/>
      <c r="E14" s="34" t="s">
        <v>28</v>
      </c>
      <c r="F14" s="32" t="s">
        <v>23</v>
      </c>
      <c r="G14" s="33">
        <v>10</v>
      </c>
      <c r="H14" s="35">
        <v>11382</v>
      </c>
      <c r="I14" s="526">
        <f t="shared" si="0"/>
        <v>148364.37000000002</v>
      </c>
      <c r="J14" s="3">
        <f>+H14*J9</f>
        <v>14836.437000000002</v>
      </c>
      <c r="K14" s="4"/>
      <c r="L14" s="4">
        <v>300</v>
      </c>
      <c r="M14" s="4">
        <v>0.3</v>
      </c>
    </row>
    <row r="15" spans="1:13" x14ac:dyDescent="0.25">
      <c r="A15" s="31">
        <v>3</v>
      </c>
      <c r="B15" s="32" t="s">
        <v>29</v>
      </c>
      <c r="C15" s="33" t="s">
        <v>21</v>
      </c>
      <c r="D15" s="33"/>
      <c r="E15" s="34" t="s">
        <v>30</v>
      </c>
      <c r="F15" s="32" t="s">
        <v>23</v>
      </c>
      <c r="G15" s="33">
        <v>10</v>
      </c>
      <c r="H15" s="35">
        <v>48825</v>
      </c>
      <c r="I15" s="526">
        <f t="shared" si="0"/>
        <v>636433.875</v>
      </c>
      <c r="J15" s="3">
        <f>+H15*J9</f>
        <v>63643.387500000004</v>
      </c>
      <c r="K15" s="4"/>
      <c r="L15" s="4"/>
      <c r="M15" s="4">
        <f>+L14*M14</f>
        <v>90</v>
      </c>
    </row>
    <row r="16" spans="1:13" x14ac:dyDescent="0.25">
      <c r="A16" s="31">
        <v>4</v>
      </c>
      <c r="B16" s="32" t="s">
        <v>31</v>
      </c>
      <c r="C16" s="33" t="s">
        <v>21</v>
      </c>
      <c r="D16" s="33"/>
      <c r="E16" s="332" t="s">
        <v>32</v>
      </c>
      <c r="F16" s="32" t="s">
        <v>23</v>
      </c>
      <c r="G16" s="33">
        <v>10</v>
      </c>
      <c r="H16" s="35">
        <v>61031</v>
      </c>
      <c r="I16" s="526">
        <f t="shared" si="0"/>
        <v>795539.08500000008</v>
      </c>
      <c r="J16" s="3">
        <f>+H16*J9</f>
        <v>79553.908500000005</v>
      </c>
      <c r="K16" s="4"/>
      <c r="L16" s="4"/>
      <c r="M16" s="4"/>
    </row>
    <row r="17" spans="1:13" x14ac:dyDescent="0.25">
      <c r="A17" s="36" t="s">
        <v>33</v>
      </c>
      <c r="B17" s="37"/>
      <c r="C17" s="38"/>
      <c r="D17" s="38"/>
      <c r="E17" s="39"/>
      <c r="F17" s="37"/>
      <c r="G17" s="38"/>
      <c r="H17" s="40"/>
      <c r="I17" s="41">
        <f>SUM(I12:I16)</f>
        <v>41889456.214088999</v>
      </c>
      <c r="J17" s="42"/>
      <c r="K17" s="4"/>
      <c r="L17" s="4"/>
      <c r="M17" s="4"/>
    </row>
    <row r="18" spans="1:13" x14ac:dyDescent="0.25">
      <c r="A18" s="16"/>
      <c r="B18" s="17">
        <v>2</v>
      </c>
      <c r="C18" s="19"/>
      <c r="D18" s="19"/>
      <c r="E18" s="20" t="s">
        <v>34</v>
      </c>
      <c r="F18" s="21"/>
      <c r="G18" s="19"/>
      <c r="H18" s="43"/>
      <c r="I18" s="44"/>
      <c r="J18" s="23"/>
      <c r="K18" s="4"/>
      <c r="L18" s="4"/>
      <c r="M18" s="4"/>
    </row>
    <row r="19" spans="1:13" x14ac:dyDescent="0.25">
      <c r="A19" s="24"/>
      <c r="B19" s="25" t="s">
        <v>35</v>
      </c>
      <c r="C19" s="27"/>
      <c r="D19" s="27"/>
      <c r="E19" s="28" t="s">
        <v>36</v>
      </c>
      <c r="F19" s="29"/>
      <c r="G19" s="27"/>
      <c r="H19" s="45"/>
      <c r="I19" s="46"/>
      <c r="J19" s="23"/>
      <c r="K19" s="4"/>
      <c r="L19" s="4"/>
      <c r="M19" s="4"/>
    </row>
    <row r="20" spans="1:13" x14ac:dyDescent="0.25">
      <c r="A20" s="31">
        <v>5</v>
      </c>
      <c r="B20" s="32" t="s">
        <v>37</v>
      </c>
      <c r="C20" s="33" t="s">
        <v>21</v>
      </c>
      <c r="D20" s="1"/>
      <c r="E20" s="47" t="s">
        <v>38</v>
      </c>
      <c r="F20" s="48" t="s">
        <v>39</v>
      </c>
      <c r="G20" s="49">
        <v>7</v>
      </c>
      <c r="H20" s="35">
        <v>121340</v>
      </c>
      <c r="I20" s="527">
        <f t="shared" ref="I20:I26" si="1">+J20*G20</f>
        <v>1107166.83</v>
      </c>
      <c r="J20" s="3">
        <f>+H20*J9</f>
        <v>158166.69</v>
      </c>
      <c r="K20" s="4"/>
      <c r="L20" s="4"/>
      <c r="M20" s="4"/>
    </row>
    <row r="21" spans="1:13" ht="15.75" customHeight="1" x14ac:dyDescent="0.25">
      <c r="A21" s="31">
        <v>6</v>
      </c>
      <c r="B21" s="32" t="s">
        <v>40</v>
      </c>
      <c r="C21" s="33" t="s">
        <v>21</v>
      </c>
      <c r="D21" s="1"/>
      <c r="E21" s="34" t="s">
        <v>41</v>
      </c>
      <c r="F21" s="32" t="s">
        <v>39</v>
      </c>
      <c r="G21" s="49">
        <v>5</v>
      </c>
      <c r="H21" s="35">
        <v>110429</v>
      </c>
      <c r="I21" s="527">
        <f t="shared" si="1"/>
        <v>719721.00750000007</v>
      </c>
      <c r="J21" s="3">
        <f>+H21*J9</f>
        <v>143944.20150000002</v>
      </c>
      <c r="K21" s="4"/>
      <c r="L21" s="4"/>
      <c r="M21" s="4"/>
    </row>
    <row r="22" spans="1:13" ht="15.75" customHeight="1" x14ac:dyDescent="0.25">
      <c r="A22" s="31">
        <v>7</v>
      </c>
      <c r="B22" s="96" t="s">
        <v>40</v>
      </c>
      <c r="C22" s="33" t="s">
        <v>21</v>
      </c>
      <c r="D22" s="1"/>
      <c r="E22" s="34" t="s">
        <v>43</v>
      </c>
      <c r="F22" s="32" t="s">
        <v>44</v>
      </c>
      <c r="G22" s="49">
        <v>5</v>
      </c>
      <c r="H22" s="35">
        <v>74832</v>
      </c>
      <c r="I22" s="527">
        <f t="shared" si="1"/>
        <v>487717.56</v>
      </c>
      <c r="J22" s="3">
        <f>+H22*J9</f>
        <v>97543.512000000002</v>
      </c>
      <c r="K22" s="4"/>
      <c r="L22" s="4"/>
      <c r="M22" s="4"/>
    </row>
    <row r="23" spans="1:13" ht="15.75" customHeight="1" x14ac:dyDescent="0.25">
      <c r="A23" s="31">
        <v>8</v>
      </c>
      <c r="B23" s="32" t="s">
        <v>45</v>
      </c>
      <c r="C23" s="33" t="s">
        <v>21</v>
      </c>
      <c r="D23" s="1"/>
      <c r="E23" s="34" t="s">
        <v>46</v>
      </c>
      <c r="F23" s="32" t="s">
        <v>39</v>
      </c>
      <c r="G23" s="49">
        <v>5</v>
      </c>
      <c r="H23" s="35">
        <v>128491</v>
      </c>
      <c r="I23" s="527">
        <f t="shared" si="1"/>
        <v>837440.09250000003</v>
      </c>
      <c r="J23" s="3">
        <f>+H23*J9</f>
        <v>167488.01850000001</v>
      </c>
      <c r="K23" s="4"/>
      <c r="L23" s="4"/>
      <c r="M23" s="4"/>
    </row>
    <row r="24" spans="1:13" ht="14.25" customHeight="1" x14ac:dyDescent="0.25">
      <c r="A24" s="31">
        <v>9</v>
      </c>
      <c r="B24" s="96" t="s">
        <v>42</v>
      </c>
      <c r="C24" s="33" t="s">
        <v>21</v>
      </c>
      <c r="D24" s="1"/>
      <c r="E24" s="34" t="s">
        <v>48</v>
      </c>
      <c r="F24" s="32" t="s">
        <v>39</v>
      </c>
      <c r="G24" s="49">
        <v>5</v>
      </c>
      <c r="H24" s="35">
        <v>76623</v>
      </c>
      <c r="I24" s="527">
        <f t="shared" si="1"/>
        <v>499390.40250000008</v>
      </c>
      <c r="J24" s="3">
        <f>+H24*J9</f>
        <v>99878.080500000011</v>
      </c>
      <c r="K24" s="4"/>
      <c r="L24" s="4"/>
      <c r="M24" s="4"/>
    </row>
    <row r="25" spans="1:13" ht="15.75" customHeight="1" x14ac:dyDescent="0.25">
      <c r="A25" s="31">
        <v>10</v>
      </c>
      <c r="B25" s="96" t="s">
        <v>45</v>
      </c>
      <c r="C25" s="33" t="s">
        <v>21</v>
      </c>
      <c r="D25" s="1"/>
      <c r="E25" s="34" t="s">
        <v>49</v>
      </c>
      <c r="F25" s="32" t="s">
        <v>26</v>
      </c>
      <c r="G25" s="49">
        <v>20</v>
      </c>
      <c r="H25" s="35">
        <v>11042</v>
      </c>
      <c r="I25" s="527">
        <f t="shared" si="1"/>
        <v>287864.94</v>
      </c>
      <c r="J25" s="3">
        <f>+H25*J9</f>
        <v>14393.247000000001</v>
      </c>
      <c r="K25" s="4"/>
      <c r="L25" s="4"/>
      <c r="M25" s="4"/>
    </row>
    <row r="26" spans="1:13" ht="15.75" customHeight="1" x14ac:dyDescent="0.25">
      <c r="A26" s="31">
        <v>11</v>
      </c>
      <c r="B26" s="96" t="s">
        <v>47</v>
      </c>
      <c r="C26" s="33" t="s">
        <v>21</v>
      </c>
      <c r="D26" s="1"/>
      <c r="E26" s="50" t="s">
        <v>50</v>
      </c>
      <c r="F26" s="51" t="s">
        <v>26</v>
      </c>
      <c r="G26" s="49">
        <v>20</v>
      </c>
      <c r="H26" s="35">
        <v>30516</v>
      </c>
      <c r="I26" s="527">
        <f t="shared" si="1"/>
        <v>795552.12</v>
      </c>
      <c r="J26" s="3">
        <f>+H26*J9</f>
        <v>39777.606</v>
      </c>
      <c r="K26" s="4"/>
      <c r="L26" s="4"/>
      <c r="M26" s="4"/>
    </row>
    <row r="27" spans="1:13" ht="15.75" customHeight="1" x14ac:dyDescent="0.25">
      <c r="A27" s="53" t="s">
        <v>33</v>
      </c>
      <c r="B27" s="54"/>
      <c r="C27" s="55"/>
      <c r="D27" s="55"/>
      <c r="E27" s="56"/>
      <c r="F27" s="54"/>
      <c r="G27" s="55"/>
      <c r="H27" s="57"/>
      <c r="I27" s="42">
        <f>SUM(I20:I26)</f>
        <v>4734852.9524999997</v>
      </c>
      <c r="J27" s="3"/>
      <c r="K27" s="4"/>
      <c r="L27" s="4"/>
      <c r="M27" s="4"/>
    </row>
    <row r="28" spans="1:13" ht="15.75" customHeight="1" x14ac:dyDescent="0.25">
      <c r="A28" s="16"/>
      <c r="B28" s="17">
        <v>4</v>
      </c>
      <c r="C28" s="19"/>
      <c r="D28" s="19"/>
      <c r="E28" s="20" t="s">
        <v>51</v>
      </c>
      <c r="F28" s="21"/>
      <c r="G28" s="19"/>
      <c r="H28" s="43"/>
      <c r="I28" s="44"/>
      <c r="J28" s="23"/>
      <c r="K28" s="4"/>
      <c r="L28" s="4"/>
      <c r="M28" s="4"/>
    </row>
    <row r="29" spans="1:13" ht="15.75" customHeight="1" x14ac:dyDescent="0.25">
      <c r="A29" s="24"/>
      <c r="B29" s="25" t="s">
        <v>52</v>
      </c>
      <c r="C29" s="27"/>
      <c r="D29" s="27"/>
      <c r="E29" s="28" t="s">
        <v>53</v>
      </c>
      <c r="F29" s="29"/>
      <c r="G29" s="27"/>
      <c r="H29" s="58"/>
      <c r="I29" s="46"/>
      <c r="J29" s="23"/>
      <c r="K29" s="4"/>
      <c r="L29" s="4"/>
      <c r="M29" s="4"/>
    </row>
    <row r="30" spans="1:13" ht="15.75" customHeight="1" x14ac:dyDescent="0.25">
      <c r="A30" s="31">
        <v>12</v>
      </c>
      <c r="B30" s="32" t="s">
        <v>54</v>
      </c>
      <c r="C30" s="33" t="s">
        <v>21</v>
      </c>
      <c r="D30" s="1"/>
      <c r="E30" s="372" t="s">
        <v>55</v>
      </c>
      <c r="F30" s="373" t="s">
        <v>39</v>
      </c>
      <c r="G30" s="369">
        <f>+((G301+G299)*1.15)*0.3*0.33</f>
        <v>313.08749999999992</v>
      </c>
      <c r="H30" s="374">
        <v>61280</v>
      </c>
      <c r="I30" s="527">
        <f t="shared" ref="I30:I32" si="2">+J30*G30</f>
        <v>25008953.606999997</v>
      </c>
      <c r="J30" s="3">
        <f>+H30*J9</f>
        <v>79878.48000000001</v>
      </c>
      <c r="K30" s="4"/>
      <c r="L30" s="4"/>
      <c r="M30" s="4"/>
    </row>
    <row r="31" spans="1:13" ht="15.75" customHeight="1" x14ac:dyDescent="0.25">
      <c r="A31" s="31">
        <v>13</v>
      </c>
      <c r="B31" s="32" t="s">
        <v>56</v>
      </c>
      <c r="C31" s="33" t="s">
        <v>21</v>
      </c>
      <c r="D31" s="1"/>
      <c r="E31" s="34" t="s">
        <v>57</v>
      </c>
      <c r="F31" s="32" t="s">
        <v>39</v>
      </c>
      <c r="G31" s="33">
        <v>10</v>
      </c>
      <c r="H31" s="35">
        <v>54933</v>
      </c>
      <c r="I31" s="527">
        <f t="shared" si="2"/>
        <v>716051.65500000003</v>
      </c>
      <c r="J31" s="3">
        <f>+H31*J9</f>
        <v>71605.165500000003</v>
      </c>
      <c r="K31" s="4"/>
      <c r="L31" s="4"/>
      <c r="M31" s="4"/>
    </row>
    <row r="32" spans="1:13" ht="15.75" customHeight="1" x14ac:dyDescent="0.25">
      <c r="A32" s="31">
        <v>14</v>
      </c>
      <c r="B32" s="96" t="s">
        <v>56</v>
      </c>
      <c r="C32" s="33" t="s">
        <v>21</v>
      </c>
      <c r="D32" s="49"/>
      <c r="E32" s="50" t="s">
        <v>58</v>
      </c>
      <c r="F32" s="51" t="s">
        <v>39</v>
      </c>
      <c r="G32" s="52">
        <v>10</v>
      </c>
      <c r="H32" s="60">
        <v>70628</v>
      </c>
      <c r="I32" s="527">
        <f t="shared" si="2"/>
        <v>920635.9800000001</v>
      </c>
      <c r="J32" s="3">
        <f>+H32*J9</f>
        <v>92063.598000000013</v>
      </c>
      <c r="K32" s="4"/>
      <c r="L32" s="4"/>
      <c r="M32" s="4"/>
    </row>
    <row r="33" spans="1:13" ht="15.75" customHeight="1" x14ac:dyDescent="0.25">
      <c r="A33" s="53" t="s">
        <v>33</v>
      </c>
      <c r="B33" s="54"/>
      <c r="C33" s="55"/>
      <c r="D33" s="1"/>
      <c r="E33" s="39"/>
      <c r="F33" s="37"/>
      <c r="G33" s="38"/>
      <c r="H33" s="61"/>
      <c r="I33" s="62">
        <f>SUM(I30:I32)</f>
        <v>26645641.241999999</v>
      </c>
      <c r="J33" s="3"/>
      <c r="K33" s="4"/>
      <c r="L33" s="4"/>
      <c r="M33" s="4"/>
    </row>
    <row r="34" spans="1:13" ht="15.75" customHeight="1" x14ac:dyDescent="0.25">
      <c r="A34" s="63"/>
      <c r="B34" s="64" t="s">
        <v>59</v>
      </c>
      <c r="C34" s="65"/>
      <c r="D34" s="65"/>
      <c r="E34" s="66" t="s">
        <v>60</v>
      </c>
      <c r="F34" s="67"/>
      <c r="G34" s="65"/>
      <c r="H34" s="68"/>
      <c r="I34" s="69"/>
      <c r="J34" s="23"/>
      <c r="K34" s="4"/>
      <c r="L34" s="4"/>
      <c r="M34" s="4"/>
    </row>
    <row r="35" spans="1:13" ht="15.75" customHeight="1" x14ac:dyDescent="0.25">
      <c r="A35" s="31">
        <v>15</v>
      </c>
      <c r="B35" s="32" t="s">
        <v>61</v>
      </c>
      <c r="C35" s="33" t="s">
        <v>21</v>
      </c>
      <c r="D35" s="1"/>
      <c r="E35" s="47" t="s">
        <v>62</v>
      </c>
      <c r="F35" s="48" t="s">
        <v>39</v>
      </c>
      <c r="G35" s="49">
        <v>7</v>
      </c>
      <c r="H35" s="59">
        <v>71367</v>
      </c>
      <c r="I35" s="527">
        <f t="shared" ref="I35:I37" si="3">+J35*G35</f>
        <v>651188.19149999996</v>
      </c>
      <c r="J35" s="3">
        <f>+H35*J9</f>
        <v>93026.8845</v>
      </c>
      <c r="K35" s="4"/>
      <c r="L35" s="4"/>
      <c r="M35" s="4"/>
    </row>
    <row r="36" spans="1:13" ht="15.75" customHeight="1" x14ac:dyDescent="0.25">
      <c r="A36" s="31">
        <v>16</v>
      </c>
      <c r="B36" s="32" t="s">
        <v>63</v>
      </c>
      <c r="C36" s="33" t="s">
        <v>21</v>
      </c>
      <c r="D36" s="1"/>
      <c r="E36" s="34" t="s">
        <v>64</v>
      </c>
      <c r="F36" s="32" t="s">
        <v>39</v>
      </c>
      <c r="G36" s="33">
        <v>7</v>
      </c>
      <c r="H36" s="35">
        <v>61800</v>
      </c>
      <c r="I36" s="527">
        <f t="shared" si="3"/>
        <v>563894.1</v>
      </c>
      <c r="J36" s="3">
        <f t="shared" ref="J36:J37" si="4">+H36*$J$9</f>
        <v>80556.3</v>
      </c>
      <c r="K36" s="4"/>
      <c r="L36" s="4"/>
      <c r="M36" s="4"/>
    </row>
    <row r="37" spans="1:13" ht="15.75" customHeight="1" x14ac:dyDescent="0.25">
      <c r="A37" s="31">
        <v>17</v>
      </c>
      <c r="B37" s="32" t="s">
        <v>65</v>
      </c>
      <c r="C37" s="33" t="s">
        <v>21</v>
      </c>
      <c r="D37" s="1"/>
      <c r="E37" s="34" t="s">
        <v>66</v>
      </c>
      <c r="F37" s="32" t="s">
        <v>39</v>
      </c>
      <c r="G37" s="33">
        <v>7</v>
      </c>
      <c r="H37" s="35">
        <v>84000</v>
      </c>
      <c r="I37" s="527">
        <f t="shared" si="3"/>
        <v>766458.00000000012</v>
      </c>
      <c r="J37" s="3">
        <f t="shared" si="4"/>
        <v>109494.00000000001</v>
      </c>
      <c r="K37" s="4"/>
      <c r="L37" s="4"/>
      <c r="M37" s="4"/>
    </row>
    <row r="38" spans="1:13" ht="15.75" customHeight="1" x14ac:dyDescent="0.25">
      <c r="A38" s="53" t="s">
        <v>33</v>
      </c>
      <c r="B38" s="54"/>
      <c r="C38" s="55"/>
      <c r="D38" s="1"/>
      <c r="E38" s="56"/>
      <c r="F38" s="54"/>
      <c r="G38" s="55"/>
      <c r="H38" s="57"/>
      <c r="I38" s="70">
        <f>SUM(I35:I37)</f>
        <v>1981540.2914999998</v>
      </c>
      <c r="J38" s="3"/>
      <c r="K38" s="4"/>
      <c r="L38" s="4"/>
      <c r="M38" s="4"/>
    </row>
    <row r="39" spans="1:13" ht="15.75" customHeight="1" x14ac:dyDescent="0.25">
      <c r="A39" s="63"/>
      <c r="B39" s="64" t="s">
        <v>67</v>
      </c>
      <c r="C39" s="65"/>
      <c r="D39" s="65"/>
      <c r="E39" s="66" t="s">
        <v>68</v>
      </c>
      <c r="F39" s="67"/>
      <c r="G39" s="65"/>
      <c r="H39" s="68"/>
      <c r="I39" s="69"/>
      <c r="J39" s="23"/>
      <c r="K39" s="4"/>
      <c r="L39" s="4"/>
      <c r="M39" s="4"/>
    </row>
    <row r="40" spans="1:13" ht="15.75" customHeight="1" x14ac:dyDescent="0.25">
      <c r="A40" s="71">
        <v>18</v>
      </c>
      <c r="B40" s="72" t="s">
        <v>69</v>
      </c>
      <c r="C40" s="33" t="s">
        <v>21</v>
      </c>
      <c r="D40" s="1"/>
      <c r="E40" s="34" t="s">
        <v>68</v>
      </c>
      <c r="F40" s="32" t="s">
        <v>39</v>
      </c>
      <c r="G40" s="33">
        <v>14</v>
      </c>
      <c r="H40" s="35">
        <v>10185</v>
      </c>
      <c r="I40" s="525">
        <f>+J40*G40</f>
        <v>185866.065</v>
      </c>
      <c r="J40" s="3">
        <f>+H40*$J$9</f>
        <v>13276.147500000001</v>
      </c>
      <c r="K40" s="4"/>
      <c r="L40" s="4"/>
      <c r="M40" s="4"/>
    </row>
    <row r="41" spans="1:13" ht="15.75" customHeight="1" x14ac:dyDescent="0.25">
      <c r="A41" s="53" t="s">
        <v>33</v>
      </c>
      <c r="B41" s="54"/>
      <c r="C41" s="55"/>
      <c r="D41" s="1"/>
      <c r="E41" s="56"/>
      <c r="F41" s="54"/>
      <c r="G41" s="55"/>
      <c r="H41" s="57"/>
      <c r="I41" s="70">
        <f>SUM(I40)</f>
        <v>185866.065</v>
      </c>
      <c r="J41" s="3"/>
      <c r="K41" s="4"/>
      <c r="L41" s="4"/>
      <c r="M41" s="4"/>
    </row>
    <row r="42" spans="1:13" ht="15.75" customHeight="1" x14ac:dyDescent="0.25">
      <c r="A42" s="63"/>
      <c r="B42" s="64" t="s">
        <v>70</v>
      </c>
      <c r="C42" s="65"/>
      <c r="D42" s="65"/>
      <c r="E42" s="66" t="s">
        <v>71</v>
      </c>
      <c r="F42" s="67"/>
      <c r="G42" s="65"/>
      <c r="H42" s="68"/>
      <c r="I42" s="69"/>
      <c r="J42" s="23"/>
      <c r="K42" s="4"/>
      <c r="L42" s="4"/>
      <c r="M42" s="4"/>
    </row>
    <row r="43" spans="1:13" ht="15.75" customHeight="1" x14ac:dyDescent="0.25">
      <c r="A43" s="71">
        <v>19</v>
      </c>
      <c r="B43" s="72" t="s">
        <v>72</v>
      </c>
      <c r="C43" s="33" t="s">
        <v>21</v>
      </c>
      <c r="D43" s="1"/>
      <c r="E43" s="353" t="s">
        <v>73</v>
      </c>
      <c r="F43" s="354" t="s">
        <v>39</v>
      </c>
      <c r="G43" s="355">
        <f>7*1.5</f>
        <v>10.5</v>
      </c>
      <c r="H43" s="356">
        <v>145580</v>
      </c>
      <c r="I43" s="525">
        <f>+J43*G43</f>
        <v>1992517.0650000004</v>
      </c>
      <c r="J43" s="3">
        <f>+H43*$J$9</f>
        <v>189763.53000000003</v>
      </c>
      <c r="K43" s="4"/>
      <c r="L43" s="4"/>
      <c r="M43" s="4"/>
    </row>
    <row r="44" spans="1:13" ht="15.75" customHeight="1" x14ac:dyDescent="0.25">
      <c r="A44" s="53" t="s">
        <v>33</v>
      </c>
      <c r="B44" s="54"/>
      <c r="C44" s="55"/>
      <c r="D44" s="1"/>
      <c r="E44" s="56"/>
      <c r="F44" s="54"/>
      <c r="G44" s="55"/>
      <c r="H44" s="57"/>
      <c r="I44" s="70">
        <f>SUM(I43)</f>
        <v>1992517.0650000004</v>
      </c>
      <c r="J44" s="3"/>
      <c r="K44" s="4"/>
      <c r="L44" s="4"/>
      <c r="M44" s="4"/>
    </row>
    <row r="45" spans="1:13" ht="15.75" customHeight="1" x14ac:dyDescent="0.25">
      <c r="A45" s="63"/>
      <c r="B45" s="64" t="s">
        <v>74</v>
      </c>
      <c r="C45" s="65"/>
      <c r="D45" s="65"/>
      <c r="E45" s="66" t="s">
        <v>75</v>
      </c>
      <c r="F45" s="67"/>
      <c r="G45" s="65"/>
      <c r="H45" s="68"/>
      <c r="I45" s="69"/>
      <c r="J45" s="23"/>
      <c r="K45" s="4"/>
      <c r="L45" s="4"/>
      <c r="M45" s="4"/>
    </row>
    <row r="46" spans="1:13" ht="15.75" customHeight="1" x14ac:dyDescent="0.25">
      <c r="A46" s="31">
        <v>20</v>
      </c>
      <c r="B46" s="32" t="s">
        <v>76</v>
      </c>
      <c r="C46" s="33" t="s">
        <v>21</v>
      </c>
      <c r="D46" s="1"/>
      <c r="E46" s="34" t="s">
        <v>77</v>
      </c>
      <c r="F46" s="32" t="s">
        <v>26</v>
      </c>
      <c r="G46" s="33">
        <v>10</v>
      </c>
      <c r="H46" s="35">
        <v>37751</v>
      </c>
      <c r="I46" s="525">
        <f t="shared" ref="I46:I49" si="5">+J46*G46</f>
        <v>492084.28500000003</v>
      </c>
      <c r="J46" s="3">
        <f t="shared" ref="J46:J49" si="6">+H46*$J$9</f>
        <v>49208.428500000002</v>
      </c>
      <c r="K46" s="4"/>
      <c r="L46" s="4"/>
      <c r="M46" s="4"/>
    </row>
    <row r="47" spans="1:13" ht="15.75" customHeight="1" x14ac:dyDescent="0.25">
      <c r="A47" s="31">
        <v>21</v>
      </c>
      <c r="B47" s="32" t="s">
        <v>78</v>
      </c>
      <c r="C47" s="33" t="s">
        <v>21</v>
      </c>
      <c r="D47" s="1"/>
      <c r="E47" s="34" t="s">
        <v>79</v>
      </c>
      <c r="F47" s="32" t="s">
        <v>26</v>
      </c>
      <c r="G47" s="33">
        <v>10</v>
      </c>
      <c r="H47" s="35">
        <v>20019</v>
      </c>
      <c r="I47" s="525">
        <f t="shared" si="5"/>
        <v>260947.66500000001</v>
      </c>
      <c r="J47" s="3">
        <f t="shared" si="6"/>
        <v>26094.766500000002</v>
      </c>
      <c r="K47" s="4"/>
      <c r="L47" s="4"/>
      <c r="M47" s="4"/>
    </row>
    <row r="48" spans="1:13" ht="15.75" customHeight="1" x14ac:dyDescent="0.25">
      <c r="A48" s="31">
        <v>22</v>
      </c>
      <c r="B48" s="32" t="s">
        <v>80</v>
      </c>
      <c r="C48" s="33" t="s">
        <v>21</v>
      </c>
      <c r="D48" s="1"/>
      <c r="E48" s="34" t="s">
        <v>81</v>
      </c>
      <c r="F48" s="32" t="s">
        <v>26</v>
      </c>
      <c r="G48" s="33">
        <v>10</v>
      </c>
      <c r="H48" s="35">
        <v>36776</v>
      </c>
      <c r="I48" s="525">
        <f t="shared" si="5"/>
        <v>479375.16000000003</v>
      </c>
      <c r="J48" s="3">
        <f t="shared" si="6"/>
        <v>47937.516000000003</v>
      </c>
      <c r="K48" s="4"/>
      <c r="L48" s="4"/>
      <c r="M48" s="4"/>
    </row>
    <row r="49" spans="1:13" ht="15.75" customHeight="1" x14ac:dyDescent="0.25">
      <c r="A49" s="31">
        <v>23</v>
      </c>
      <c r="B49" s="32" t="s">
        <v>82</v>
      </c>
      <c r="C49" s="33" t="s">
        <v>21</v>
      </c>
      <c r="D49" s="1"/>
      <c r="E49" s="34" t="s">
        <v>83</v>
      </c>
      <c r="F49" s="32" t="s">
        <v>26</v>
      </c>
      <c r="G49" s="33">
        <v>10</v>
      </c>
      <c r="H49" s="35">
        <v>45620</v>
      </c>
      <c r="I49" s="525">
        <f t="shared" si="5"/>
        <v>594656.70000000007</v>
      </c>
      <c r="J49" s="3">
        <f t="shared" si="6"/>
        <v>59465.670000000006</v>
      </c>
      <c r="K49" s="4"/>
      <c r="L49" s="4"/>
      <c r="M49" s="4"/>
    </row>
    <row r="50" spans="1:13" ht="15.75" customHeight="1" x14ac:dyDescent="0.25">
      <c r="A50" s="53" t="s">
        <v>33</v>
      </c>
      <c r="B50" s="54"/>
      <c r="C50" s="55"/>
      <c r="D50" s="55"/>
      <c r="E50" s="56"/>
      <c r="F50" s="54"/>
      <c r="G50" s="55"/>
      <c r="H50" s="57"/>
      <c r="I50" s="73">
        <f>SUM(I46:I49)</f>
        <v>1827063.81</v>
      </c>
      <c r="J50" s="3"/>
      <c r="K50" s="4"/>
      <c r="L50" s="4"/>
      <c r="M50" s="4"/>
    </row>
    <row r="51" spans="1:13" ht="15.75" customHeight="1" x14ac:dyDescent="0.25">
      <c r="A51" s="16"/>
      <c r="B51" s="17">
        <v>5</v>
      </c>
      <c r="C51" s="19"/>
      <c r="D51" s="19"/>
      <c r="E51" s="20" t="s">
        <v>84</v>
      </c>
      <c r="F51" s="21"/>
      <c r="G51" s="19"/>
      <c r="H51" s="43"/>
      <c r="I51" s="44"/>
      <c r="J51" s="23"/>
      <c r="K51" s="4"/>
      <c r="L51" s="4"/>
      <c r="M51" s="4"/>
    </row>
    <row r="52" spans="1:13" ht="15.75" customHeight="1" x14ac:dyDescent="0.25">
      <c r="A52" s="24"/>
      <c r="B52" s="25" t="s">
        <v>85</v>
      </c>
      <c r="C52" s="27"/>
      <c r="D52" s="27"/>
      <c r="E52" s="28" t="s">
        <v>84</v>
      </c>
      <c r="F52" s="29"/>
      <c r="G52" s="27"/>
      <c r="H52" s="58"/>
      <c r="I52" s="46"/>
      <c r="J52" s="23"/>
      <c r="K52" s="4"/>
      <c r="L52" s="4"/>
      <c r="M52" s="4"/>
    </row>
    <row r="53" spans="1:13" ht="15.75" customHeight="1" x14ac:dyDescent="0.25">
      <c r="A53" s="31">
        <v>24</v>
      </c>
      <c r="B53" s="32" t="s">
        <v>86</v>
      </c>
      <c r="C53" s="33" t="s">
        <v>21</v>
      </c>
      <c r="D53" s="1"/>
      <c r="E53" s="372" t="s">
        <v>87</v>
      </c>
      <c r="F53" s="373" t="s">
        <v>39</v>
      </c>
      <c r="G53" s="369">
        <f>+((G299+G301)*1.15)*0.23*0.3</f>
        <v>218.21249999999995</v>
      </c>
      <c r="H53" s="374">
        <v>26934</v>
      </c>
      <c r="I53" s="527">
        <f t="shared" ref="I53:I58" si="7">+J53*G53</f>
        <v>7661106.7916624993</v>
      </c>
      <c r="J53" s="3">
        <f t="shared" ref="J53:J58" si="8">+H53*$J$9</f>
        <v>35108.469000000005</v>
      </c>
      <c r="K53" s="4"/>
      <c r="L53" s="4"/>
      <c r="M53" s="4"/>
    </row>
    <row r="54" spans="1:13" ht="15.75" customHeight="1" x14ac:dyDescent="0.25">
      <c r="A54" s="31">
        <v>25</v>
      </c>
      <c r="B54" s="32" t="s">
        <v>88</v>
      </c>
      <c r="C54" s="33" t="s">
        <v>21</v>
      </c>
      <c r="D54" s="1"/>
      <c r="E54" s="34" t="s">
        <v>89</v>
      </c>
      <c r="F54" s="32" t="s">
        <v>39</v>
      </c>
      <c r="G54" s="33">
        <v>7</v>
      </c>
      <c r="H54" s="35">
        <v>87333</v>
      </c>
      <c r="I54" s="527">
        <f t="shared" si="7"/>
        <v>796869.95850000007</v>
      </c>
      <c r="J54" s="3">
        <f t="shared" si="8"/>
        <v>113838.56550000001</v>
      </c>
      <c r="K54" s="4"/>
      <c r="L54" s="4"/>
      <c r="M54" s="4"/>
    </row>
    <row r="55" spans="1:13" ht="15.75" customHeight="1" x14ac:dyDescent="0.25">
      <c r="A55" s="31">
        <v>26</v>
      </c>
      <c r="B55" s="32" t="s">
        <v>90</v>
      </c>
      <c r="C55" s="33" t="s">
        <v>21</v>
      </c>
      <c r="D55" s="1"/>
      <c r="E55" s="34" t="s">
        <v>91</v>
      </c>
      <c r="F55" s="32" t="s">
        <v>39</v>
      </c>
      <c r="G55" s="33">
        <v>7</v>
      </c>
      <c r="H55" s="35">
        <v>61513</v>
      </c>
      <c r="I55" s="527">
        <f t="shared" si="7"/>
        <v>561275.36849999998</v>
      </c>
      <c r="J55" s="3">
        <f t="shared" si="8"/>
        <v>80182.195500000002</v>
      </c>
      <c r="K55" s="4"/>
      <c r="L55" s="4"/>
      <c r="M55" s="4"/>
    </row>
    <row r="56" spans="1:13" ht="15.75" customHeight="1" x14ac:dyDescent="0.25">
      <c r="A56" s="31">
        <v>27</v>
      </c>
      <c r="B56" s="32" t="s">
        <v>92</v>
      </c>
      <c r="C56" s="33" t="s">
        <v>21</v>
      </c>
      <c r="D56" s="1"/>
      <c r="E56" s="34" t="s">
        <v>93</v>
      </c>
      <c r="F56" s="32" t="s">
        <v>39</v>
      </c>
      <c r="G56" s="33">
        <v>7</v>
      </c>
      <c r="H56" s="35">
        <v>236411</v>
      </c>
      <c r="I56" s="527">
        <f t="shared" si="7"/>
        <v>2157132.1695000003</v>
      </c>
      <c r="J56" s="3">
        <f t="shared" si="8"/>
        <v>308161.73850000004</v>
      </c>
      <c r="K56" s="4"/>
      <c r="L56" s="4"/>
      <c r="M56" s="4"/>
    </row>
    <row r="57" spans="1:13" ht="15.75" customHeight="1" x14ac:dyDescent="0.25">
      <c r="A57" s="31">
        <v>28</v>
      </c>
      <c r="B57" s="32" t="s">
        <v>94</v>
      </c>
      <c r="C57" s="33" t="s">
        <v>21</v>
      </c>
      <c r="D57" s="1"/>
      <c r="E57" s="34" t="s">
        <v>95</v>
      </c>
      <c r="F57" s="32" t="s">
        <v>39</v>
      </c>
      <c r="G57" s="33">
        <v>7</v>
      </c>
      <c r="H57" s="35">
        <v>139696</v>
      </c>
      <c r="I57" s="527">
        <f t="shared" si="7"/>
        <v>1274656.152</v>
      </c>
      <c r="J57" s="3">
        <f t="shared" si="8"/>
        <v>182093.736</v>
      </c>
      <c r="K57" s="4"/>
      <c r="L57" s="4"/>
      <c r="M57" s="4"/>
    </row>
    <row r="58" spans="1:13" ht="15.75" customHeight="1" x14ac:dyDescent="0.25">
      <c r="A58" s="31">
        <v>29</v>
      </c>
      <c r="B58" s="96" t="s">
        <v>90</v>
      </c>
      <c r="C58" s="33" t="s">
        <v>21</v>
      </c>
      <c r="D58" s="1"/>
      <c r="E58" s="50" t="s">
        <v>96</v>
      </c>
      <c r="F58" s="51" t="s">
        <v>39</v>
      </c>
      <c r="G58" s="52">
        <v>7</v>
      </c>
      <c r="H58" s="60">
        <v>183224</v>
      </c>
      <c r="I58" s="527">
        <f t="shared" si="7"/>
        <v>1671827.3880000003</v>
      </c>
      <c r="J58" s="3">
        <f t="shared" si="8"/>
        <v>238832.48400000003</v>
      </c>
      <c r="K58" s="4"/>
      <c r="L58" s="4"/>
      <c r="M58" s="4"/>
    </row>
    <row r="59" spans="1:13" ht="15.75" customHeight="1" x14ac:dyDescent="0.25">
      <c r="A59" s="53" t="s">
        <v>33</v>
      </c>
      <c r="B59" s="54"/>
      <c r="C59" s="55"/>
      <c r="D59" s="55"/>
      <c r="E59" s="56"/>
      <c r="F59" s="54"/>
      <c r="G59" s="55"/>
      <c r="H59" s="57"/>
      <c r="I59" s="73">
        <f>SUM(I53:I58)</f>
        <v>14122867.828162501</v>
      </c>
      <c r="J59" s="3"/>
      <c r="K59" s="4"/>
      <c r="L59" s="4"/>
      <c r="M59" s="4"/>
    </row>
    <row r="60" spans="1:13" ht="15.75" customHeight="1" x14ac:dyDescent="0.25">
      <c r="A60" s="63"/>
      <c r="B60" s="64" t="s">
        <v>97</v>
      </c>
      <c r="C60" s="65"/>
      <c r="D60" s="65"/>
      <c r="E60" s="66" t="s">
        <v>98</v>
      </c>
      <c r="F60" s="67"/>
      <c r="G60" s="65"/>
      <c r="H60" s="68"/>
      <c r="I60" s="69"/>
      <c r="J60" s="23"/>
      <c r="K60" s="4"/>
      <c r="L60" s="4"/>
      <c r="M60" s="4"/>
    </row>
    <row r="61" spans="1:13" ht="15.75" customHeight="1" x14ac:dyDescent="0.25">
      <c r="A61" s="31">
        <v>30</v>
      </c>
      <c r="B61" s="32" t="s">
        <v>99</v>
      </c>
      <c r="C61" s="33" t="s">
        <v>21</v>
      </c>
      <c r="D61" s="1"/>
      <c r="E61" s="372" t="s">
        <v>100</v>
      </c>
      <c r="F61" s="373" t="s">
        <v>39</v>
      </c>
      <c r="G61" s="369">
        <v>7</v>
      </c>
      <c r="H61" s="374">
        <v>217037</v>
      </c>
      <c r="I61" s="527">
        <f t="shared" ref="I61:I62" si="9">+J61*G61</f>
        <v>1980354.1065000002</v>
      </c>
      <c r="J61" s="3">
        <f t="shared" ref="J61:J62" si="10">+H61*$J$9</f>
        <v>282907.72950000002</v>
      </c>
      <c r="K61" s="4"/>
      <c r="L61" s="4"/>
      <c r="M61" s="4"/>
    </row>
    <row r="62" spans="1:13" ht="15.75" customHeight="1" x14ac:dyDescent="0.25">
      <c r="A62" s="31">
        <v>31</v>
      </c>
      <c r="B62" s="32" t="s">
        <v>101</v>
      </c>
      <c r="C62" s="33" t="s">
        <v>21</v>
      </c>
      <c r="D62" s="1"/>
      <c r="E62" s="353" t="s">
        <v>102</v>
      </c>
      <c r="F62" s="354" t="s">
        <v>39</v>
      </c>
      <c r="G62" s="355">
        <v>7</v>
      </c>
      <c r="H62" s="356">
        <v>108177</v>
      </c>
      <c r="I62" s="527">
        <f t="shared" si="9"/>
        <v>987061.03650000005</v>
      </c>
      <c r="J62" s="3">
        <f t="shared" si="10"/>
        <v>141008.71950000001</v>
      </c>
      <c r="K62" s="4"/>
      <c r="L62" s="4"/>
      <c r="M62" s="4"/>
    </row>
    <row r="63" spans="1:13" ht="15.75" customHeight="1" x14ac:dyDescent="0.25">
      <c r="A63" s="53" t="s">
        <v>33</v>
      </c>
      <c r="B63" s="54"/>
      <c r="C63" s="55"/>
      <c r="D63" s="55"/>
      <c r="E63" s="56"/>
      <c r="F63" s="54"/>
      <c r="G63" s="55"/>
      <c r="H63" s="57"/>
      <c r="I63" s="73">
        <f>SUM(I61:I62)</f>
        <v>2967415.1430000002</v>
      </c>
      <c r="J63" s="3"/>
      <c r="K63" s="4"/>
      <c r="L63" s="4"/>
      <c r="M63" s="4"/>
    </row>
    <row r="64" spans="1:13" ht="15.75" customHeight="1" x14ac:dyDescent="0.25">
      <c r="A64" s="63"/>
      <c r="B64" s="64" t="s">
        <v>103</v>
      </c>
      <c r="C64" s="65"/>
      <c r="D64" s="65"/>
      <c r="E64" s="66" t="s">
        <v>104</v>
      </c>
      <c r="F64" s="67"/>
      <c r="G64" s="65"/>
      <c r="H64" s="68"/>
      <c r="I64" s="69"/>
      <c r="J64" s="23"/>
      <c r="K64" s="4"/>
      <c r="L64" s="4"/>
      <c r="M64" s="4"/>
    </row>
    <row r="65" spans="1:13" ht="15.75" customHeight="1" x14ac:dyDescent="0.25">
      <c r="A65" s="31">
        <v>32</v>
      </c>
      <c r="B65" s="32" t="s">
        <v>105</v>
      </c>
      <c r="C65" s="33" t="s">
        <v>21</v>
      </c>
      <c r="D65" s="1"/>
      <c r="E65" s="34" t="s">
        <v>106</v>
      </c>
      <c r="F65" s="32" t="s">
        <v>39</v>
      </c>
      <c r="G65" s="33">
        <v>10</v>
      </c>
      <c r="H65" s="35">
        <v>730250</v>
      </c>
      <c r="I65" s="525">
        <f t="shared" ref="I65:I66" si="11">+J65*G65</f>
        <v>9518808.7500000019</v>
      </c>
      <c r="J65" s="3">
        <f t="shared" ref="J65:J66" si="12">+H65*$J$9</f>
        <v>951880.87500000012</v>
      </c>
      <c r="K65" s="4"/>
      <c r="L65" s="4"/>
      <c r="M65" s="4"/>
    </row>
    <row r="66" spans="1:13" ht="15.75" customHeight="1" x14ac:dyDescent="0.25">
      <c r="A66" s="31">
        <v>33</v>
      </c>
      <c r="B66" s="32" t="s">
        <v>107</v>
      </c>
      <c r="C66" s="33" t="s">
        <v>21</v>
      </c>
      <c r="D66" s="1"/>
      <c r="E66" s="50" t="s">
        <v>108</v>
      </c>
      <c r="F66" s="51" t="s">
        <v>39</v>
      </c>
      <c r="G66" s="52">
        <v>5</v>
      </c>
      <c r="H66" s="60">
        <v>301190</v>
      </c>
      <c r="I66" s="528">
        <f t="shared" si="11"/>
        <v>1963005.8250000002</v>
      </c>
      <c r="J66" s="3">
        <f t="shared" si="12"/>
        <v>392601.16500000004</v>
      </c>
      <c r="K66" s="4"/>
      <c r="L66" s="4"/>
      <c r="M66" s="4"/>
    </row>
    <row r="67" spans="1:13" ht="15.75" customHeight="1" x14ac:dyDescent="0.25">
      <c r="A67" s="53" t="s">
        <v>33</v>
      </c>
      <c r="B67" s="54"/>
      <c r="C67" s="55"/>
      <c r="D67" s="55"/>
      <c r="E67" s="56"/>
      <c r="F67" s="54"/>
      <c r="G67" s="55"/>
      <c r="H67" s="57"/>
      <c r="I67" s="73">
        <f>SUM(I65:I66)</f>
        <v>11481814.575000003</v>
      </c>
      <c r="J67" s="3"/>
      <c r="K67" s="4"/>
      <c r="L67" s="4"/>
      <c r="M67" s="4"/>
    </row>
    <row r="68" spans="1:13" ht="15.75" customHeight="1" x14ac:dyDescent="0.25">
      <c r="A68" s="63"/>
      <c r="B68" s="64" t="s">
        <v>109</v>
      </c>
      <c r="C68" s="65"/>
      <c r="D68" s="65"/>
      <c r="E68" s="66" t="s">
        <v>110</v>
      </c>
      <c r="F68" s="67"/>
      <c r="G68" s="65"/>
      <c r="H68" s="68"/>
      <c r="I68" s="69"/>
      <c r="J68" s="23"/>
      <c r="K68" s="4"/>
      <c r="L68" s="4"/>
      <c r="M68" s="4"/>
    </row>
    <row r="69" spans="1:13" ht="30.75" customHeight="1" x14ac:dyDescent="0.25">
      <c r="A69" s="31">
        <v>34</v>
      </c>
      <c r="B69" s="32" t="s">
        <v>111</v>
      </c>
      <c r="C69" s="33" t="s">
        <v>21</v>
      </c>
      <c r="D69" s="1"/>
      <c r="E69" s="47" t="s">
        <v>112</v>
      </c>
      <c r="F69" s="48" t="s">
        <v>44</v>
      </c>
      <c r="G69" s="49">
        <v>5</v>
      </c>
      <c r="H69" s="59">
        <v>599576</v>
      </c>
      <c r="I69" s="527">
        <f t="shared" ref="I69:I70" si="13">+J69*G69</f>
        <v>3907736.5800000005</v>
      </c>
      <c r="J69" s="3">
        <f t="shared" ref="J69:J70" si="14">+H69*$J$9</f>
        <v>781547.31600000011</v>
      </c>
      <c r="K69" s="4"/>
      <c r="L69" s="4"/>
      <c r="M69" s="4"/>
    </row>
    <row r="70" spans="1:13" ht="15.75" customHeight="1" x14ac:dyDescent="0.25">
      <c r="A70" s="31">
        <v>35</v>
      </c>
      <c r="B70" s="32" t="s">
        <v>113</v>
      </c>
      <c r="C70" s="33" t="s">
        <v>21</v>
      </c>
      <c r="D70" s="1"/>
      <c r="E70" s="34" t="s">
        <v>114</v>
      </c>
      <c r="F70" s="32" t="s">
        <v>44</v>
      </c>
      <c r="G70" s="33">
        <v>5</v>
      </c>
      <c r="H70" s="35">
        <v>30880</v>
      </c>
      <c r="I70" s="525">
        <f t="shared" si="13"/>
        <v>201260.40000000002</v>
      </c>
      <c r="J70" s="3">
        <f t="shared" si="14"/>
        <v>40252.080000000002</v>
      </c>
      <c r="K70" s="4"/>
      <c r="L70" s="4"/>
      <c r="M70" s="4"/>
    </row>
    <row r="71" spans="1:13" ht="15.75" customHeight="1" x14ac:dyDescent="0.25">
      <c r="A71" s="53" t="s">
        <v>33</v>
      </c>
      <c r="B71" s="54"/>
      <c r="C71" s="55"/>
      <c r="D71" s="55"/>
      <c r="E71" s="56"/>
      <c r="F71" s="54"/>
      <c r="G71" s="55"/>
      <c r="H71" s="57"/>
      <c r="I71" s="73">
        <f>SUM(I69:I70)</f>
        <v>4108996.9800000004</v>
      </c>
      <c r="J71" s="3"/>
      <c r="K71" s="4"/>
      <c r="L71" s="4"/>
      <c r="M71" s="4"/>
    </row>
    <row r="72" spans="1:13" ht="15.75" customHeight="1" x14ac:dyDescent="0.25">
      <c r="A72" s="16"/>
      <c r="B72" s="17">
        <v>6</v>
      </c>
      <c r="C72" s="19"/>
      <c r="D72" s="19"/>
      <c r="E72" s="20" t="s">
        <v>115</v>
      </c>
      <c r="F72" s="21"/>
      <c r="G72" s="19"/>
      <c r="H72" s="43"/>
      <c r="I72" s="44"/>
      <c r="J72" s="23"/>
      <c r="K72" s="4"/>
      <c r="L72" s="4"/>
      <c r="M72" s="4"/>
    </row>
    <row r="73" spans="1:13" ht="20.25" customHeight="1" x14ac:dyDescent="0.25">
      <c r="A73" s="31">
        <v>36</v>
      </c>
      <c r="B73" s="32" t="s">
        <v>116</v>
      </c>
      <c r="C73" s="33" t="s">
        <v>21</v>
      </c>
      <c r="D73" s="1"/>
      <c r="E73" s="372" t="s">
        <v>117</v>
      </c>
      <c r="F73" s="373" t="s">
        <v>39</v>
      </c>
      <c r="G73" s="369">
        <f>7*2</f>
        <v>14</v>
      </c>
      <c r="H73" s="374">
        <v>28399</v>
      </c>
      <c r="I73" s="527">
        <f t="shared" ref="I73:I77" si="15">+J73*G73</f>
        <v>518253.35100000002</v>
      </c>
      <c r="J73" s="3">
        <f t="shared" ref="J73:J77" si="16">+H73*$J$9</f>
        <v>37018.0965</v>
      </c>
      <c r="K73" s="4"/>
      <c r="L73" s="4"/>
      <c r="M73" s="4"/>
    </row>
    <row r="74" spans="1:13" ht="15.75" customHeight="1" x14ac:dyDescent="0.25">
      <c r="A74" s="31">
        <v>37</v>
      </c>
      <c r="B74" s="32" t="s">
        <v>118</v>
      </c>
      <c r="C74" s="33" t="s">
        <v>21</v>
      </c>
      <c r="D74" s="1"/>
      <c r="E74" s="353" t="s">
        <v>119</v>
      </c>
      <c r="F74" s="354" t="s">
        <v>120</v>
      </c>
      <c r="G74" s="355">
        <f>+G73</f>
        <v>14</v>
      </c>
      <c r="H74" s="356">
        <v>1282</v>
      </c>
      <c r="I74" s="527">
        <f t="shared" si="15"/>
        <v>23395.218000000004</v>
      </c>
      <c r="J74" s="3">
        <f t="shared" si="16"/>
        <v>1671.0870000000002</v>
      </c>
      <c r="K74" s="4"/>
      <c r="L74" s="4"/>
      <c r="M74" s="4"/>
    </row>
    <row r="75" spans="1:13" ht="15.75" customHeight="1" x14ac:dyDescent="0.25">
      <c r="A75" s="31">
        <v>38</v>
      </c>
      <c r="B75" s="32">
        <v>7462</v>
      </c>
      <c r="C75" s="33" t="s">
        <v>121</v>
      </c>
      <c r="D75" s="1"/>
      <c r="E75" s="353" t="s">
        <v>122</v>
      </c>
      <c r="F75" s="354" t="s">
        <v>123</v>
      </c>
      <c r="G75" s="371">
        <f>+G30-G53</f>
        <v>94.874999999999972</v>
      </c>
      <c r="H75" s="356">
        <v>1800</v>
      </c>
      <c r="I75" s="527">
        <f t="shared" si="15"/>
        <v>222605.21249999997</v>
      </c>
      <c r="J75" s="3">
        <f t="shared" si="16"/>
        <v>2346.3000000000002</v>
      </c>
      <c r="K75" s="4"/>
      <c r="L75" s="4"/>
      <c r="M75" s="4"/>
    </row>
    <row r="76" spans="1:13" ht="15.75" customHeight="1" x14ac:dyDescent="0.25">
      <c r="A76" s="31">
        <v>39</v>
      </c>
      <c r="B76" s="32" t="s">
        <v>124</v>
      </c>
      <c r="C76" s="33" t="s">
        <v>125</v>
      </c>
      <c r="D76" s="1"/>
      <c r="E76" s="353" t="s">
        <v>126</v>
      </c>
      <c r="F76" s="354" t="s">
        <v>127</v>
      </c>
      <c r="G76" s="355">
        <v>15</v>
      </c>
      <c r="H76" s="376">
        <v>58912</v>
      </c>
      <c r="I76" s="527">
        <f t="shared" si="15"/>
        <v>1151876.8800000001</v>
      </c>
      <c r="J76" s="3">
        <f t="shared" si="16"/>
        <v>76791.792000000001</v>
      </c>
      <c r="K76" s="4"/>
      <c r="L76" s="4"/>
      <c r="M76" s="4"/>
    </row>
    <row r="77" spans="1:13" ht="15.75" customHeight="1" x14ac:dyDescent="0.25">
      <c r="A77" s="31">
        <v>40</v>
      </c>
      <c r="B77" s="32" t="s">
        <v>128</v>
      </c>
      <c r="C77" s="33" t="s">
        <v>129</v>
      </c>
      <c r="D77" s="1"/>
      <c r="E77" s="353" t="s">
        <v>130</v>
      </c>
      <c r="F77" s="354" t="s">
        <v>131</v>
      </c>
      <c r="G77" s="355">
        <v>1</v>
      </c>
      <c r="H77" s="376">
        <v>123980</v>
      </c>
      <c r="I77" s="527">
        <f t="shared" si="15"/>
        <v>161607.93000000002</v>
      </c>
      <c r="J77" s="3">
        <f t="shared" si="16"/>
        <v>161607.93000000002</v>
      </c>
      <c r="K77" s="4"/>
      <c r="L77" s="4"/>
      <c r="M77" s="4"/>
    </row>
    <row r="78" spans="1:13" ht="15.75" customHeight="1" x14ac:dyDescent="0.25">
      <c r="A78" s="53" t="s">
        <v>33</v>
      </c>
      <c r="B78" s="54"/>
      <c r="C78" s="55"/>
      <c r="D78" s="55"/>
      <c r="E78" s="56"/>
      <c r="F78" s="54"/>
      <c r="G78" s="55"/>
      <c r="H78" s="57"/>
      <c r="I78" s="73">
        <f>SUM(I73:I77)</f>
        <v>2077738.5915000001</v>
      </c>
      <c r="J78" s="3"/>
      <c r="K78" s="4"/>
      <c r="L78" s="4"/>
      <c r="M78" s="4"/>
    </row>
    <row r="79" spans="1:13" ht="15.75" customHeight="1" x14ac:dyDescent="0.25">
      <c r="A79" s="16"/>
      <c r="B79" s="17">
        <v>7</v>
      </c>
      <c r="C79" s="19"/>
      <c r="D79" s="19"/>
      <c r="E79" s="20" t="s">
        <v>132</v>
      </c>
      <c r="F79" s="21"/>
      <c r="G79" s="19"/>
      <c r="H79" s="43"/>
      <c r="I79" s="44"/>
      <c r="J79" s="23"/>
      <c r="K79" s="4"/>
      <c r="L79" s="4"/>
      <c r="M79" s="4"/>
    </row>
    <row r="80" spans="1:13" ht="15.75" customHeight="1" x14ac:dyDescent="0.25">
      <c r="A80" s="24"/>
      <c r="B80" s="25" t="s">
        <v>133</v>
      </c>
      <c r="C80" s="27"/>
      <c r="D80" s="27"/>
      <c r="E80" s="333" t="s">
        <v>134</v>
      </c>
      <c r="F80" s="29"/>
      <c r="G80" s="27"/>
      <c r="H80" s="58"/>
      <c r="I80" s="46"/>
      <c r="J80" s="23"/>
      <c r="K80" s="4"/>
      <c r="L80" s="4"/>
      <c r="M80" s="4"/>
    </row>
    <row r="81" spans="1:13" ht="15.75" customHeight="1" x14ac:dyDescent="0.25">
      <c r="A81" s="74">
        <v>41</v>
      </c>
      <c r="B81" s="33">
        <v>10481</v>
      </c>
      <c r="C81" s="75" t="s">
        <v>151</v>
      </c>
      <c r="D81" s="33" t="s">
        <v>135</v>
      </c>
      <c r="E81" s="76" t="s">
        <v>136</v>
      </c>
      <c r="F81" s="77" t="s">
        <v>23</v>
      </c>
      <c r="G81" s="33">
        <v>10</v>
      </c>
      <c r="H81" s="78">
        <v>3525</v>
      </c>
      <c r="I81" s="529">
        <f t="shared" ref="I81:I88" si="17">+J81*G81</f>
        <v>45948.375000000007</v>
      </c>
      <c r="J81" s="3">
        <f t="shared" ref="J81:J88" si="18">+H81*$J$9</f>
        <v>4594.8375000000005</v>
      </c>
      <c r="K81" s="4"/>
      <c r="L81" s="4"/>
      <c r="M81" s="4"/>
    </row>
    <row r="82" spans="1:13" ht="15.75" customHeight="1" x14ac:dyDescent="0.25">
      <c r="A82" s="74">
        <v>42</v>
      </c>
      <c r="B82" s="79" t="s">
        <v>137</v>
      </c>
      <c r="C82" s="75" t="s">
        <v>151</v>
      </c>
      <c r="D82" s="33" t="s">
        <v>135</v>
      </c>
      <c r="E82" s="80" t="s">
        <v>138</v>
      </c>
      <c r="F82" s="81" t="s">
        <v>23</v>
      </c>
      <c r="G82" s="33">
        <v>10</v>
      </c>
      <c r="H82" s="82">
        <v>3544</v>
      </c>
      <c r="I82" s="529">
        <f t="shared" si="17"/>
        <v>46196.04</v>
      </c>
      <c r="J82" s="3">
        <f t="shared" si="18"/>
        <v>4619.6040000000003</v>
      </c>
      <c r="K82" s="4"/>
      <c r="L82" s="4"/>
      <c r="M82" s="4"/>
    </row>
    <row r="83" spans="1:13" ht="15.75" customHeight="1" x14ac:dyDescent="0.25">
      <c r="A83" s="74">
        <v>43</v>
      </c>
      <c r="B83" s="79">
        <v>15139</v>
      </c>
      <c r="C83" s="75" t="s">
        <v>151</v>
      </c>
      <c r="D83" s="33" t="s">
        <v>135</v>
      </c>
      <c r="E83" s="80" t="s">
        <v>139</v>
      </c>
      <c r="F83" s="81" t="s">
        <v>23</v>
      </c>
      <c r="G83" s="33">
        <v>20</v>
      </c>
      <c r="H83" s="82">
        <v>3559</v>
      </c>
      <c r="I83" s="529">
        <f t="shared" si="17"/>
        <v>92783.13</v>
      </c>
      <c r="J83" s="3">
        <f t="shared" si="18"/>
        <v>4639.1565000000001</v>
      </c>
      <c r="K83" s="4"/>
      <c r="L83" s="4"/>
      <c r="M83" s="4"/>
    </row>
    <row r="84" spans="1:13" ht="15.75" customHeight="1" x14ac:dyDescent="0.25">
      <c r="A84" s="74">
        <v>44</v>
      </c>
      <c r="B84" s="330">
        <v>6257</v>
      </c>
      <c r="C84" s="75" t="s">
        <v>151</v>
      </c>
      <c r="D84" s="33" t="s">
        <v>135</v>
      </c>
      <c r="E84" s="80" t="s">
        <v>140</v>
      </c>
      <c r="F84" s="81" t="s">
        <v>23</v>
      </c>
      <c r="G84" s="33">
        <v>20</v>
      </c>
      <c r="H84" s="82">
        <v>19650</v>
      </c>
      <c r="I84" s="529">
        <f t="shared" si="17"/>
        <v>512275.5</v>
      </c>
      <c r="J84" s="3">
        <f t="shared" si="18"/>
        <v>25613.775000000001</v>
      </c>
      <c r="K84" s="4"/>
      <c r="L84" s="4"/>
      <c r="M84" s="4"/>
    </row>
    <row r="85" spans="1:13" ht="15.75" customHeight="1" x14ac:dyDescent="0.25">
      <c r="A85" s="74">
        <v>45</v>
      </c>
      <c r="B85" s="330">
        <v>6258</v>
      </c>
      <c r="C85" s="75" t="s">
        <v>151</v>
      </c>
      <c r="D85" s="33" t="s">
        <v>135</v>
      </c>
      <c r="E85" s="80" t="s">
        <v>141</v>
      </c>
      <c r="F85" s="81" t="s">
        <v>23</v>
      </c>
      <c r="G85" s="33">
        <v>20</v>
      </c>
      <c r="H85" s="82">
        <v>29250</v>
      </c>
      <c r="I85" s="529">
        <f t="shared" si="17"/>
        <v>762547.5</v>
      </c>
      <c r="J85" s="3">
        <f t="shared" si="18"/>
        <v>38127.375</v>
      </c>
      <c r="K85" s="4"/>
      <c r="L85" s="4"/>
      <c r="M85" s="4"/>
    </row>
    <row r="86" spans="1:13" ht="15.75" customHeight="1" x14ac:dyDescent="0.25">
      <c r="A86" s="74">
        <v>46</v>
      </c>
      <c r="B86" s="330">
        <v>6259</v>
      </c>
      <c r="C86" s="75" t="s">
        <v>151</v>
      </c>
      <c r="D86" s="33" t="s">
        <v>135</v>
      </c>
      <c r="E86" s="80" t="s">
        <v>142</v>
      </c>
      <c r="F86" s="81" t="s">
        <v>23</v>
      </c>
      <c r="G86" s="33">
        <v>20</v>
      </c>
      <c r="H86" s="82">
        <v>51431</v>
      </c>
      <c r="I86" s="529">
        <f t="shared" si="17"/>
        <v>1340806.17</v>
      </c>
      <c r="J86" s="3">
        <f t="shared" si="18"/>
        <v>67040.308499999999</v>
      </c>
      <c r="K86" s="4"/>
      <c r="L86" s="4"/>
      <c r="M86" s="4"/>
    </row>
    <row r="87" spans="1:13" ht="15.75" customHeight="1" x14ac:dyDescent="0.25">
      <c r="A87" s="74">
        <v>47</v>
      </c>
      <c r="B87" s="330">
        <v>6260</v>
      </c>
      <c r="C87" s="75" t="s">
        <v>151</v>
      </c>
      <c r="D87" s="33" t="s">
        <v>135</v>
      </c>
      <c r="E87" s="80" t="s">
        <v>143</v>
      </c>
      <c r="F87" s="81" t="s">
        <v>23</v>
      </c>
      <c r="G87" s="33">
        <v>20</v>
      </c>
      <c r="H87" s="82">
        <v>64984</v>
      </c>
      <c r="I87" s="530">
        <f t="shared" si="17"/>
        <v>1694132.88</v>
      </c>
      <c r="J87" s="3">
        <f t="shared" si="18"/>
        <v>84706.644</v>
      </c>
      <c r="K87" s="4"/>
      <c r="L87" s="4"/>
      <c r="M87" s="4"/>
    </row>
    <row r="88" spans="1:13" ht="15.75" customHeight="1" x14ac:dyDescent="0.25">
      <c r="A88" s="74">
        <v>48</v>
      </c>
      <c r="B88" s="330">
        <v>6261</v>
      </c>
      <c r="C88" s="75" t="s">
        <v>151</v>
      </c>
      <c r="D88" s="33" t="s">
        <v>135</v>
      </c>
      <c r="E88" s="80" t="s">
        <v>144</v>
      </c>
      <c r="F88" s="81" t="s">
        <v>23</v>
      </c>
      <c r="G88" s="33">
        <v>20</v>
      </c>
      <c r="H88" s="82">
        <v>133504</v>
      </c>
      <c r="I88" s="530">
        <f t="shared" si="17"/>
        <v>3480449.2800000003</v>
      </c>
      <c r="J88" s="3">
        <f t="shared" si="18"/>
        <v>174022.46400000001</v>
      </c>
      <c r="K88" s="4"/>
      <c r="L88" s="4"/>
      <c r="M88" s="4"/>
    </row>
    <row r="89" spans="1:13" ht="15.75" customHeight="1" x14ac:dyDescent="0.25">
      <c r="A89" s="53" t="s">
        <v>33</v>
      </c>
      <c r="B89" s="54"/>
      <c r="C89" s="55"/>
      <c r="D89" s="55"/>
      <c r="E89" s="56"/>
      <c r="F89" s="54"/>
      <c r="G89" s="55"/>
      <c r="H89" s="57"/>
      <c r="I89" s="73">
        <f>SUM(I81:I88)</f>
        <v>7975138.875</v>
      </c>
      <c r="J89" s="3"/>
      <c r="K89" s="4"/>
      <c r="L89" s="4"/>
      <c r="M89" s="4"/>
    </row>
    <row r="90" spans="1:13" ht="15.75" customHeight="1" x14ac:dyDescent="0.25">
      <c r="A90" s="63"/>
      <c r="B90" s="64" t="s">
        <v>145</v>
      </c>
      <c r="C90" s="65"/>
      <c r="D90" s="65"/>
      <c r="E90" s="66" t="s">
        <v>146</v>
      </c>
      <c r="F90" s="67"/>
      <c r="G90" s="65"/>
      <c r="H90" s="68"/>
      <c r="I90" s="69"/>
      <c r="J90" s="23"/>
      <c r="K90" s="4"/>
      <c r="L90" s="4"/>
      <c r="M90" s="4"/>
    </row>
    <row r="91" spans="1:13" ht="15.75" customHeight="1" x14ac:dyDescent="0.25">
      <c r="A91" s="31">
        <v>49</v>
      </c>
      <c r="B91" s="32" t="s">
        <v>147</v>
      </c>
      <c r="C91" s="33" t="s">
        <v>21</v>
      </c>
      <c r="D91" s="1"/>
      <c r="E91" s="83" t="s">
        <v>148</v>
      </c>
      <c r="F91" s="48" t="s">
        <v>44</v>
      </c>
      <c r="G91" s="49">
        <v>2</v>
      </c>
      <c r="H91" s="59">
        <v>4074</v>
      </c>
      <c r="I91" s="527">
        <f t="shared" ref="I91:I92" si="19">+J91*G91</f>
        <v>10620.918000000001</v>
      </c>
      <c r="J91" s="3">
        <f t="shared" ref="J91:J92" si="20">+H91*$J$9</f>
        <v>5310.4590000000007</v>
      </c>
      <c r="K91" s="4"/>
      <c r="L91" s="4"/>
      <c r="M91" s="4"/>
    </row>
    <row r="92" spans="1:13" ht="15.75" customHeight="1" x14ac:dyDescent="0.25">
      <c r="A92" s="31">
        <v>50</v>
      </c>
      <c r="B92" s="32" t="s">
        <v>149</v>
      </c>
      <c r="C92" s="33" t="s">
        <v>21</v>
      </c>
      <c r="D92" s="1"/>
      <c r="E92" s="84" t="s">
        <v>150</v>
      </c>
      <c r="F92" s="32" t="s">
        <v>44</v>
      </c>
      <c r="G92" s="33">
        <v>2</v>
      </c>
      <c r="H92" s="35">
        <v>4344</v>
      </c>
      <c r="I92" s="527">
        <f t="shared" si="19"/>
        <v>11324.808000000001</v>
      </c>
      <c r="J92" s="3">
        <f t="shared" si="20"/>
        <v>5662.4040000000005</v>
      </c>
      <c r="K92" s="4"/>
      <c r="L92" s="4"/>
      <c r="M92" s="4"/>
    </row>
    <row r="93" spans="1:13" ht="15.75" customHeight="1" x14ac:dyDescent="0.25">
      <c r="A93" s="53" t="s">
        <v>33</v>
      </c>
      <c r="B93" s="54"/>
      <c r="C93" s="55"/>
      <c r="D93" s="55"/>
      <c r="E93" s="56"/>
      <c r="F93" s="54"/>
      <c r="G93" s="55"/>
      <c r="H93" s="57"/>
      <c r="I93" s="73">
        <f>SUM(I91:I92)</f>
        <v>21945.726000000002</v>
      </c>
      <c r="J93" s="3"/>
      <c r="K93" s="4"/>
      <c r="L93" s="4"/>
      <c r="M93" s="4"/>
    </row>
    <row r="94" spans="1:13" ht="15.75" customHeight="1" x14ac:dyDescent="0.25">
      <c r="A94" s="63"/>
      <c r="B94" s="64" t="s">
        <v>152</v>
      </c>
      <c r="C94" s="65"/>
      <c r="D94" s="65"/>
      <c r="E94" s="66" t="s">
        <v>153</v>
      </c>
      <c r="F94" s="67"/>
      <c r="G94" s="65"/>
      <c r="H94" s="68"/>
      <c r="I94" s="69"/>
      <c r="J94" s="23"/>
      <c r="K94" s="4"/>
      <c r="L94" s="4"/>
      <c r="M94" s="4"/>
    </row>
    <row r="95" spans="1:13" ht="15.75" customHeight="1" x14ac:dyDescent="0.25">
      <c r="A95" s="31">
        <v>51</v>
      </c>
      <c r="B95" s="331">
        <v>11903</v>
      </c>
      <c r="C95" s="33" t="s">
        <v>121</v>
      </c>
      <c r="D95" s="1"/>
      <c r="E95" s="34" t="s">
        <v>154</v>
      </c>
      <c r="F95" s="32" t="s">
        <v>44</v>
      </c>
      <c r="G95" s="33">
        <v>5</v>
      </c>
      <c r="H95" s="35">
        <v>1689</v>
      </c>
      <c r="I95" s="525">
        <f t="shared" ref="I95:I98" si="21">+J95*G95</f>
        <v>11008.057499999999</v>
      </c>
      <c r="J95" s="3">
        <f t="shared" ref="J95:J98" si="22">+H95*$J$9</f>
        <v>2201.6115</v>
      </c>
      <c r="K95" s="4"/>
      <c r="L95" s="4"/>
      <c r="M95" s="4"/>
    </row>
    <row r="96" spans="1:13" ht="15.75" customHeight="1" x14ac:dyDescent="0.25">
      <c r="A96" s="31">
        <v>52</v>
      </c>
      <c r="B96" s="331">
        <v>11904</v>
      </c>
      <c r="C96" s="33" t="s">
        <v>121</v>
      </c>
      <c r="D96" s="1"/>
      <c r="E96" s="34" t="s">
        <v>155</v>
      </c>
      <c r="F96" s="32" t="s">
        <v>44</v>
      </c>
      <c r="G96" s="33">
        <v>5</v>
      </c>
      <c r="H96" s="328">
        <v>2493</v>
      </c>
      <c r="I96" s="525">
        <f t="shared" si="21"/>
        <v>16248.127500000001</v>
      </c>
      <c r="J96" s="3">
        <f t="shared" si="22"/>
        <v>3249.6255000000001</v>
      </c>
      <c r="K96" s="4"/>
      <c r="L96" s="4"/>
      <c r="M96" s="4"/>
    </row>
    <row r="97" spans="1:13" ht="15.75" customHeight="1" x14ac:dyDescent="0.25">
      <c r="A97" s="31">
        <v>53</v>
      </c>
      <c r="B97" s="331">
        <v>11951</v>
      </c>
      <c r="C97" s="33" t="s">
        <v>121</v>
      </c>
      <c r="D97" s="1"/>
      <c r="E97" s="34" t="s">
        <v>157</v>
      </c>
      <c r="F97" s="32" t="s">
        <v>44</v>
      </c>
      <c r="G97" s="33">
        <v>2</v>
      </c>
      <c r="H97" s="35">
        <v>182070</v>
      </c>
      <c r="I97" s="525">
        <f t="shared" si="21"/>
        <v>474656.49000000005</v>
      </c>
      <c r="J97" s="3">
        <f t="shared" si="22"/>
        <v>237328.24500000002</v>
      </c>
      <c r="K97" s="4"/>
      <c r="L97" s="4"/>
      <c r="M97" s="4"/>
    </row>
    <row r="98" spans="1:13" ht="15.75" customHeight="1" x14ac:dyDescent="0.25">
      <c r="A98" s="31">
        <v>54</v>
      </c>
      <c r="B98" s="331">
        <v>11952</v>
      </c>
      <c r="C98" s="33" t="s">
        <v>121</v>
      </c>
      <c r="D98" s="1"/>
      <c r="E98" s="34" t="s">
        <v>158</v>
      </c>
      <c r="F98" s="32" t="s">
        <v>44</v>
      </c>
      <c r="G98" s="33">
        <v>2</v>
      </c>
      <c r="H98" s="35">
        <v>199920</v>
      </c>
      <c r="I98" s="525">
        <f t="shared" si="21"/>
        <v>521191.44000000006</v>
      </c>
      <c r="J98" s="3">
        <f t="shared" si="22"/>
        <v>260595.72000000003</v>
      </c>
      <c r="K98" s="4"/>
      <c r="L98" s="4"/>
      <c r="M98" s="4"/>
    </row>
    <row r="99" spans="1:13" ht="15.75" customHeight="1" x14ac:dyDescent="0.25">
      <c r="A99" s="53" t="s">
        <v>33</v>
      </c>
      <c r="B99" s="54"/>
      <c r="C99" s="55"/>
      <c r="D99" s="55"/>
      <c r="E99" s="56"/>
      <c r="F99" s="54"/>
      <c r="G99" s="55"/>
      <c r="H99" s="57"/>
      <c r="I99" s="73">
        <f>SUM(I95:I98)</f>
        <v>1023104.1150000001</v>
      </c>
      <c r="J99" s="3"/>
      <c r="K99" s="4"/>
      <c r="L99" s="4"/>
      <c r="M99" s="4"/>
    </row>
    <row r="100" spans="1:13" ht="15.75" customHeight="1" x14ac:dyDescent="0.25">
      <c r="A100" s="63"/>
      <c r="B100" s="64" t="s">
        <v>159</v>
      </c>
      <c r="C100" s="65"/>
      <c r="D100" s="65"/>
      <c r="E100" s="66" t="s">
        <v>160</v>
      </c>
      <c r="F100" s="67"/>
      <c r="G100" s="65"/>
      <c r="H100" s="68"/>
      <c r="I100" s="69"/>
      <c r="J100" s="23"/>
      <c r="K100" s="4"/>
      <c r="L100" s="4"/>
      <c r="M100" s="4"/>
    </row>
    <row r="101" spans="1:13" ht="15.75" customHeight="1" x14ac:dyDescent="0.25">
      <c r="A101" s="31">
        <v>55</v>
      </c>
      <c r="B101" s="32" t="s">
        <v>161</v>
      </c>
      <c r="C101" s="33" t="s">
        <v>21</v>
      </c>
      <c r="D101" s="1"/>
      <c r="E101" s="34" t="s">
        <v>162</v>
      </c>
      <c r="F101" s="32" t="s">
        <v>44</v>
      </c>
      <c r="G101" s="33">
        <v>4</v>
      </c>
      <c r="H101" s="35">
        <v>3988</v>
      </c>
      <c r="I101" s="525">
        <f t="shared" ref="I101:I105" si="23">+J101*G101</f>
        <v>20793.432000000001</v>
      </c>
      <c r="J101" s="3">
        <f t="shared" ref="J101:J105" si="24">+H101*$J$9</f>
        <v>5198.3580000000002</v>
      </c>
      <c r="K101" s="4"/>
      <c r="L101" s="4"/>
      <c r="M101" s="4"/>
    </row>
    <row r="102" spans="1:13" ht="15.75" customHeight="1" x14ac:dyDescent="0.25">
      <c r="A102" s="31">
        <v>56</v>
      </c>
      <c r="B102" s="32" t="s">
        <v>163</v>
      </c>
      <c r="C102" s="33" t="s">
        <v>21</v>
      </c>
      <c r="D102" s="1"/>
      <c r="E102" s="34" t="s">
        <v>164</v>
      </c>
      <c r="F102" s="32" t="s">
        <v>44</v>
      </c>
      <c r="G102" s="33">
        <v>4</v>
      </c>
      <c r="H102" s="35">
        <v>3991</v>
      </c>
      <c r="I102" s="525">
        <f t="shared" si="23"/>
        <v>20809.074000000001</v>
      </c>
      <c r="J102" s="3">
        <f t="shared" si="24"/>
        <v>5202.2685000000001</v>
      </c>
      <c r="K102" s="4"/>
      <c r="L102" s="4"/>
      <c r="M102" s="4"/>
    </row>
    <row r="103" spans="1:13" ht="15.75" customHeight="1" x14ac:dyDescent="0.25">
      <c r="A103" s="31">
        <v>57</v>
      </c>
      <c r="B103" s="32" t="s">
        <v>165</v>
      </c>
      <c r="C103" s="33" t="s">
        <v>21</v>
      </c>
      <c r="D103" s="1"/>
      <c r="E103" s="34" t="s">
        <v>166</v>
      </c>
      <c r="F103" s="32" t="s">
        <v>44</v>
      </c>
      <c r="G103" s="33">
        <v>5</v>
      </c>
      <c r="H103" s="35">
        <v>3994</v>
      </c>
      <c r="I103" s="525">
        <f t="shared" si="23"/>
        <v>26030.895</v>
      </c>
      <c r="J103" s="3">
        <f t="shared" si="24"/>
        <v>5206.1790000000001</v>
      </c>
      <c r="K103" s="4"/>
      <c r="L103" s="4"/>
      <c r="M103" s="4"/>
    </row>
    <row r="104" spans="1:13" ht="15.75" customHeight="1" x14ac:dyDescent="0.25">
      <c r="A104" s="31">
        <v>58</v>
      </c>
      <c r="B104" s="32" t="s">
        <v>167</v>
      </c>
      <c r="C104" s="33" t="s">
        <v>21</v>
      </c>
      <c r="D104" s="1"/>
      <c r="E104" s="34" t="s">
        <v>168</v>
      </c>
      <c r="F104" s="32" t="s">
        <v>44</v>
      </c>
      <c r="G104" s="33">
        <v>5</v>
      </c>
      <c r="H104" s="35">
        <v>4013</v>
      </c>
      <c r="I104" s="525">
        <f t="shared" si="23"/>
        <v>26154.727500000005</v>
      </c>
      <c r="J104" s="3">
        <f t="shared" si="24"/>
        <v>5230.9455000000007</v>
      </c>
      <c r="K104" s="4"/>
      <c r="L104" s="4"/>
      <c r="M104" s="4"/>
    </row>
    <row r="105" spans="1:13" ht="15.75" customHeight="1" x14ac:dyDescent="0.25">
      <c r="A105" s="31">
        <v>59</v>
      </c>
      <c r="B105" s="32" t="s">
        <v>169</v>
      </c>
      <c r="C105" s="33" t="s">
        <v>21</v>
      </c>
      <c r="D105" s="1"/>
      <c r="E105" s="34" t="s">
        <v>170</v>
      </c>
      <c r="F105" s="32" t="s">
        <v>44</v>
      </c>
      <c r="G105" s="33">
        <v>5</v>
      </c>
      <c r="H105" s="35">
        <v>4074</v>
      </c>
      <c r="I105" s="525">
        <f t="shared" si="23"/>
        <v>26552.295000000006</v>
      </c>
      <c r="J105" s="3">
        <f t="shared" si="24"/>
        <v>5310.4590000000007</v>
      </c>
      <c r="K105" s="4"/>
      <c r="L105" s="4"/>
      <c r="M105" s="4"/>
    </row>
    <row r="106" spans="1:13" ht="15.75" customHeight="1" x14ac:dyDescent="0.25">
      <c r="A106" s="53" t="s">
        <v>33</v>
      </c>
      <c r="B106" s="54"/>
      <c r="C106" s="55"/>
      <c r="D106" s="55"/>
      <c r="E106" s="56"/>
      <c r="F106" s="54"/>
      <c r="G106" s="55"/>
      <c r="H106" s="57"/>
      <c r="I106" s="73">
        <f>SUM(I101:I105)</f>
        <v>120340.4235</v>
      </c>
      <c r="J106" s="3"/>
      <c r="K106" s="4"/>
      <c r="L106" s="4"/>
      <c r="M106" s="4"/>
    </row>
    <row r="107" spans="1:13" ht="15.75" customHeight="1" x14ac:dyDescent="0.25">
      <c r="A107" s="63"/>
      <c r="B107" s="64" t="s">
        <v>171</v>
      </c>
      <c r="C107" s="65"/>
      <c r="D107" s="65"/>
      <c r="E107" s="66" t="s">
        <v>172</v>
      </c>
      <c r="F107" s="67"/>
      <c r="G107" s="65"/>
      <c r="H107" s="68"/>
      <c r="I107" s="69"/>
      <c r="J107" s="23"/>
      <c r="K107" s="4"/>
      <c r="L107" s="4"/>
      <c r="M107" s="4"/>
    </row>
    <row r="108" spans="1:13" ht="15.75" customHeight="1" x14ac:dyDescent="0.25">
      <c r="A108" s="31">
        <v>60</v>
      </c>
      <c r="B108" s="32" t="s">
        <v>173</v>
      </c>
      <c r="C108" s="33" t="s">
        <v>21</v>
      </c>
      <c r="D108" s="1"/>
      <c r="E108" s="34" t="s">
        <v>174</v>
      </c>
      <c r="F108" s="32" t="s">
        <v>44</v>
      </c>
      <c r="G108" s="33">
        <v>2</v>
      </c>
      <c r="H108" s="35">
        <v>290033</v>
      </c>
      <c r="I108" s="525">
        <f t="shared" ref="I108:I115" si="25">+J108*G108</f>
        <v>756116.03100000008</v>
      </c>
      <c r="J108" s="3">
        <f t="shared" ref="J108:J115" si="26">+H108*$J$9</f>
        <v>378058.01550000004</v>
      </c>
      <c r="K108" s="4"/>
      <c r="L108" s="4"/>
      <c r="M108" s="4"/>
    </row>
    <row r="109" spans="1:13" ht="15.75" customHeight="1" x14ac:dyDescent="0.25">
      <c r="A109" s="31">
        <v>61</v>
      </c>
      <c r="B109" s="32" t="s">
        <v>175</v>
      </c>
      <c r="C109" s="33" t="s">
        <v>21</v>
      </c>
      <c r="D109" s="1"/>
      <c r="E109" s="34" t="s">
        <v>176</v>
      </c>
      <c r="F109" s="32" t="s">
        <v>44</v>
      </c>
      <c r="G109" s="33">
        <v>2</v>
      </c>
      <c r="H109" s="35">
        <v>470735</v>
      </c>
      <c r="I109" s="525">
        <f t="shared" si="25"/>
        <v>1227206.145</v>
      </c>
      <c r="J109" s="3">
        <f t="shared" si="26"/>
        <v>613603.07250000001</v>
      </c>
      <c r="K109" s="4"/>
      <c r="L109" s="4"/>
      <c r="M109" s="4"/>
    </row>
    <row r="110" spans="1:13" ht="15.75" customHeight="1" x14ac:dyDescent="0.25">
      <c r="A110" s="31">
        <v>62</v>
      </c>
      <c r="B110" s="32" t="s">
        <v>177</v>
      </c>
      <c r="C110" s="33" t="s">
        <v>21</v>
      </c>
      <c r="D110" s="1"/>
      <c r="E110" s="34" t="s">
        <v>178</v>
      </c>
      <c r="F110" s="32" t="s">
        <v>44</v>
      </c>
      <c r="G110" s="33">
        <v>2</v>
      </c>
      <c r="H110" s="35">
        <v>684497</v>
      </c>
      <c r="I110" s="525">
        <f t="shared" si="25"/>
        <v>1784483.6790000002</v>
      </c>
      <c r="J110" s="3">
        <f t="shared" si="26"/>
        <v>892241.83950000012</v>
      </c>
      <c r="K110" s="4"/>
      <c r="L110" s="4"/>
      <c r="M110" s="4"/>
    </row>
    <row r="111" spans="1:13" ht="15.75" customHeight="1" x14ac:dyDescent="0.25">
      <c r="A111" s="31">
        <v>63</v>
      </c>
      <c r="B111" s="32" t="s">
        <v>179</v>
      </c>
      <c r="C111" s="33" t="s">
        <v>21</v>
      </c>
      <c r="D111" s="1"/>
      <c r="E111" s="34" t="s">
        <v>180</v>
      </c>
      <c r="F111" s="32" t="s">
        <v>44</v>
      </c>
      <c r="G111" s="33">
        <v>2</v>
      </c>
      <c r="H111" s="35">
        <v>991029</v>
      </c>
      <c r="I111" s="525">
        <f t="shared" si="25"/>
        <v>2583612.6030000001</v>
      </c>
      <c r="J111" s="3">
        <f t="shared" si="26"/>
        <v>1291806.3015000001</v>
      </c>
      <c r="K111" s="4"/>
      <c r="L111" s="4"/>
      <c r="M111" s="4"/>
    </row>
    <row r="112" spans="1:13" ht="15.75" customHeight="1" x14ac:dyDescent="0.25">
      <c r="A112" s="31">
        <v>64</v>
      </c>
      <c r="B112" s="96" t="s">
        <v>553</v>
      </c>
      <c r="C112" s="33" t="s">
        <v>21</v>
      </c>
      <c r="D112" s="1"/>
      <c r="E112" s="34" t="s">
        <v>182</v>
      </c>
      <c r="F112" s="32" t="s">
        <v>44</v>
      </c>
      <c r="G112" s="33">
        <v>2</v>
      </c>
      <c r="H112" s="35">
        <v>444114</v>
      </c>
      <c r="I112" s="525">
        <f t="shared" si="25"/>
        <v>1157805.1980000001</v>
      </c>
      <c r="J112" s="3">
        <f t="shared" si="26"/>
        <v>578902.59900000005</v>
      </c>
      <c r="K112" s="4"/>
      <c r="L112" s="4"/>
      <c r="M112" s="4"/>
    </row>
    <row r="113" spans="1:13" ht="15.75" customHeight="1" x14ac:dyDescent="0.25">
      <c r="A113" s="31">
        <v>65</v>
      </c>
      <c r="B113" s="96" t="s">
        <v>181</v>
      </c>
      <c r="C113" s="33" t="s">
        <v>21</v>
      </c>
      <c r="D113" s="1"/>
      <c r="E113" s="34" t="s">
        <v>184</v>
      </c>
      <c r="F113" s="32" t="s">
        <v>44</v>
      </c>
      <c r="G113" s="33">
        <v>2</v>
      </c>
      <c r="H113" s="35">
        <v>710834</v>
      </c>
      <c r="I113" s="525">
        <f t="shared" si="25"/>
        <v>1853144.2380000001</v>
      </c>
      <c r="J113" s="3">
        <f t="shared" si="26"/>
        <v>926572.11900000006</v>
      </c>
      <c r="K113" s="4"/>
      <c r="L113" s="4"/>
      <c r="M113" s="4"/>
    </row>
    <row r="114" spans="1:13" ht="15.75" customHeight="1" x14ac:dyDescent="0.25">
      <c r="A114" s="31">
        <v>66</v>
      </c>
      <c r="B114" s="96" t="s">
        <v>183</v>
      </c>
      <c r="C114" s="33" t="s">
        <v>21</v>
      </c>
      <c r="D114" s="1"/>
      <c r="E114" s="34" t="s">
        <v>186</v>
      </c>
      <c r="F114" s="32" t="s">
        <v>44</v>
      </c>
      <c r="G114" s="33">
        <v>1</v>
      </c>
      <c r="H114" s="35">
        <v>988604</v>
      </c>
      <c r="I114" s="525">
        <f t="shared" si="25"/>
        <v>1288645.314</v>
      </c>
      <c r="J114" s="3">
        <f t="shared" si="26"/>
        <v>1288645.314</v>
      </c>
      <c r="K114" s="4"/>
      <c r="L114" s="4"/>
      <c r="M114" s="4"/>
    </row>
    <row r="115" spans="1:13" ht="15.75" customHeight="1" x14ac:dyDescent="0.25">
      <c r="A115" s="31">
        <v>67</v>
      </c>
      <c r="B115" s="96" t="s">
        <v>185</v>
      </c>
      <c r="C115" s="33" t="s">
        <v>21</v>
      </c>
      <c r="D115" s="1"/>
      <c r="E115" s="50" t="s">
        <v>187</v>
      </c>
      <c r="F115" s="51" t="s">
        <v>44</v>
      </c>
      <c r="G115" s="33">
        <v>1</v>
      </c>
      <c r="H115" s="60">
        <v>1462162</v>
      </c>
      <c r="I115" s="525">
        <f t="shared" si="25"/>
        <v>1905928.1670000001</v>
      </c>
      <c r="J115" s="3">
        <f t="shared" si="26"/>
        <v>1905928.1670000001</v>
      </c>
      <c r="K115" s="4"/>
      <c r="L115" s="4"/>
      <c r="M115" s="4"/>
    </row>
    <row r="116" spans="1:13" ht="15.75" customHeight="1" x14ac:dyDescent="0.25">
      <c r="A116" s="53" t="s">
        <v>33</v>
      </c>
      <c r="B116" s="54"/>
      <c r="C116" s="55"/>
      <c r="D116" s="55"/>
      <c r="E116" s="56"/>
      <c r="F116" s="54"/>
      <c r="G116" s="55"/>
      <c r="H116" s="57"/>
      <c r="I116" s="73">
        <f>SUM(I108:I115)</f>
        <v>12556941.375</v>
      </c>
      <c r="J116" s="3"/>
      <c r="K116" s="4"/>
      <c r="L116" s="4"/>
      <c r="M116" s="4"/>
    </row>
    <row r="117" spans="1:13" ht="32.25" customHeight="1" x14ac:dyDescent="0.25">
      <c r="A117" s="63"/>
      <c r="B117" s="64" t="s">
        <v>188</v>
      </c>
      <c r="C117" s="65"/>
      <c r="D117" s="65"/>
      <c r="E117" s="66" t="s">
        <v>189</v>
      </c>
      <c r="F117" s="67"/>
      <c r="G117" s="65"/>
      <c r="H117" s="68"/>
      <c r="I117" s="69"/>
      <c r="J117" s="23"/>
      <c r="K117" s="4"/>
      <c r="L117" s="4"/>
      <c r="M117" s="4"/>
    </row>
    <row r="118" spans="1:13" ht="15.75" customHeight="1" x14ac:dyDescent="0.25">
      <c r="A118" s="31">
        <v>68</v>
      </c>
      <c r="B118" s="32" t="s">
        <v>190</v>
      </c>
      <c r="C118" s="33" t="s">
        <v>21</v>
      </c>
      <c r="D118" s="1"/>
      <c r="E118" s="47" t="s">
        <v>191</v>
      </c>
      <c r="F118" s="48" t="s">
        <v>44</v>
      </c>
      <c r="G118" s="49">
        <v>1</v>
      </c>
      <c r="H118" s="59">
        <v>1020975</v>
      </c>
      <c r="I118" s="527">
        <f t="shared" ref="I118:I121" si="27">+J118*G118</f>
        <v>1330840.9125000001</v>
      </c>
      <c r="J118" s="3">
        <f t="shared" ref="J118:J121" si="28">+H118*$J$9</f>
        <v>1330840.9125000001</v>
      </c>
      <c r="K118" s="4"/>
      <c r="L118" s="4"/>
      <c r="M118" s="4"/>
    </row>
    <row r="119" spans="1:13" ht="15.75" customHeight="1" x14ac:dyDescent="0.25">
      <c r="A119" s="31">
        <v>69</v>
      </c>
      <c r="B119" s="32" t="s">
        <v>192</v>
      </c>
      <c r="C119" s="33" t="s">
        <v>21</v>
      </c>
      <c r="D119" s="1"/>
      <c r="E119" s="34" t="s">
        <v>193</v>
      </c>
      <c r="F119" s="32" t="s">
        <v>44</v>
      </c>
      <c r="G119" s="49">
        <v>1</v>
      </c>
      <c r="H119" s="35">
        <v>1492674</v>
      </c>
      <c r="I119" s="527">
        <f t="shared" si="27"/>
        <v>1945700.5590000001</v>
      </c>
      <c r="J119" s="3">
        <f t="shared" si="28"/>
        <v>1945700.5590000001</v>
      </c>
      <c r="K119" s="4"/>
      <c r="L119" s="4"/>
      <c r="M119" s="4"/>
    </row>
    <row r="120" spans="1:13" ht="15.75" customHeight="1" x14ac:dyDescent="0.25">
      <c r="A120" s="31">
        <v>70</v>
      </c>
      <c r="B120" s="32" t="s">
        <v>194</v>
      </c>
      <c r="C120" s="33" t="s">
        <v>21</v>
      </c>
      <c r="D120" s="1"/>
      <c r="E120" s="34" t="s">
        <v>195</v>
      </c>
      <c r="F120" s="32" t="s">
        <v>44</v>
      </c>
      <c r="G120" s="49">
        <v>1</v>
      </c>
      <c r="H120" s="35">
        <v>1818565</v>
      </c>
      <c r="I120" s="527">
        <f t="shared" si="27"/>
        <v>2370499.4775</v>
      </c>
      <c r="J120" s="3">
        <f t="shared" si="28"/>
        <v>2370499.4775</v>
      </c>
      <c r="K120" s="4"/>
      <c r="L120" s="4"/>
      <c r="M120" s="4"/>
    </row>
    <row r="121" spans="1:13" ht="15.75" customHeight="1" x14ac:dyDescent="0.25">
      <c r="A121" s="31">
        <v>71</v>
      </c>
      <c r="B121" s="32" t="s">
        <v>196</v>
      </c>
      <c r="C121" s="33" t="s">
        <v>21</v>
      </c>
      <c r="D121" s="1"/>
      <c r="E121" s="34" t="s">
        <v>197</v>
      </c>
      <c r="F121" s="32" t="s">
        <v>44</v>
      </c>
      <c r="G121" s="33">
        <v>1</v>
      </c>
      <c r="H121" s="35">
        <v>3022810</v>
      </c>
      <c r="I121" s="527">
        <f t="shared" si="27"/>
        <v>3940232.8350000004</v>
      </c>
      <c r="J121" s="3">
        <f t="shared" si="28"/>
        <v>3940232.8350000004</v>
      </c>
      <c r="K121" s="4"/>
      <c r="L121" s="4"/>
      <c r="M121" s="4"/>
    </row>
    <row r="122" spans="1:13" ht="15.75" customHeight="1" x14ac:dyDescent="0.25">
      <c r="A122" s="53" t="s">
        <v>33</v>
      </c>
      <c r="B122" s="54"/>
      <c r="C122" s="55"/>
      <c r="D122" s="55"/>
      <c r="E122" s="56"/>
      <c r="F122" s="54"/>
      <c r="G122" s="55"/>
      <c r="H122" s="57"/>
      <c r="I122" s="73">
        <f>SUM(I118:I121)</f>
        <v>9587273.784</v>
      </c>
      <c r="J122" s="3"/>
      <c r="K122" s="4"/>
      <c r="L122" s="4"/>
      <c r="M122" s="4"/>
    </row>
    <row r="123" spans="1:13" ht="15.75" customHeight="1" x14ac:dyDescent="0.25">
      <c r="A123" s="63"/>
      <c r="B123" s="64" t="s">
        <v>198</v>
      </c>
      <c r="C123" s="65"/>
      <c r="D123" s="65"/>
      <c r="E123" s="66" t="s">
        <v>199</v>
      </c>
      <c r="F123" s="67"/>
      <c r="G123" s="65"/>
      <c r="H123" s="68"/>
      <c r="I123" s="69"/>
      <c r="J123" s="23"/>
      <c r="K123" s="4"/>
      <c r="L123" s="4"/>
      <c r="M123" s="4"/>
    </row>
    <row r="124" spans="1:13" ht="15.75" customHeight="1" x14ac:dyDescent="0.25">
      <c r="A124" s="31">
        <v>72</v>
      </c>
      <c r="B124" s="32" t="s">
        <v>200</v>
      </c>
      <c r="C124" s="33" t="s">
        <v>21</v>
      </c>
      <c r="D124" s="1"/>
      <c r="E124" s="34" t="s">
        <v>201</v>
      </c>
      <c r="F124" s="32" t="s">
        <v>44</v>
      </c>
      <c r="G124" s="33">
        <v>5</v>
      </c>
      <c r="H124" s="35">
        <v>17708</v>
      </c>
      <c r="I124" s="525">
        <f t="shared" ref="I124:I129" si="29">+J124*G124</f>
        <v>115411.89</v>
      </c>
      <c r="J124" s="3">
        <f t="shared" ref="J124:J129" si="30">+H124*$J$9</f>
        <v>23082.378000000001</v>
      </c>
      <c r="K124" s="4"/>
      <c r="L124" s="4"/>
      <c r="M124" s="4"/>
    </row>
    <row r="125" spans="1:13" ht="15.75" customHeight="1" x14ac:dyDescent="0.25">
      <c r="A125" s="31">
        <v>73</v>
      </c>
      <c r="B125" s="32" t="s">
        <v>202</v>
      </c>
      <c r="C125" s="33" t="s">
        <v>21</v>
      </c>
      <c r="D125" s="1"/>
      <c r="E125" s="34" t="s">
        <v>203</v>
      </c>
      <c r="F125" s="32" t="s">
        <v>44</v>
      </c>
      <c r="G125" s="33">
        <v>5</v>
      </c>
      <c r="H125" s="35">
        <v>22635</v>
      </c>
      <c r="I125" s="525">
        <f t="shared" si="29"/>
        <v>147523.61250000002</v>
      </c>
      <c r="J125" s="3">
        <f t="shared" si="30"/>
        <v>29504.722500000003</v>
      </c>
      <c r="K125" s="4"/>
      <c r="L125" s="4"/>
      <c r="M125" s="4"/>
    </row>
    <row r="126" spans="1:13" ht="15.75" customHeight="1" x14ac:dyDescent="0.25">
      <c r="A126" s="31">
        <v>74</v>
      </c>
      <c r="B126" s="32" t="s">
        <v>204</v>
      </c>
      <c r="C126" s="33" t="s">
        <v>21</v>
      </c>
      <c r="D126" s="1"/>
      <c r="E126" s="353" t="s">
        <v>205</v>
      </c>
      <c r="F126" s="354" t="s">
        <v>44</v>
      </c>
      <c r="G126" s="355">
        <v>10</v>
      </c>
      <c r="H126" s="356">
        <v>29689</v>
      </c>
      <c r="I126" s="525">
        <f t="shared" si="29"/>
        <v>386996.11500000005</v>
      </c>
      <c r="J126" s="3">
        <f t="shared" si="30"/>
        <v>38699.611500000006</v>
      </c>
      <c r="K126" s="4"/>
      <c r="L126" s="4"/>
      <c r="M126" s="4"/>
    </row>
    <row r="127" spans="1:13" ht="15.75" customHeight="1" x14ac:dyDescent="0.25">
      <c r="A127" s="31">
        <v>75</v>
      </c>
      <c r="B127" s="32" t="s">
        <v>206</v>
      </c>
      <c r="C127" s="33" t="s">
        <v>21</v>
      </c>
      <c r="D127" s="1"/>
      <c r="E127" s="34" t="s">
        <v>207</v>
      </c>
      <c r="F127" s="32" t="s">
        <v>44</v>
      </c>
      <c r="G127" s="33">
        <v>5</v>
      </c>
      <c r="H127" s="35">
        <v>38537</v>
      </c>
      <c r="I127" s="525">
        <f t="shared" si="29"/>
        <v>251164.89750000002</v>
      </c>
      <c r="J127" s="3">
        <f t="shared" si="30"/>
        <v>50232.979500000001</v>
      </c>
      <c r="K127" s="4"/>
      <c r="L127" s="4"/>
      <c r="M127" s="4"/>
    </row>
    <row r="128" spans="1:13" ht="15.75" customHeight="1" x14ac:dyDescent="0.25">
      <c r="A128" s="31">
        <v>76</v>
      </c>
      <c r="B128" s="32" t="s">
        <v>208</v>
      </c>
      <c r="C128" s="33" t="s">
        <v>21</v>
      </c>
      <c r="D128" s="1"/>
      <c r="E128" s="34" t="s">
        <v>209</v>
      </c>
      <c r="F128" s="32" t="s">
        <v>44</v>
      </c>
      <c r="G128" s="33">
        <v>5</v>
      </c>
      <c r="H128" s="35">
        <v>49750</v>
      </c>
      <c r="I128" s="525">
        <f t="shared" si="29"/>
        <v>324245.62500000006</v>
      </c>
      <c r="J128" s="3">
        <f t="shared" si="30"/>
        <v>64849.125000000007</v>
      </c>
      <c r="K128" s="4"/>
      <c r="L128" s="4"/>
      <c r="M128" s="4"/>
    </row>
    <row r="129" spans="1:13" ht="15.75" customHeight="1" x14ac:dyDescent="0.25">
      <c r="A129" s="31">
        <v>77</v>
      </c>
      <c r="B129" s="32" t="s">
        <v>210</v>
      </c>
      <c r="C129" s="33" t="s">
        <v>21</v>
      </c>
      <c r="D129" s="1"/>
      <c r="E129" s="34" t="s">
        <v>211</v>
      </c>
      <c r="F129" s="32" t="s">
        <v>44</v>
      </c>
      <c r="G129" s="33">
        <v>5</v>
      </c>
      <c r="H129" s="35">
        <v>75445</v>
      </c>
      <c r="I129" s="525">
        <f t="shared" si="29"/>
        <v>491712.78750000003</v>
      </c>
      <c r="J129" s="3">
        <f t="shared" si="30"/>
        <v>98342.55750000001</v>
      </c>
      <c r="K129" s="4"/>
      <c r="L129" s="4"/>
      <c r="M129" s="4"/>
    </row>
    <row r="130" spans="1:13" ht="15.75" customHeight="1" x14ac:dyDescent="0.25">
      <c r="A130" s="53" t="s">
        <v>33</v>
      </c>
      <c r="B130" s="54"/>
      <c r="C130" s="55"/>
      <c r="D130" s="55"/>
      <c r="E130" s="56"/>
      <c r="F130" s="54"/>
      <c r="G130" s="55"/>
      <c r="H130" s="57"/>
      <c r="I130" s="73">
        <f>SUM(I124:I129)</f>
        <v>1717054.9275000002</v>
      </c>
      <c r="J130" s="3"/>
      <c r="K130" s="4"/>
      <c r="L130" s="4"/>
      <c r="M130" s="4"/>
    </row>
    <row r="131" spans="1:13" ht="15.75" customHeight="1" x14ac:dyDescent="0.25">
      <c r="A131" s="63"/>
      <c r="B131" s="64" t="s">
        <v>212</v>
      </c>
      <c r="C131" s="65"/>
      <c r="D131" s="65"/>
      <c r="E131" s="66" t="s">
        <v>213</v>
      </c>
      <c r="F131" s="67"/>
      <c r="G131" s="65"/>
      <c r="H131" s="68"/>
      <c r="I131" s="68"/>
      <c r="J131" s="23"/>
      <c r="K131" s="4"/>
      <c r="L131" s="4"/>
      <c r="M131" s="4"/>
    </row>
    <row r="132" spans="1:13" ht="15.75" customHeight="1" x14ac:dyDescent="0.25">
      <c r="A132" s="31">
        <v>78</v>
      </c>
      <c r="B132" s="32" t="s">
        <v>214</v>
      </c>
      <c r="C132" s="33" t="s">
        <v>21</v>
      </c>
      <c r="D132" s="1"/>
      <c r="E132" s="34" t="s">
        <v>215</v>
      </c>
      <c r="F132" s="32" t="s">
        <v>44</v>
      </c>
      <c r="G132" s="33">
        <v>1</v>
      </c>
      <c r="H132" s="35">
        <v>134298</v>
      </c>
      <c r="I132" s="525">
        <f t="shared" ref="I132:I138" si="31">+J132*G132</f>
        <v>175057.443</v>
      </c>
      <c r="J132" s="3">
        <f t="shared" ref="J132:J138" si="32">+H132*$J$9</f>
        <v>175057.443</v>
      </c>
      <c r="K132" s="4"/>
      <c r="L132" s="4"/>
      <c r="M132" s="4"/>
    </row>
    <row r="133" spans="1:13" ht="15.75" customHeight="1" x14ac:dyDescent="0.25">
      <c r="A133" s="31">
        <v>79</v>
      </c>
      <c r="B133" s="32" t="s">
        <v>216</v>
      </c>
      <c r="C133" s="33" t="s">
        <v>21</v>
      </c>
      <c r="D133" s="1"/>
      <c r="E133" s="34" t="s">
        <v>217</v>
      </c>
      <c r="F133" s="32" t="s">
        <v>44</v>
      </c>
      <c r="G133" s="33">
        <v>1</v>
      </c>
      <c r="H133" s="35">
        <v>156007</v>
      </c>
      <c r="I133" s="525">
        <f t="shared" si="31"/>
        <v>203355.12450000001</v>
      </c>
      <c r="J133" s="3">
        <f t="shared" si="32"/>
        <v>203355.12450000001</v>
      </c>
      <c r="K133" s="4"/>
      <c r="L133" s="4"/>
      <c r="M133" s="4"/>
    </row>
    <row r="134" spans="1:13" ht="15.75" customHeight="1" x14ac:dyDescent="0.25">
      <c r="A134" s="31">
        <v>80</v>
      </c>
      <c r="B134" s="32" t="s">
        <v>218</v>
      </c>
      <c r="C134" s="33" t="s">
        <v>21</v>
      </c>
      <c r="D134" s="1"/>
      <c r="E134" s="34" t="s">
        <v>219</v>
      </c>
      <c r="F134" s="32" t="s">
        <v>44</v>
      </c>
      <c r="G134" s="33">
        <v>1</v>
      </c>
      <c r="H134" s="35">
        <v>235369</v>
      </c>
      <c r="I134" s="525">
        <f t="shared" si="31"/>
        <v>306803.4915</v>
      </c>
      <c r="J134" s="3">
        <f t="shared" si="32"/>
        <v>306803.4915</v>
      </c>
      <c r="K134" s="4"/>
      <c r="L134" s="4"/>
      <c r="M134" s="4"/>
    </row>
    <row r="135" spans="1:13" ht="15.75" customHeight="1" x14ac:dyDescent="0.25">
      <c r="A135" s="31">
        <v>81</v>
      </c>
      <c r="B135" s="32" t="s">
        <v>220</v>
      </c>
      <c r="C135" s="33" t="s">
        <v>21</v>
      </c>
      <c r="D135" s="1"/>
      <c r="E135" s="34" t="s">
        <v>221</v>
      </c>
      <c r="F135" s="32" t="s">
        <v>44</v>
      </c>
      <c r="G135" s="33">
        <v>1</v>
      </c>
      <c r="H135" s="35">
        <v>266474</v>
      </c>
      <c r="I135" s="525">
        <f t="shared" si="31"/>
        <v>347348.85900000005</v>
      </c>
      <c r="J135" s="3">
        <f t="shared" si="32"/>
        <v>347348.85900000005</v>
      </c>
      <c r="K135" s="4"/>
      <c r="L135" s="4"/>
      <c r="M135" s="4"/>
    </row>
    <row r="136" spans="1:13" ht="15.75" customHeight="1" x14ac:dyDescent="0.25">
      <c r="A136" s="31">
        <v>82</v>
      </c>
      <c r="B136" s="32" t="s">
        <v>222</v>
      </c>
      <c r="C136" s="33" t="s">
        <v>21</v>
      </c>
      <c r="D136" s="1"/>
      <c r="E136" s="353" t="s">
        <v>223</v>
      </c>
      <c r="F136" s="354" t="s">
        <v>44</v>
      </c>
      <c r="G136" s="355">
        <v>1</v>
      </c>
      <c r="H136" s="356">
        <v>429084</v>
      </c>
      <c r="I136" s="525">
        <f t="shared" si="31"/>
        <v>559310.99400000006</v>
      </c>
      <c r="J136" s="3">
        <f t="shared" si="32"/>
        <v>559310.99400000006</v>
      </c>
      <c r="K136" s="4"/>
      <c r="L136" s="4"/>
      <c r="M136" s="4"/>
    </row>
    <row r="137" spans="1:13" ht="15.75" customHeight="1" x14ac:dyDescent="0.25">
      <c r="A137" s="31">
        <v>83</v>
      </c>
      <c r="B137" s="32" t="s">
        <v>224</v>
      </c>
      <c r="C137" s="33" t="s">
        <v>21</v>
      </c>
      <c r="D137" s="1"/>
      <c r="E137" s="34" t="s">
        <v>225</v>
      </c>
      <c r="F137" s="32" t="s">
        <v>44</v>
      </c>
      <c r="G137" s="33">
        <v>2</v>
      </c>
      <c r="H137" s="35">
        <v>591510</v>
      </c>
      <c r="I137" s="525">
        <f t="shared" si="31"/>
        <v>1542066.57</v>
      </c>
      <c r="J137" s="3">
        <f t="shared" si="32"/>
        <v>771033.28500000003</v>
      </c>
      <c r="K137" s="4"/>
      <c r="L137" s="4"/>
      <c r="M137" s="4"/>
    </row>
    <row r="138" spans="1:13" ht="15.75" customHeight="1" x14ac:dyDescent="0.25">
      <c r="A138" s="31">
        <v>84</v>
      </c>
      <c r="B138" s="32" t="s">
        <v>226</v>
      </c>
      <c r="C138" s="33" t="s">
        <v>21</v>
      </c>
      <c r="D138" s="1"/>
      <c r="E138" s="34" t="s">
        <v>227</v>
      </c>
      <c r="F138" s="32" t="s">
        <v>44</v>
      </c>
      <c r="G138" s="33">
        <v>2</v>
      </c>
      <c r="H138" s="35">
        <v>947816</v>
      </c>
      <c r="I138" s="525">
        <f t="shared" si="31"/>
        <v>2470956.3120000004</v>
      </c>
      <c r="J138" s="3">
        <f t="shared" si="32"/>
        <v>1235478.1560000002</v>
      </c>
      <c r="K138" s="4"/>
      <c r="L138" s="4"/>
      <c r="M138" s="4"/>
    </row>
    <row r="139" spans="1:13" ht="15.75" customHeight="1" x14ac:dyDescent="0.25">
      <c r="A139" s="53" t="s">
        <v>33</v>
      </c>
      <c r="B139" s="54"/>
      <c r="C139" s="55"/>
      <c r="D139" s="55"/>
      <c r="E139" s="56"/>
      <c r="F139" s="54"/>
      <c r="G139" s="55"/>
      <c r="H139" s="57"/>
      <c r="I139" s="73">
        <f>SUM(I132:I138)</f>
        <v>5604898.7939999998</v>
      </c>
      <c r="J139" s="3"/>
      <c r="K139" s="4"/>
      <c r="L139" s="4"/>
      <c r="M139" s="4"/>
    </row>
    <row r="140" spans="1:13" ht="15.75" customHeight="1" x14ac:dyDescent="0.25">
      <c r="A140" s="63"/>
      <c r="B140" s="64" t="s">
        <v>228</v>
      </c>
      <c r="C140" s="65"/>
      <c r="D140" s="65"/>
      <c r="E140" s="66" t="s">
        <v>229</v>
      </c>
      <c r="F140" s="67"/>
      <c r="G140" s="65"/>
      <c r="H140" s="68"/>
      <c r="I140" s="68"/>
      <c r="J140" s="23"/>
      <c r="K140" s="4"/>
      <c r="L140" s="4"/>
      <c r="M140" s="4"/>
    </row>
    <row r="141" spans="1:13" ht="45" x14ac:dyDescent="0.25">
      <c r="A141" s="31">
        <v>85</v>
      </c>
      <c r="B141" s="32" t="s">
        <v>230</v>
      </c>
      <c r="C141" s="33" t="s">
        <v>21</v>
      </c>
      <c r="D141" s="1"/>
      <c r="E141" s="34" t="s">
        <v>231</v>
      </c>
      <c r="F141" s="32" t="s">
        <v>44</v>
      </c>
      <c r="G141" s="33">
        <v>1</v>
      </c>
      <c r="H141" s="35">
        <v>6120063</v>
      </c>
      <c r="I141" s="525">
        <f t="shared" ref="I141:I142" si="33">+J141*G141</f>
        <v>7977502.1205000002</v>
      </c>
      <c r="J141" s="3">
        <f t="shared" ref="J141:J142" si="34">+H141*$J$9</f>
        <v>7977502.1205000002</v>
      </c>
      <c r="K141" s="4"/>
      <c r="L141" s="4"/>
      <c r="M141" s="4"/>
    </row>
    <row r="142" spans="1:13" ht="45" x14ac:dyDescent="0.25">
      <c r="A142" s="31">
        <v>86</v>
      </c>
      <c r="B142" s="32" t="s">
        <v>232</v>
      </c>
      <c r="C142" s="33" t="s">
        <v>21</v>
      </c>
      <c r="D142" s="1"/>
      <c r="E142" s="84" t="s">
        <v>233</v>
      </c>
      <c r="F142" s="32" t="s">
        <v>44</v>
      </c>
      <c r="G142" s="33">
        <v>1</v>
      </c>
      <c r="H142" s="35">
        <v>6664550</v>
      </c>
      <c r="I142" s="525">
        <f t="shared" si="33"/>
        <v>8687240.9250000007</v>
      </c>
      <c r="J142" s="3">
        <f t="shared" si="34"/>
        <v>8687240.9250000007</v>
      </c>
      <c r="K142" s="4"/>
      <c r="L142" s="4"/>
      <c r="M142" s="4"/>
    </row>
    <row r="143" spans="1:13" ht="15.75" customHeight="1" x14ac:dyDescent="0.25">
      <c r="A143" s="53" t="s">
        <v>33</v>
      </c>
      <c r="B143" s="54"/>
      <c r="C143" s="55"/>
      <c r="D143" s="55"/>
      <c r="E143" s="56"/>
      <c r="F143" s="54"/>
      <c r="G143" s="55"/>
      <c r="H143" s="57"/>
      <c r="I143" s="73">
        <f>SUM(I141:I142)</f>
        <v>16664743.045500001</v>
      </c>
      <c r="J143" s="3"/>
      <c r="K143" s="4"/>
      <c r="L143" s="4"/>
      <c r="M143" s="4"/>
    </row>
    <row r="144" spans="1:13" ht="15.75" customHeight="1" x14ac:dyDescent="0.25">
      <c r="A144" s="63"/>
      <c r="B144" s="64" t="s">
        <v>234</v>
      </c>
      <c r="C144" s="65"/>
      <c r="D144" s="65"/>
      <c r="E144" s="66" t="s">
        <v>235</v>
      </c>
      <c r="F144" s="67"/>
      <c r="G144" s="65"/>
      <c r="H144" s="68"/>
      <c r="I144" s="534"/>
      <c r="J144" s="23"/>
      <c r="K144" s="4"/>
      <c r="L144" s="4"/>
      <c r="M144" s="4"/>
    </row>
    <row r="145" spans="1:13" ht="15.75" customHeight="1" x14ac:dyDescent="0.25">
      <c r="A145" s="31">
        <v>87</v>
      </c>
      <c r="B145" s="32" t="s">
        <v>236</v>
      </c>
      <c r="C145" s="33" t="s">
        <v>21</v>
      </c>
      <c r="D145" s="1"/>
      <c r="E145" s="34" t="s">
        <v>237</v>
      </c>
      <c r="F145" s="32" t="s">
        <v>44</v>
      </c>
      <c r="G145" s="33">
        <v>1</v>
      </c>
      <c r="H145" s="35">
        <v>497287</v>
      </c>
      <c r="I145" s="525">
        <f t="shared" ref="I145:I146" si="35">+J145*G145</f>
        <v>648213.60450000002</v>
      </c>
      <c r="J145" s="3">
        <f t="shared" ref="J145:J146" si="36">+H145*$J$9</f>
        <v>648213.60450000002</v>
      </c>
      <c r="K145" s="4"/>
      <c r="L145" s="4"/>
      <c r="M145" s="4"/>
    </row>
    <row r="146" spans="1:13" ht="15.75" customHeight="1" x14ac:dyDescent="0.25">
      <c r="A146" s="31">
        <v>88</v>
      </c>
      <c r="B146" s="32" t="s">
        <v>238</v>
      </c>
      <c r="C146" s="33" t="s">
        <v>21</v>
      </c>
      <c r="D146" s="1"/>
      <c r="E146" s="34" t="s">
        <v>239</v>
      </c>
      <c r="F146" s="32" t="s">
        <v>44</v>
      </c>
      <c r="G146" s="33">
        <v>1</v>
      </c>
      <c r="H146" s="35">
        <v>692319</v>
      </c>
      <c r="I146" s="525">
        <f t="shared" si="35"/>
        <v>902437.81650000007</v>
      </c>
      <c r="J146" s="3">
        <f t="shared" si="36"/>
        <v>902437.81650000007</v>
      </c>
      <c r="K146" s="4"/>
      <c r="L146" s="4"/>
      <c r="M146" s="4"/>
    </row>
    <row r="147" spans="1:13" ht="15.75" customHeight="1" x14ac:dyDescent="0.25">
      <c r="A147" s="53" t="s">
        <v>33</v>
      </c>
      <c r="B147" s="54"/>
      <c r="C147" s="55"/>
      <c r="D147" s="55"/>
      <c r="E147" s="56"/>
      <c r="F147" s="54"/>
      <c r="G147" s="55"/>
      <c r="H147" s="57"/>
      <c r="I147" s="73">
        <f>SUM(I145:I146)</f>
        <v>1550651.4210000001</v>
      </c>
      <c r="J147" s="3"/>
      <c r="K147" s="4"/>
      <c r="L147" s="4"/>
      <c r="M147" s="4"/>
    </row>
    <row r="148" spans="1:13" ht="15.75" customHeight="1" x14ac:dyDescent="0.25">
      <c r="A148" s="63"/>
      <c r="B148" s="64" t="s">
        <v>240</v>
      </c>
      <c r="C148" s="65"/>
      <c r="D148" s="65"/>
      <c r="E148" s="66" t="s">
        <v>241</v>
      </c>
      <c r="F148" s="67"/>
      <c r="G148" s="65"/>
      <c r="H148" s="68"/>
      <c r="I148" s="534"/>
      <c r="J148" s="23"/>
      <c r="K148" s="4"/>
      <c r="L148" s="4"/>
      <c r="M148" s="4"/>
    </row>
    <row r="149" spans="1:13" ht="15.75" customHeight="1" x14ac:dyDescent="0.25">
      <c r="A149" s="31">
        <v>89</v>
      </c>
      <c r="B149" s="32" t="s">
        <v>242</v>
      </c>
      <c r="C149" s="33" t="s">
        <v>21</v>
      </c>
      <c r="D149" s="1"/>
      <c r="E149" s="34" t="s">
        <v>243</v>
      </c>
      <c r="F149" s="32" t="s">
        <v>44</v>
      </c>
      <c r="G149" s="33">
        <v>1</v>
      </c>
      <c r="H149" s="85">
        <v>3738584</v>
      </c>
      <c r="I149" s="85">
        <f t="shared" ref="I149:I150" si="37">+J149*G149</f>
        <v>4873244.2439999999</v>
      </c>
      <c r="J149" s="3">
        <f t="shared" ref="J149:J150" si="38">+H149*$J$9</f>
        <v>4873244.2439999999</v>
      </c>
      <c r="K149" s="4"/>
      <c r="L149" s="4"/>
      <c r="M149" s="4"/>
    </row>
    <row r="150" spans="1:13" ht="15.75" customHeight="1" x14ac:dyDescent="0.25">
      <c r="A150" s="31">
        <v>90</v>
      </c>
      <c r="B150" s="32" t="s">
        <v>244</v>
      </c>
      <c r="C150" s="33" t="s">
        <v>21</v>
      </c>
      <c r="D150" s="1"/>
      <c r="E150" s="34" t="s">
        <v>245</v>
      </c>
      <c r="F150" s="32" t="s">
        <v>44</v>
      </c>
      <c r="G150" s="33">
        <v>1</v>
      </c>
      <c r="H150" s="85">
        <v>4882459</v>
      </c>
      <c r="I150" s="85">
        <f t="shared" si="37"/>
        <v>6364285.3065000009</v>
      </c>
      <c r="J150" s="3">
        <f t="shared" si="38"/>
        <v>6364285.3065000009</v>
      </c>
      <c r="K150" s="4"/>
      <c r="L150" s="4"/>
      <c r="M150" s="4"/>
    </row>
    <row r="151" spans="1:13" ht="15.75" customHeight="1" x14ac:dyDescent="0.25">
      <c r="A151" s="53" t="s">
        <v>33</v>
      </c>
      <c r="B151" s="54"/>
      <c r="C151" s="55"/>
      <c r="D151" s="55"/>
      <c r="E151" s="56"/>
      <c r="F151" s="54"/>
      <c r="G151" s="55"/>
      <c r="H151" s="57"/>
      <c r="I151" s="73">
        <f>SUM(I149:I150)</f>
        <v>11237529.550500002</v>
      </c>
      <c r="J151" s="3"/>
      <c r="K151" s="4"/>
      <c r="L151" s="4"/>
      <c r="M151" s="4"/>
    </row>
    <row r="152" spans="1:13" ht="15.75" customHeight="1" x14ac:dyDescent="0.25">
      <c r="A152" s="63"/>
      <c r="B152" s="64" t="s">
        <v>246</v>
      </c>
      <c r="C152" s="65"/>
      <c r="D152" s="65"/>
      <c r="E152" s="66" t="s">
        <v>247</v>
      </c>
      <c r="F152" s="67"/>
      <c r="G152" s="65"/>
      <c r="H152" s="68"/>
      <c r="I152" s="534"/>
      <c r="J152" s="23"/>
      <c r="K152" s="4"/>
      <c r="L152" s="4"/>
      <c r="M152" s="4"/>
    </row>
    <row r="153" spans="1:13" s="326" customFormat="1" ht="30.75" customHeight="1" x14ac:dyDescent="0.25">
      <c r="A153" s="321">
        <v>91</v>
      </c>
      <c r="B153" s="32" t="s">
        <v>248</v>
      </c>
      <c r="C153" s="96" t="s">
        <v>21</v>
      </c>
      <c r="D153" s="322"/>
      <c r="E153" s="34" t="s">
        <v>249</v>
      </c>
      <c r="F153" s="32" t="s">
        <v>44</v>
      </c>
      <c r="G153" s="96">
        <v>1</v>
      </c>
      <c r="H153" s="323">
        <v>351144</v>
      </c>
      <c r="I153" s="532">
        <f t="shared" ref="I153:I154" si="39">+J153*G153</f>
        <v>457716.20400000003</v>
      </c>
      <c r="J153" s="324">
        <f t="shared" ref="J153:J154" si="40">+H153*$J$9</f>
        <v>457716.20400000003</v>
      </c>
      <c r="K153" s="325"/>
      <c r="L153" s="325"/>
      <c r="M153" s="325"/>
    </row>
    <row r="154" spans="1:13" s="326" customFormat="1" ht="30.75" customHeight="1" x14ac:dyDescent="0.25">
      <c r="A154" s="321">
        <v>92</v>
      </c>
      <c r="B154" s="32" t="s">
        <v>250</v>
      </c>
      <c r="C154" s="96" t="s">
        <v>21</v>
      </c>
      <c r="D154" s="322"/>
      <c r="E154" s="34" t="s">
        <v>251</v>
      </c>
      <c r="F154" s="32" t="s">
        <v>44</v>
      </c>
      <c r="G154" s="96">
        <v>1</v>
      </c>
      <c r="H154" s="323">
        <v>912697</v>
      </c>
      <c r="I154" s="532">
        <f t="shared" si="39"/>
        <v>1189700.5395000002</v>
      </c>
      <c r="J154" s="324">
        <f t="shared" si="40"/>
        <v>1189700.5395000002</v>
      </c>
      <c r="K154" s="325"/>
      <c r="L154" s="325"/>
      <c r="M154" s="325"/>
    </row>
    <row r="155" spans="1:13" ht="15.75" customHeight="1" x14ac:dyDescent="0.25">
      <c r="A155" s="53" t="s">
        <v>33</v>
      </c>
      <c r="B155" s="54"/>
      <c r="C155" s="55"/>
      <c r="D155" s="55"/>
      <c r="E155" s="56"/>
      <c r="F155" s="54"/>
      <c r="G155" s="55"/>
      <c r="H155" s="57"/>
      <c r="I155" s="73">
        <f>SUM(I153:I154)</f>
        <v>1647416.7435000003</v>
      </c>
      <c r="J155" s="3"/>
      <c r="K155" s="4"/>
      <c r="L155" s="4"/>
      <c r="M155" s="4"/>
    </row>
    <row r="156" spans="1:13" ht="15.75" customHeight="1" x14ac:dyDescent="0.25">
      <c r="A156" s="63"/>
      <c r="B156" s="64" t="s">
        <v>252</v>
      </c>
      <c r="C156" s="65"/>
      <c r="D156" s="65"/>
      <c r="E156" s="66" t="s">
        <v>253</v>
      </c>
      <c r="F156" s="67"/>
      <c r="G156" s="65"/>
      <c r="H156" s="68"/>
      <c r="I156" s="534"/>
      <c r="J156" s="23"/>
      <c r="K156" s="4"/>
      <c r="L156" s="4"/>
      <c r="M156" s="4"/>
    </row>
    <row r="157" spans="1:13" ht="15.75" customHeight="1" x14ac:dyDescent="0.25">
      <c r="A157" s="31">
        <v>93</v>
      </c>
      <c r="B157" s="32" t="s">
        <v>254</v>
      </c>
      <c r="C157" s="33" t="s">
        <v>21</v>
      </c>
      <c r="D157" s="1"/>
      <c r="E157" s="34" t="s">
        <v>255</v>
      </c>
      <c r="F157" s="32" t="s">
        <v>39</v>
      </c>
      <c r="G157" s="33">
        <v>1</v>
      </c>
      <c r="H157" s="35">
        <v>579452</v>
      </c>
      <c r="I157" s="525">
        <f>+J157*G157</f>
        <v>755315.68200000003</v>
      </c>
      <c r="J157" s="3">
        <f>+H157*$J$9</f>
        <v>755315.68200000003</v>
      </c>
      <c r="K157" s="4"/>
      <c r="L157" s="4"/>
      <c r="M157" s="4"/>
    </row>
    <row r="158" spans="1:13" ht="15.75" customHeight="1" x14ac:dyDescent="0.25">
      <c r="A158" s="53" t="s">
        <v>33</v>
      </c>
      <c r="B158" s="54"/>
      <c r="C158" s="55"/>
      <c r="D158" s="55"/>
      <c r="E158" s="56"/>
      <c r="F158" s="54"/>
      <c r="G158" s="55"/>
      <c r="H158" s="57"/>
      <c r="I158" s="73">
        <f>SUM(I157)</f>
        <v>755315.68200000003</v>
      </c>
      <c r="J158" s="3"/>
      <c r="K158" s="4"/>
      <c r="L158" s="4"/>
      <c r="M158" s="4"/>
    </row>
    <row r="159" spans="1:13" ht="15.75" customHeight="1" x14ac:dyDescent="0.25">
      <c r="A159" s="63"/>
      <c r="B159" s="64" t="s">
        <v>256</v>
      </c>
      <c r="C159" s="65"/>
      <c r="D159" s="65"/>
      <c r="E159" s="66" t="s">
        <v>257</v>
      </c>
      <c r="F159" s="67"/>
      <c r="G159" s="65"/>
      <c r="H159" s="68"/>
      <c r="I159" s="534"/>
      <c r="J159" s="23"/>
      <c r="K159" s="4"/>
      <c r="L159" s="4"/>
      <c r="M159" s="4"/>
    </row>
    <row r="160" spans="1:13" ht="15.75" customHeight="1" x14ac:dyDescent="0.25">
      <c r="A160" s="31">
        <v>94</v>
      </c>
      <c r="B160" s="32" t="s">
        <v>258</v>
      </c>
      <c r="C160" s="33" t="s">
        <v>21</v>
      </c>
      <c r="D160" s="1"/>
      <c r="E160" s="34" t="s">
        <v>259</v>
      </c>
      <c r="F160" s="32" t="s">
        <v>44</v>
      </c>
      <c r="G160" s="33">
        <v>1</v>
      </c>
      <c r="H160" s="35">
        <v>239922</v>
      </c>
      <c r="I160" s="525">
        <f t="shared" ref="I160:I164" si="41">+J160*G160</f>
        <v>312738.32700000005</v>
      </c>
      <c r="J160" s="3">
        <f t="shared" ref="J160:J164" si="42">+H160*$J$9</f>
        <v>312738.32700000005</v>
      </c>
      <c r="K160" s="4"/>
      <c r="L160" s="4"/>
      <c r="M160" s="4"/>
    </row>
    <row r="161" spans="1:13" ht="15.75" customHeight="1" x14ac:dyDescent="0.25">
      <c r="A161" s="31">
        <v>95</v>
      </c>
      <c r="B161" s="32" t="s">
        <v>260</v>
      </c>
      <c r="C161" s="33" t="s">
        <v>21</v>
      </c>
      <c r="D161" s="1"/>
      <c r="E161" s="34" t="s">
        <v>261</v>
      </c>
      <c r="F161" s="32" t="s">
        <v>44</v>
      </c>
      <c r="G161" s="33">
        <v>1</v>
      </c>
      <c r="H161" s="35">
        <v>359991</v>
      </c>
      <c r="I161" s="525">
        <f t="shared" si="41"/>
        <v>469248.26850000006</v>
      </c>
      <c r="J161" s="3">
        <f t="shared" si="42"/>
        <v>469248.26850000006</v>
      </c>
      <c r="K161" s="4"/>
      <c r="L161" s="4"/>
      <c r="M161" s="4"/>
    </row>
    <row r="162" spans="1:13" ht="15.75" customHeight="1" x14ac:dyDescent="0.25">
      <c r="A162" s="31">
        <v>96</v>
      </c>
      <c r="B162" s="32" t="s">
        <v>262</v>
      </c>
      <c r="C162" s="33" t="s">
        <v>21</v>
      </c>
      <c r="D162" s="1"/>
      <c r="E162" s="34" t="s">
        <v>263</v>
      </c>
      <c r="F162" s="32" t="s">
        <v>44</v>
      </c>
      <c r="G162" s="33">
        <v>1</v>
      </c>
      <c r="H162" s="35">
        <v>567098</v>
      </c>
      <c r="I162" s="525">
        <f t="shared" si="41"/>
        <v>739212.24300000002</v>
      </c>
      <c r="J162" s="3">
        <f t="shared" si="42"/>
        <v>739212.24300000002</v>
      </c>
      <c r="K162" s="4"/>
      <c r="L162" s="4"/>
      <c r="M162" s="4"/>
    </row>
    <row r="163" spans="1:13" ht="15.75" customHeight="1" x14ac:dyDescent="0.25">
      <c r="A163" s="31">
        <v>97</v>
      </c>
      <c r="B163" s="32" t="s">
        <v>264</v>
      </c>
      <c r="C163" s="33" t="s">
        <v>21</v>
      </c>
      <c r="D163" s="1"/>
      <c r="E163" s="34" t="s">
        <v>265</v>
      </c>
      <c r="F163" s="32" t="s">
        <v>23</v>
      </c>
      <c r="G163" s="33">
        <v>50</v>
      </c>
      <c r="H163" s="35">
        <v>5947</v>
      </c>
      <c r="I163" s="525">
        <f t="shared" si="41"/>
        <v>387595.72500000003</v>
      </c>
      <c r="J163" s="3">
        <f t="shared" si="42"/>
        <v>7751.9145000000008</v>
      </c>
      <c r="K163" s="4"/>
      <c r="L163" s="4"/>
      <c r="M163" s="4"/>
    </row>
    <row r="164" spans="1:13" ht="15.75" customHeight="1" x14ac:dyDescent="0.25">
      <c r="A164" s="31">
        <v>98</v>
      </c>
      <c r="B164" s="32" t="s">
        <v>266</v>
      </c>
      <c r="C164" s="33" t="s">
        <v>21</v>
      </c>
      <c r="D164" s="1"/>
      <c r="E164" s="34" t="s">
        <v>267</v>
      </c>
      <c r="F164" s="32" t="s">
        <v>23</v>
      </c>
      <c r="G164" s="33">
        <v>50</v>
      </c>
      <c r="H164" s="35">
        <v>8443</v>
      </c>
      <c r="I164" s="525">
        <f t="shared" si="41"/>
        <v>550272.52500000002</v>
      </c>
      <c r="J164" s="3">
        <f t="shared" si="42"/>
        <v>11005.450500000001</v>
      </c>
      <c r="K164" s="4"/>
      <c r="L164" s="4"/>
      <c r="M164" s="4"/>
    </row>
    <row r="165" spans="1:13" ht="15.75" customHeight="1" x14ac:dyDescent="0.25">
      <c r="A165" s="53" t="s">
        <v>33</v>
      </c>
      <c r="B165" s="54"/>
      <c r="C165" s="55"/>
      <c r="D165" s="55"/>
      <c r="E165" s="56"/>
      <c r="F165" s="54"/>
      <c r="G165" s="55"/>
      <c r="H165" s="57"/>
      <c r="I165" s="73">
        <f>SUM(I160:I164)</f>
        <v>2459067.0885000001</v>
      </c>
      <c r="J165" s="3"/>
      <c r="K165" s="4"/>
      <c r="L165" s="4"/>
      <c r="M165" s="4"/>
    </row>
    <row r="166" spans="1:13" ht="15.75" customHeight="1" x14ac:dyDescent="0.25">
      <c r="A166" s="63"/>
      <c r="B166" s="64" t="s">
        <v>268</v>
      </c>
      <c r="C166" s="65"/>
      <c r="D166" s="65"/>
      <c r="E166" s="66" t="s">
        <v>269</v>
      </c>
      <c r="F166" s="67"/>
      <c r="G166" s="65"/>
      <c r="H166" s="68"/>
      <c r="I166" s="534"/>
      <c r="J166" s="23"/>
      <c r="K166" s="4"/>
      <c r="L166" s="4"/>
      <c r="M166" s="4"/>
    </row>
    <row r="167" spans="1:13" ht="15.75" customHeight="1" x14ac:dyDescent="0.25">
      <c r="A167" s="31">
        <v>99</v>
      </c>
      <c r="B167" s="32" t="s">
        <v>270</v>
      </c>
      <c r="C167" s="33" t="s">
        <v>21</v>
      </c>
      <c r="D167" s="1"/>
      <c r="E167" s="34" t="s">
        <v>271</v>
      </c>
      <c r="F167" s="32" t="s">
        <v>44</v>
      </c>
      <c r="G167" s="33">
        <v>1</v>
      </c>
      <c r="H167" s="35">
        <v>2171588</v>
      </c>
      <c r="I167" s="525">
        <f t="shared" ref="I167:I169" si="43">+J167*G167</f>
        <v>2830664.9580000001</v>
      </c>
      <c r="J167" s="3">
        <f t="shared" ref="J167:J169" si="44">+H167*$J$9</f>
        <v>2830664.9580000001</v>
      </c>
      <c r="K167" s="4"/>
      <c r="L167" s="4"/>
      <c r="M167" s="4"/>
    </row>
    <row r="168" spans="1:13" ht="15.75" customHeight="1" x14ac:dyDescent="0.25">
      <c r="A168" s="31">
        <v>100</v>
      </c>
      <c r="B168" s="32" t="s">
        <v>272</v>
      </c>
      <c r="C168" s="33" t="s">
        <v>21</v>
      </c>
      <c r="D168" s="1"/>
      <c r="E168" s="34" t="s">
        <v>273</v>
      </c>
      <c r="F168" s="32" t="s">
        <v>44</v>
      </c>
      <c r="G168" s="33">
        <v>1</v>
      </c>
      <c r="H168" s="35">
        <v>2718289</v>
      </c>
      <c r="I168" s="525">
        <f t="shared" si="43"/>
        <v>3543289.7115000002</v>
      </c>
      <c r="J168" s="3">
        <f t="shared" si="44"/>
        <v>3543289.7115000002</v>
      </c>
      <c r="K168" s="4"/>
      <c r="L168" s="4"/>
      <c r="M168" s="4"/>
    </row>
    <row r="169" spans="1:13" ht="15.75" customHeight="1" x14ac:dyDescent="0.25">
      <c r="A169" s="31">
        <v>101</v>
      </c>
      <c r="B169" s="32" t="s">
        <v>274</v>
      </c>
      <c r="C169" s="33" t="s">
        <v>21</v>
      </c>
      <c r="D169" s="1"/>
      <c r="E169" s="34" t="s">
        <v>275</v>
      </c>
      <c r="F169" s="32" t="s">
        <v>44</v>
      </c>
      <c r="G169" s="33">
        <v>1</v>
      </c>
      <c r="H169" s="35">
        <v>3104538</v>
      </c>
      <c r="I169" s="525">
        <f t="shared" si="43"/>
        <v>4046765.2830000003</v>
      </c>
      <c r="J169" s="3">
        <f t="shared" si="44"/>
        <v>4046765.2830000003</v>
      </c>
      <c r="K169" s="4"/>
      <c r="L169" s="4"/>
      <c r="M169" s="4"/>
    </row>
    <row r="170" spans="1:13" ht="15.75" customHeight="1" x14ac:dyDescent="0.25">
      <c r="A170" s="53" t="s">
        <v>33</v>
      </c>
      <c r="B170" s="54"/>
      <c r="C170" s="55"/>
      <c r="D170" s="55"/>
      <c r="E170" s="56"/>
      <c r="F170" s="54"/>
      <c r="G170" s="55"/>
      <c r="H170" s="57"/>
      <c r="I170" s="73">
        <f>SUM(I167:I169)</f>
        <v>10420719.952500001</v>
      </c>
      <c r="J170" s="3"/>
      <c r="K170" s="4"/>
      <c r="L170" s="4"/>
      <c r="M170" s="4"/>
    </row>
    <row r="171" spans="1:13" ht="15.75" customHeight="1" x14ac:dyDescent="0.25">
      <c r="A171" s="63"/>
      <c r="B171" s="64" t="s">
        <v>276</v>
      </c>
      <c r="C171" s="65"/>
      <c r="D171" s="65"/>
      <c r="E171" s="66" t="s">
        <v>277</v>
      </c>
      <c r="F171" s="67"/>
      <c r="G171" s="65"/>
      <c r="H171" s="68"/>
      <c r="I171" s="534"/>
      <c r="J171" s="23"/>
      <c r="K171" s="4"/>
      <c r="L171" s="4"/>
      <c r="M171" s="4"/>
    </row>
    <row r="172" spans="1:13" ht="15.75" customHeight="1" x14ac:dyDescent="0.25">
      <c r="A172" s="31">
        <v>102</v>
      </c>
      <c r="B172" s="32" t="s">
        <v>278</v>
      </c>
      <c r="C172" s="33" t="s">
        <v>21</v>
      </c>
      <c r="D172" s="1"/>
      <c r="E172" s="34" t="s">
        <v>279</v>
      </c>
      <c r="F172" s="32" t="s">
        <v>44</v>
      </c>
      <c r="G172" s="33">
        <v>1</v>
      </c>
      <c r="H172" s="35">
        <v>294350</v>
      </c>
      <c r="I172" s="525">
        <f>+J172*G172</f>
        <v>383685.22500000003</v>
      </c>
      <c r="J172" s="3">
        <f>+H172*$J$9</f>
        <v>383685.22500000003</v>
      </c>
      <c r="K172" s="4"/>
      <c r="L172" s="4"/>
      <c r="M172" s="4"/>
    </row>
    <row r="173" spans="1:13" ht="15.75" customHeight="1" x14ac:dyDescent="0.25">
      <c r="A173" s="53" t="s">
        <v>33</v>
      </c>
      <c r="B173" s="54"/>
      <c r="C173" s="55"/>
      <c r="D173" s="55"/>
      <c r="E173" s="56"/>
      <c r="F173" s="54"/>
      <c r="G173" s="55"/>
      <c r="H173" s="57"/>
      <c r="I173" s="73">
        <f>SUM(I172)</f>
        <v>383685.22500000003</v>
      </c>
      <c r="J173" s="3"/>
      <c r="K173" s="4"/>
      <c r="L173" s="4"/>
      <c r="M173" s="4"/>
    </row>
    <row r="174" spans="1:13" ht="15.75" customHeight="1" x14ac:dyDescent="0.25">
      <c r="A174" s="63"/>
      <c r="B174" s="64" t="s">
        <v>280</v>
      </c>
      <c r="C174" s="65"/>
      <c r="D174" s="65"/>
      <c r="E174" s="66" t="s">
        <v>281</v>
      </c>
      <c r="F174" s="67"/>
      <c r="G174" s="65"/>
      <c r="H174" s="68"/>
      <c r="I174" s="534"/>
      <c r="J174" s="23"/>
      <c r="K174" s="4"/>
      <c r="L174" s="4"/>
      <c r="M174" s="4"/>
    </row>
    <row r="175" spans="1:13" ht="30" customHeight="1" x14ac:dyDescent="0.25">
      <c r="A175" s="31">
        <v>103</v>
      </c>
      <c r="B175" s="32" t="s">
        <v>282</v>
      </c>
      <c r="C175" s="33" t="s">
        <v>21</v>
      </c>
      <c r="D175" s="1"/>
      <c r="E175" s="357" t="s">
        <v>283</v>
      </c>
      <c r="F175" s="354" t="s">
        <v>44</v>
      </c>
      <c r="G175" s="355">
        <v>1</v>
      </c>
      <c r="H175" s="356">
        <v>450347</v>
      </c>
      <c r="I175" s="525">
        <f t="shared" ref="I175:I179" si="45">+J175*G175</f>
        <v>587027.31450000009</v>
      </c>
      <c r="J175" s="3">
        <f t="shared" ref="J175:J179" si="46">+H175*$J$9</f>
        <v>587027.31450000009</v>
      </c>
      <c r="K175" s="4"/>
      <c r="L175" s="4"/>
      <c r="M175" s="4"/>
    </row>
    <row r="176" spans="1:13" ht="31.5" customHeight="1" x14ac:dyDescent="0.25">
      <c r="A176" s="31">
        <v>104</v>
      </c>
      <c r="B176" s="32" t="s">
        <v>284</v>
      </c>
      <c r="C176" s="33" t="s">
        <v>21</v>
      </c>
      <c r="D176" s="1"/>
      <c r="E176" s="357" t="s">
        <v>285</v>
      </c>
      <c r="F176" s="354" t="s">
        <v>44</v>
      </c>
      <c r="G176" s="355">
        <v>1</v>
      </c>
      <c r="H176" s="356">
        <v>511050</v>
      </c>
      <c r="I176" s="525">
        <f t="shared" si="45"/>
        <v>666153.67500000005</v>
      </c>
      <c r="J176" s="3">
        <f t="shared" si="46"/>
        <v>666153.67500000005</v>
      </c>
      <c r="K176" s="4"/>
      <c r="L176" s="4"/>
      <c r="M176" s="4"/>
    </row>
    <row r="177" spans="1:13" ht="36.75" customHeight="1" x14ac:dyDescent="0.25">
      <c r="A177" s="31">
        <v>105</v>
      </c>
      <c r="B177" s="32" t="s">
        <v>286</v>
      </c>
      <c r="C177" s="33" t="s">
        <v>21</v>
      </c>
      <c r="D177" s="1"/>
      <c r="E177" s="357" t="s">
        <v>287</v>
      </c>
      <c r="F177" s="354" t="s">
        <v>44</v>
      </c>
      <c r="G177" s="355">
        <v>1</v>
      </c>
      <c r="H177" s="356">
        <v>816047</v>
      </c>
      <c r="I177" s="525">
        <f t="shared" si="45"/>
        <v>1063717.2645</v>
      </c>
      <c r="J177" s="3">
        <f t="shared" si="46"/>
        <v>1063717.2645</v>
      </c>
      <c r="K177" s="4"/>
      <c r="L177" s="4"/>
      <c r="M177" s="4"/>
    </row>
    <row r="178" spans="1:13" ht="36" customHeight="1" x14ac:dyDescent="0.25">
      <c r="A178" s="31">
        <v>106</v>
      </c>
      <c r="B178" s="32" t="s">
        <v>288</v>
      </c>
      <c r="C178" s="33" t="s">
        <v>21</v>
      </c>
      <c r="D178" s="1"/>
      <c r="E178" s="357" t="s">
        <v>289</v>
      </c>
      <c r="F178" s="354" t="s">
        <v>44</v>
      </c>
      <c r="G178" s="355">
        <v>1</v>
      </c>
      <c r="H178" s="356">
        <v>538711</v>
      </c>
      <c r="I178" s="525">
        <f t="shared" si="45"/>
        <v>702209.78850000002</v>
      </c>
      <c r="J178" s="3">
        <f t="shared" si="46"/>
        <v>702209.78850000002</v>
      </c>
      <c r="K178" s="4"/>
      <c r="L178" s="4"/>
      <c r="M178" s="4"/>
    </row>
    <row r="179" spans="1:13" ht="45.75" customHeight="1" x14ac:dyDescent="0.25">
      <c r="A179" s="31">
        <v>107</v>
      </c>
      <c r="B179" s="32" t="s">
        <v>290</v>
      </c>
      <c r="C179" s="33" t="s">
        <v>21</v>
      </c>
      <c r="D179" s="1"/>
      <c r="E179" s="379" t="s">
        <v>291</v>
      </c>
      <c r="F179" s="380" t="s">
        <v>44</v>
      </c>
      <c r="G179" s="355">
        <v>1</v>
      </c>
      <c r="H179" s="356">
        <v>914342</v>
      </c>
      <c r="I179" s="525">
        <f t="shared" si="45"/>
        <v>1191844.797</v>
      </c>
      <c r="J179" s="86">
        <f t="shared" si="46"/>
        <v>1191844.797</v>
      </c>
      <c r="K179" s="4"/>
      <c r="L179" s="4"/>
      <c r="M179" s="4"/>
    </row>
    <row r="180" spans="1:13" ht="15.75" customHeight="1" x14ac:dyDescent="0.25">
      <c r="A180" s="53" t="s">
        <v>33</v>
      </c>
      <c r="B180" s="87"/>
      <c r="C180" s="55"/>
      <c r="D180" s="55"/>
      <c r="E180" s="88"/>
      <c r="F180" s="54"/>
      <c r="G180" s="55"/>
      <c r="H180" s="57"/>
      <c r="I180" s="533">
        <f>SUM(I175:I179)</f>
        <v>4210952.8395000007</v>
      </c>
      <c r="J180" s="86"/>
      <c r="K180" s="4"/>
      <c r="L180" s="4"/>
      <c r="M180" s="4"/>
    </row>
    <row r="181" spans="1:13" ht="15.75" customHeight="1" x14ac:dyDescent="0.25">
      <c r="A181" s="16"/>
      <c r="B181" s="89">
        <v>8</v>
      </c>
      <c r="C181" s="19"/>
      <c r="D181" s="19"/>
      <c r="E181" s="90" t="s">
        <v>292</v>
      </c>
      <c r="F181" s="91"/>
      <c r="G181" s="19"/>
      <c r="H181" s="43"/>
      <c r="I181" s="535"/>
      <c r="J181" s="92"/>
      <c r="K181" s="4"/>
      <c r="L181" s="4"/>
      <c r="M181" s="4"/>
    </row>
    <row r="182" spans="1:13" ht="15.75" customHeight="1" x14ac:dyDescent="0.25">
      <c r="A182" s="24"/>
      <c r="B182" s="25" t="s">
        <v>293</v>
      </c>
      <c r="C182" s="27"/>
      <c r="D182" s="27"/>
      <c r="E182" s="28" t="s">
        <v>294</v>
      </c>
      <c r="F182" s="29"/>
      <c r="G182" s="27"/>
      <c r="H182" s="58"/>
      <c r="I182" s="536"/>
      <c r="J182" s="92"/>
      <c r="K182" s="4"/>
      <c r="L182" s="4"/>
      <c r="M182" s="4"/>
    </row>
    <row r="183" spans="1:13" ht="15.75" customHeight="1" x14ac:dyDescent="0.25">
      <c r="A183" s="31">
        <v>108</v>
      </c>
      <c r="B183" s="32" t="s">
        <v>295</v>
      </c>
      <c r="C183" s="33" t="s">
        <v>21</v>
      </c>
      <c r="D183" s="1"/>
      <c r="E183" s="47" t="s">
        <v>296</v>
      </c>
      <c r="F183" s="48" t="s">
        <v>23</v>
      </c>
      <c r="G183" s="49">
        <v>1</v>
      </c>
      <c r="H183" s="59">
        <v>849237</v>
      </c>
      <c r="I183" s="525">
        <f t="shared" ref="I183:I184" si="47">+J183*G183</f>
        <v>1106980.4295000001</v>
      </c>
      <c r="J183" s="86">
        <f t="shared" ref="J183:J184" si="48">+H183*$J$9</f>
        <v>1106980.4295000001</v>
      </c>
      <c r="K183" s="4"/>
      <c r="L183" s="4"/>
      <c r="M183" s="4"/>
    </row>
    <row r="184" spans="1:13" ht="15.75" customHeight="1" x14ac:dyDescent="0.25">
      <c r="A184" s="31">
        <v>109</v>
      </c>
      <c r="B184" s="32" t="s">
        <v>297</v>
      </c>
      <c r="C184" s="33" t="s">
        <v>21</v>
      </c>
      <c r="D184" s="1"/>
      <c r="E184" s="50" t="s">
        <v>298</v>
      </c>
      <c r="F184" s="51" t="s">
        <v>23</v>
      </c>
      <c r="G184" s="52">
        <v>1</v>
      </c>
      <c r="H184" s="60">
        <v>2012020</v>
      </c>
      <c r="I184" s="525">
        <f t="shared" si="47"/>
        <v>2622668.0700000003</v>
      </c>
      <c r="J184" s="86">
        <f t="shared" si="48"/>
        <v>2622668.0700000003</v>
      </c>
      <c r="K184" s="4"/>
      <c r="L184" s="4"/>
      <c r="M184" s="4"/>
    </row>
    <row r="185" spans="1:13" ht="15.75" customHeight="1" x14ac:dyDescent="0.25">
      <c r="A185" s="53" t="s">
        <v>33</v>
      </c>
      <c r="B185" s="87"/>
      <c r="C185" s="55"/>
      <c r="D185" s="55"/>
      <c r="E185" s="88"/>
      <c r="F185" s="54"/>
      <c r="G185" s="55"/>
      <c r="H185" s="57"/>
      <c r="I185" s="533">
        <f>SUM(I183:I184)</f>
        <v>3729648.4995000004</v>
      </c>
      <c r="J185" s="86"/>
      <c r="K185" s="4"/>
      <c r="L185" s="4"/>
      <c r="M185" s="4"/>
    </row>
    <row r="186" spans="1:13" ht="15.75" customHeight="1" x14ac:dyDescent="0.25">
      <c r="A186" s="63"/>
      <c r="B186" s="64" t="s">
        <v>299</v>
      </c>
      <c r="C186" s="65"/>
      <c r="D186" s="65"/>
      <c r="E186" s="66" t="s">
        <v>300</v>
      </c>
      <c r="F186" s="67"/>
      <c r="G186" s="65"/>
      <c r="H186" s="68"/>
      <c r="I186" s="534"/>
      <c r="J186" s="92"/>
      <c r="K186" s="4"/>
      <c r="L186" s="4"/>
      <c r="M186" s="4"/>
    </row>
    <row r="187" spans="1:13" ht="58.5" customHeight="1" x14ac:dyDescent="0.25">
      <c r="A187" s="31">
        <v>110</v>
      </c>
      <c r="B187" s="32" t="s">
        <v>301</v>
      </c>
      <c r="C187" s="33" t="s">
        <v>21</v>
      </c>
      <c r="D187" s="1"/>
      <c r="E187" s="47" t="s">
        <v>302</v>
      </c>
      <c r="F187" s="48" t="s">
        <v>44</v>
      </c>
      <c r="G187" s="49">
        <v>1</v>
      </c>
      <c r="H187" s="59">
        <v>569763</v>
      </c>
      <c r="I187" s="525">
        <f t="shared" ref="I187:I189" si="49">+J187*G187</f>
        <v>742686.07050000003</v>
      </c>
      <c r="J187" s="86">
        <f t="shared" ref="J187:J189" si="50">+H187*$J$9</f>
        <v>742686.07050000003</v>
      </c>
      <c r="K187" s="4"/>
      <c r="L187" s="4"/>
      <c r="M187" s="4"/>
    </row>
    <row r="188" spans="1:13" ht="56.25" customHeight="1" x14ac:dyDescent="0.25">
      <c r="A188" s="31">
        <v>111</v>
      </c>
      <c r="B188" s="32" t="s">
        <v>303</v>
      </c>
      <c r="C188" s="33" t="s">
        <v>21</v>
      </c>
      <c r="D188" s="1"/>
      <c r="E188" s="34" t="s">
        <v>304</v>
      </c>
      <c r="F188" s="32" t="s">
        <v>44</v>
      </c>
      <c r="G188" s="33">
        <v>1</v>
      </c>
      <c r="H188" s="35">
        <v>626626</v>
      </c>
      <c r="I188" s="525">
        <f t="shared" si="49"/>
        <v>816806.99100000004</v>
      </c>
      <c r="J188" s="86">
        <f t="shared" si="50"/>
        <v>816806.99100000004</v>
      </c>
      <c r="K188" s="4"/>
      <c r="L188" s="4"/>
      <c r="M188" s="4"/>
    </row>
    <row r="189" spans="1:13" ht="45.75" customHeight="1" x14ac:dyDescent="0.25">
      <c r="A189" s="31">
        <v>112</v>
      </c>
      <c r="B189" s="32" t="s">
        <v>305</v>
      </c>
      <c r="C189" s="33" t="s">
        <v>21</v>
      </c>
      <c r="D189" s="1"/>
      <c r="E189" s="50" t="s">
        <v>306</v>
      </c>
      <c r="F189" s="51" t="s">
        <v>44</v>
      </c>
      <c r="G189" s="52">
        <v>1</v>
      </c>
      <c r="H189" s="60">
        <v>805970</v>
      </c>
      <c r="I189" s="525">
        <f t="shared" si="49"/>
        <v>1050581.895</v>
      </c>
      <c r="J189" s="86">
        <f t="shared" si="50"/>
        <v>1050581.895</v>
      </c>
      <c r="K189" s="4"/>
      <c r="L189" s="4"/>
      <c r="M189" s="4"/>
    </row>
    <row r="190" spans="1:13" ht="15.75" customHeight="1" x14ac:dyDescent="0.25">
      <c r="A190" s="53" t="s">
        <v>33</v>
      </c>
      <c r="B190" s="87"/>
      <c r="C190" s="55"/>
      <c r="D190" s="55"/>
      <c r="E190" s="88"/>
      <c r="F190" s="54"/>
      <c r="G190" s="55"/>
      <c r="H190" s="57"/>
      <c r="I190" s="533">
        <f>SUM(I187:I189)</f>
        <v>2610074.9565000003</v>
      </c>
      <c r="J190" s="86"/>
      <c r="K190" s="4"/>
      <c r="L190" s="4"/>
      <c r="M190" s="4"/>
    </row>
    <row r="191" spans="1:13" ht="15.75" customHeight="1" x14ac:dyDescent="0.25">
      <c r="A191" s="63"/>
      <c r="B191" s="64" t="s">
        <v>307</v>
      </c>
      <c r="C191" s="65"/>
      <c r="D191" s="65"/>
      <c r="E191" s="66" t="s">
        <v>308</v>
      </c>
      <c r="F191" s="67"/>
      <c r="G191" s="65"/>
      <c r="H191" s="68"/>
      <c r="I191" s="534"/>
      <c r="J191" s="92"/>
      <c r="K191" s="4"/>
      <c r="L191" s="4"/>
      <c r="M191" s="4"/>
    </row>
    <row r="192" spans="1:13" ht="15.75" customHeight="1" x14ac:dyDescent="0.25">
      <c r="A192" s="31">
        <v>113</v>
      </c>
      <c r="B192" s="32" t="s">
        <v>309</v>
      </c>
      <c r="C192" s="33" t="s">
        <v>21</v>
      </c>
      <c r="D192" s="1"/>
      <c r="E192" s="47" t="s">
        <v>310</v>
      </c>
      <c r="F192" s="48" t="s">
        <v>23</v>
      </c>
      <c r="G192" s="49">
        <v>10</v>
      </c>
      <c r="H192" s="59">
        <v>4426</v>
      </c>
      <c r="I192" s="525">
        <f t="shared" ref="I192:I195" si="51">+J192*G192</f>
        <v>57692.91</v>
      </c>
      <c r="J192" s="86">
        <f t="shared" ref="J192:J196" si="52">+H192*$J$9</f>
        <v>5769.2910000000002</v>
      </c>
      <c r="K192" s="4"/>
      <c r="L192" s="4"/>
      <c r="M192" s="4"/>
    </row>
    <row r="193" spans="1:13" ht="15.75" customHeight="1" x14ac:dyDescent="0.25">
      <c r="A193" s="31">
        <v>114</v>
      </c>
      <c r="B193" s="32" t="s">
        <v>311</v>
      </c>
      <c r="C193" s="33" t="s">
        <v>21</v>
      </c>
      <c r="D193" s="1"/>
      <c r="E193" s="34" t="s">
        <v>312</v>
      </c>
      <c r="F193" s="32" t="s">
        <v>23</v>
      </c>
      <c r="G193" s="33">
        <v>10</v>
      </c>
      <c r="H193" s="35">
        <v>4796</v>
      </c>
      <c r="I193" s="525">
        <f t="shared" si="51"/>
        <v>62515.86</v>
      </c>
      <c r="J193" s="86">
        <f t="shared" si="52"/>
        <v>6251.5860000000002</v>
      </c>
      <c r="K193" s="4"/>
      <c r="L193" s="4"/>
      <c r="M193" s="4"/>
    </row>
    <row r="194" spans="1:13" ht="15.75" customHeight="1" x14ac:dyDescent="0.25">
      <c r="A194" s="31">
        <v>115</v>
      </c>
      <c r="B194" s="32" t="s">
        <v>313</v>
      </c>
      <c r="C194" s="33" t="s">
        <v>21</v>
      </c>
      <c r="D194" s="1"/>
      <c r="E194" s="34" t="s">
        <v>314</v>
      </c>
      <c r="F194" s="32" t="s">
        <v>23</v>
      </c>
      <c r="G194" s="33">
        <v>10</v>
      </c>
      <c r="H194" s="35">
        <v>5815</v>
      </c>
      <c r="I194" s="525">
        <f t="shared" si="51"/>
        <v>75798.525000000009</v>
      </c>
      <c r="J194" s="86">
        <f t="shared" si="52"/>
        <v>7579.8525000000009</v>
      </c>
      <c r="K194" s="4"/>
      <c r="L194" s="4"/>
      <c r="M194" s="4"/>
    </row>
    <row r="195" spans="1:13" ht="15.75" customHeight="1" x14ac:dyDescent="0.25">
      <c r="A195" s="31">
        <v>116</v>
      </c>
      <c r="B195" s="32" t="s">
        <v>315</v>
      </c>
      <c r="C195" s="33" t="s">
        <v>21</v>
      </c>
      <c r="D195" s="1"/>
      <c r="E195" s="34" t="s">
        <v>316</v>
      </c>
      <c r="F195" s="32" t="s">
        <v>23</v>
      </c>
      <c r="G195" s="33">
        <v>10</v>
      </c>
      <c r="H195" s="35">
        <v>8028</v>
      </c>
      <c r="I195" s="525">
        <f t="shared" si="51"/>
        <v>104644.98000000001</v>
      </c>
      <c r="J195" s="86">
        <f t="shared" si="52"/>
        <v>10464.498000000001</v>
      </c>
      <c r="K195" s="4"/>
      <c r="L195" s="4"/>
      <c r="M195" s="4"/>
    </row>
    <row r="196" spans="1:13" ht="15.75" customHeight="1" x14ac:dyDescent="0.25">
      <c r="A196" s="93" t="s">
        <v>33</v>
      </c>
      <c r="B196" s="54"/>
      <c r="C196" s="55"/>
      <c r="D196" s="55"/>
      <c r="E196" s="88"/>
      <c r="F196" s="54"/>
      <c r="G196" s="55"/>
      <c r="H196" s="57"/>
      <c r="I196" s="533">
        <f>SUM(I192:I195)</f>
        <v>300652.27500000002</v>
      </c>
      <c r="J196" s="86">
        <f t="shared" si="52"/>
        <v>0</v>
      </c>
      <c r="K196" s="4"/>
      <c r="L196" s="4"/>
      <c r="M196" s="4"/>
    </row>
    <row r="197" spans="1:13" ht="15.75" customHeight="1" x14ac:dyDescent="0.25">
      <c r="A197" s="16"/>
      <c r="B197" s="17">
        <v>9</v>
      </c>
      <c r="C197" s="19"/>
      <c r="D197" s="19"/>
      <c r="E197" s="20" t="s">
        <v>317</v>
      </c>
      <c r="F197" s="21"/>
      <c r="G197" s="19"/>
      <c r="H197" s="43"/>
      <c r="I197" s="535"/>
      <c r="J197" s="92"/>
      <c r="K197" s="4"/>
      <c r="L197" s="4"/>
      <c r="M197" s="4"/>
    </row>
    <row r="198" spans="1:13" ht="15.75" customHeight="1" x14ac:dyDescent="0.25">
      <c r="A198" s="24"/>
      <c r="B198" s="25" t="s">
        <v>318</v>
      </c>
      <c r="C198" s="27"/>
      <c r="D198" s="27"/>
      <c r="E198" s="28" t="s">
        <v>319</v>
      </c>
      <c r="F198" s="29"/>
      <c r="G198" s="27"/>
      <c r="H198" s="58"/>
      <c r="I198" s="536"/>
      <c r="J198" s="92"/>
      <c r="K198" s="4"/>
      <c r="L198" s="4"/>
      <c r="M198" s="4"/>
    </row>
    <row r="199" spans="1:13" ht="15.75" customHeight="1" x14ac:dyDescent="0.25">
      <c r="A199" s="31">
        <v>121</v>
      </c>
      <c r="B199" s="32" t="s">
        <v>320</v>
      </c>
      <c r="C199" s="33" t="s">
        <v>21</v>
      </c>
      <c r="D199" s="1"/>
      <c r="E199" s="353" t="s">
        <v>321</v>
      </c>
      <c r="F199" s="354" t="s">
        <v>39</v>
      </c>
      <c r="G199" s="355">
        <v>1</v>
      </c>
      <c r="H199" s="356">
        <v>582591</v>
      </c>
      <c r="I199" s="525">
        <f t="shared" ref="I199" si="53">+J199*G199</f>
        <v>759407.3685000001</v>
      </c>
      <c r="J199" s="86">
        <f t="shared" ref="J199" si="54">+H199*$J$9</f>
        <v>759407.3685000001</v>
      </c>
      <c r="K199" s="4"/>
      <c r="L199" s="4"/>
      <c r="M199" s="4"/>
    </row>
    <row r="200" spans="1:13" ht="15.75" customHeight="1" x14ac:dyDescent="0.25">
      <c r="A200" s="93" t="s">
        <v>33</v>
      </c>
      <c r="B200" s="54"/>
      <c r="C200" s="55"/>
      <c r="D200" s="55"/>
      <c r="E200" s="88"/>
      <c r="F200" s="54"/>
      <c r="G200" s="55"/>
      <c r="H200" s="57"/>
      <c r="I200" s="533">
        <f>SUM(I199:I199)</f>
        <v>759407.3685000001</v>
      </c>
      <c r="J200" s="86"/>
      <c r="K200" s="4"/>
      <c r="L200" s="4"/>
      <c r="M200" s="4"/>
    </row>
    <row r="201" spans="1:13" ht="15.75" customHeight="1" x14ac:dyDescent="0.25">
      <c r="A201" s="63"/>
      <c r="B201" s="64" t="s">
        <v>322</v>
      </c>
      <c r="C201" s="65"/>
      <c r="D201" s="65"/>
      <c r="E201" s="66" t="s">
        <v>323</v>
      </c>
      <c r="F201" s="67"/>
      <c r="G201" s="65"/>
      <c r="H201" s="68"/>
      <c r="I201" s="534"/>
      <c r="J201" s="95"/>
      <c r="K201" s="4"/>
      <c r="L201" s="4"/>
      <c r="M201" s="4"/>
    </row>
    <row r="202" spans="1:13" ht="15.75" customHeight="1" x14ac:dyDescent="0.25">
      <c r="A202" s="31">
        <v>111</v>
      </c>
      <c r="B202" s="32" t="s">
        <v>324</v>
      </c>
      <c r="C202" s="33" t="s">
        <v>21</v>
      </c>
      <c r="D202" s="1"/>
      <c r="E202" s="372" t="s">
        <v>325</v>
      </c>
      <c r="F202" s="373" t="s">
        <v>39</v>
      </c>
      <c r="G202" s="369">
        <v>2</v>
      </c>
      <c r="H202" s="374">
        <v>780247</v>
      </c>
      <c r="I202" s="525">
        <f t="shared" ref="I202" si="55">+J202*G202</f>
        <v>2034103.9290000002</v>
      </c>
      <c r="J202" s="86">
        <f t="shared" ref="J202" si="56">+H202*$J$9</f>
        <v>1017051.9645000001</v>
      </c>
      <c r="K202" s="4"/>
      <c r="L202" s="4"/>
      <c r="M202" s="4"/>
    </row>
    <row r="203" spans="1:13" ht="15.75" customHeight="1" x14ac:dyDescent="0.25">
      <c r="A203" s="93" t="s">
        <v>33</v>
      </c>
      <c r="B203" s="54"/>
      <c r="C203" s="55"/>
      <c r="D203" s="55"/>
      <c r="E203" s="88"/>
      <c r="F203" s="54"/>
      <c r="G203" s="55"/>
      <c r="H203" s="57"/>
      <c r="I203" s="533">
        <f>SUM(I202:I202)</f>
        <v>2034103.9290000002</v>
      </c>
      <c r="J203" s="86"/>
      <c r="K203" s="4"/>
      <c r="L203" s="4"/>
      <c r="M203" s="4"/>
    </row>
    <row r="204" spans="1:13" ht="15.75" customHeight="1" x14ac:dyDescent="0.25">
      <c r="A204" s="63"/>
      <c r="B204" s="64" t="s">
        <v>327</v>
      </c>
      <c r="C204" s="65"/>
      <c r="D204" s="65"/>
      <c r="E204" s="66" t="s">
        <v>328</v>
      </c>
      <c r="F204" s="67"/>
      <c r="G204" s="65"/>
      <c r="H204" s="68"/>
      <c r="I204" s="534"/>
      <c r="J204" s="92"/>
      <c r="K204" s="4"/>
      <c r="L204" s="4"/>
      <c r="M204" s="4"/>
    </row>
    <row r="205" spans="1:13" ht="15.75" customHeight="1" x14ac:dyDescent="0.25">
      <c r="A205" s="31">
        <v>123</v>
      </c>
      <c r="B205" s="32" t="s">
        <v>329</v>
      </c>
      <c r="C205" s="33" t="s">
        <v>21</v>
      </c>
      <c r="D205" s="1"/>
      <c r="E205" s="47" t="s">
        <v>330</v>
      </c>
      <c r="F205" s="48" t="s">
        <v>39</v>
      </c>
      <c r="G205" s="49">
        <v>1</v>
      </c>
      <c r="H205" s="59">
        <v>459952</v>
      </c>
      <c r="I205" s="525">
        <f t="shared" ref="I205:I207" si="57">+J205*G205</f>
        <v>599547.43200000003</v>
      </c>
      <c r="J205" s="86">
        <f t="shared" ref="J205:J207" si="58">+H205*$J$9</f>
        <v>599547.43200000003</v>
      </c>
      <c r="K205" s="4"/>
      <c r="L205" s="4"/>
      <c r="M205" s="4"/>
    </row>
    <row r="206" spans="1:13" ht="15.75" customHeight="1" x14ac:dyDescent="0.25">
      <c r="A206" s="31">
        <v>124</v>
      </c>
      <c r="B206" s="32" t="s">
        <v>331</v>
      </c>
      <c r="C206" s="33" t="s">
        <v>21</v>
      </c>
      <c r="D206" s="1"/>
      <c r="E206" s="34" t="s">
        <v>332</v>
      </c>
      <c r="F206" s="32" t="s">
        <v>39</v>
      </c>
      <c r="G206" s="33">
        <v>1</v>
      </c>
      <c r="H206" s="35">
        <v>478003</v>
      </c>
      <c r="I206" s="525">
        <f t="shared" si="57"/>
        <v>623076.9105</v>
      </c>
      <c r="J206" s="86">
        <f t="shared" si="58"/>
        <v>623076.9105</v>
      </c>
      <c r="K206" s="4"/>
      <c r="L206" s="4"/>
      <c r="M206" s="4"/>
    </row>
    <row r="207" spans="1:13" ht="15.75" customHeight="1" x14ac:dyDescent="0.25">
      <c r="A207" s="31">
        <v>125</v>
      </c>
      <c r="B207" s="32">
        <v>6.5</v>
      </c>
      <c r="C207" s="33" t="s">
        <v>333</v>
      </c>
      <c r="D207" s="1"/>
      <c r="E207" s="34" t="s">
        <v>334</v>
      </c>
      <c r="F207" s="32" t="s">
        <v>26</v>
      </c>
      <c r="G207" s="33">
        <v>15</v>
      </c>
      <c r="H207" s="35">
        <v>10224</v>
      </c>
      <c r="I207" s="525">
        <f t="shared" si="57"/>
        <v>199904.76</v>
      </c>
      <c r="J207" s="86">
        <f t="shared" si="58"/>
        <v>13326.984</v>
      </c>
      <c r="K207" s="4"/>
      <c r="L207" s="4"/>
      <c r="M207" s="4"/>
    </row>
    <row r="208" spans="1:13" ht="15.75" customHeight="1" x14ac:dyDescent="0.25">
      <c r="A208" s="93" t="s">
        <v>33</v>
      </c>
      <c r="B208" s="54"/>
      <c r="C208" s="55"/>
      <c r="D208" s="55"/>
      <c r="E208" s="88"/>
      <c r="F208" s="54"/>
      <c r="G208" s="55"/>
      <c r="H208" s="57"/>
      <c r="I208" s="533">
        <f>SUM(I205:I207)</f>
        <v>1422529.1025</v>
      </c>
      <c r="J208" s="86"/>
      <c r="K208" s="4"/>
      <c r="L208" s="4"/>
      <c r="M208" s="4"/>
    </row>
    <row r="209" spans="1:13" ht="15.75" customHeight="1" x14ac:dyDescent="0.25">
      <c r="A209" s="63"/>
      <c r="B209" s="64" t="s">
        <v>335</v>
      </c>
      <c r="C209" s="65"/>
      <c r="D209" s="65"/>
      <c r="E209" s="66" t="s">
        <v>336</v>
      </c>
      <c r="F209" s="67"/>
      <c r="G209" s="65"/>
      <c r="H209" s="68"/>
      <c r="I209" s="534"/>
      <c r="J209" s="92"/>
      <c r="K209" s="4"/>
      <c r="L209" s="4"/>
      <c r="M209" s="4"/>
    </row>
    <row r="210" spans="1:13" ht="15.75" customHeight="1" x14ac:dyDescent="0.25">
      <c r="A210" s="31">
        <v>126</v>
      </c>
      <c r="B210" s="32">
        <v>11774</v>
      </c>
      <c r="C210" s="327" t="s">
        <v>151</v>
      </c>
      <c r="D210" s="1"/>
      <c r="E210" s="353" t="s">
        <v>337</v>
      </c>
      <c r="F210" s="354" t="s">
        <v>338</v>
      </c>
      <c r="G210" s="355">
        <v>50</v>
      </c>
      <c r="H210" s="356">
        <v>6157</v>
      </c>
      <c r="I210" s="525">
        <f t="shared" ref="I210:I212" si="59">+J210*G210</f>
        <v>401282.47500000003</v>
      </c>
      <c r="J210" s="86">
        <f t="shared" ref="J210:J212" si="60">+H210*$J$9</f>
        <v>8025.6495000000004</v>
      </c>
      <c r="K210" s="4"/>
      <c r="L210" s="4"/>
      <c r="M210" s="4"/>
    </row>
    <row r="211" spans="1:13" ht="15.75" customHeight="1" x14ac:dyDescent="0.25">
      <c r="A211" s="31">
        <v>177</v>
      </c>
      <c r="B211" s="32" t="s">
        <v>339</v>
      </c>
      <c r="C211" s="33" t="s">
        <v>21</v>
      </c>
      <c r="D211" s="1"/>
      <c r="E211" s="353" t="s">
        <v>340</v>
      </c>
      <c r="F211" s="354" t="s">
        <v>338</v>
      </c>
      <c r="G211" s="355">
        <v>50</v>
      </c>
      <c r="H211" s="356">
        <v>6554</v>
      </c>
      <c r="I211" s="525">
        <f t="shared" si="59"/>
        <v>427156.95000000007</v>
      </c>
      <c r="J211" s="86">
        <f t="shared" si="60"/>
        <v>8543.139000000001</v>
      </c>
      <c r="K211" s="4"/>
      <c r="L211" s="4"/>
      <c r="M211" s="4"/>
    </row>
    <row r="212" spans="1:13" ht="15.75" customHeight="1" x14ac:dyDescent="0.25">
      <c r="A212" s="31">
        <v>178</v>
      </c>
      <c r="B212" s="32" t="s">
        <v>341</v>
      </c>
      <c r="C212" s="33" t="s">
        <v>21</v>
      </c>
      <c r="D212" s="1"/>
      <c r="E212" s="353" t="s">
        <v>342</v>
      </c>
      <c r="F212" s="354" t="s">
        <v>338</v>
      </c>
      <c r="G212" s="355">
        <v>60</v>
      </c>
      <c r="H212" s="356">
        <v>10021</v>
      </c>
      <c r="I212" s="525">
        <f t="shared" si="59"/>
        <v>783742.41000000015</v>
      </c>
      <c r="J212" s="86">
        <f t="shared" si="60"/>
        <v>13062.373500000002</v>
      </c>
      <c r="K212" s="4"/>
      <c r="L212" s="4"/>
      <c r="M212" s="4"/>
    </row>
    <row r="213" spans="1:13" ht="15.75" customHeight="1" x14ac:dyDescent="0.25">
      <c r="A213" s="93" t="s">
        <v>33</v>
      </c>
      <c r="B213" s="54"/>
      <c r="C213" s="55"/>
      <c r="D213" s="55"/>
      <c r="E213" s="88"/>
      <c r="F213" s="54"/>
      <c r="G213" s="55"/>
      <c r="H213" s="57"/>
      <c r="I213" s="533">
        <f>SUM(I210:I212)</f>
        <v>1612181.8350000002</v>
      </c>
      <c r="J213" s="86"/>
      <c r="K213" s="4"/>
      <c r="L213" s="4"/>
      <c r="M213" s="4"/>
    </row>
    <row r="214" spans="1:13" ht="15.75" customHeight="1" x14ac:dyDescent="0.25">
      <c r="A214" s="63"/>
      <c r="B214" s="64" t="s">
        <v>343</v>
      </c>
      <c r="C214" s="65"/>
      <c r="D214" s="65"/>
      <c r="E214" s="66" t="s">
        <v>344</v>
      </c>
      <c r="F214" s="67"/>
      <c r="G214" s="65"/>
      <c r="H214" s="68"/>
      <c r="I214" s="534"/>
      <c r="J214" s="92"/>
      <c r="K214" s="4"/>
      <c r="L214" s="4"/>
      <c r="M214" s="4"/>
    </row>
    <row r="215" spans="1:13" ht="15.75" customHeight="1" x14ac:dyDescent="0.25">
      <c r="A215" s="31">
        <v>179</v>
      </c>
      <c r="B215" s="32" t="s">
        <v>345</v>
      </c>
      <c r="C215" s="33" t="s">
        <v>21</v>
      </c>
      <c r="D215" s="1"/>
      <c r="E215" s="34" t="s">
        <v>346</v>
      </c>
      <c r="F215" s="32" t="s">
        <v>338</v>
      </c>
      <c r="G215" s="33">
        <v>25</v>
      </c>
      <c r="H215" s="35">
        <v>204365</v>
      </c>
      <c r="I215" s="525">
        <f t="shared" ref="I215:I217" si="61">+J215*G215</f>
        <v>6659744.4375000009</v>
      </c>
      <c r="J215" s="86">
        <f t="shared" ref="J215:J217" si="62">+H215*$J$9</f>
        <v>266389.77750000003</v>
      </c>
      <c r="K215" s="4"/>
      <c r="L215" s="4"/>
      <c r="M215" s="4"/>
    </row>
    <row r="216" spans="1:13" ht="15.75" customHeight="1" x14ac:dyDescent="0.25">
      <c r="A216" s="31">
        <v>127</v>
      </c>
      <c r="B216" s="32" t="s">
        <v>347</v>
      </c>
      <c r="C216" s="33" t="s">
        <v>21</v>
      </c>
      <c r="D216" s="1"/>
      <c r="E216" s="353" t="s">
        <v>348</v>
      </c>
      <c r="F216" s="354" t="s">
        <v>338</v>
      </c>
      <c r="G216" s="385">
        <v>20</v>
      </c>
      <c r="H216" s="356">
        <v>26669</v>
      </c>
      <c r="I216" s="525">
        <f t="shared" si="61"/>
        <v>695260.83</v>
      </c>
      <c r="J216" s="86">
        <f t="shared" si="62"/>
        <v>34763.041499999999</v>
      </c>
      <c r="K216" s="4"/>
      <c r="L216" s="4"/>
      <c r="M216" s="4"/>
    </row>
    <row r="217" spans="1:13" ht="15.75" customHeight="1" x14ac:dyDescent="0.25">
      <c r="A217" s="31">
        <v>181</v>
      </c>
      <c r="B217" s="32" t="s">
        <v>349</v>
      </c>
      <c r="C217" s="33" t="s">
        <v>21</v>
      </c>
      <c r="D217" s="1"/>
      <c r="E217" s="34" t="s">
        <v>350</v>
      </c>
      <c r="F217" s="32" t="s">
        <v>338</v>
      </c>
      <c r="G217" s="33">
        <v>25</v>
      </c>
      <c r="H217" s="35">
        <v>20295</v>
      </c>
      <c r="I217" s="525">
        <f t="shared" si="61"/>
        <v>661363.3125</v>
      </c>
      <c r="J217" s="86">
        <f t="shared" si="62"/>
        <v>26454.532500000001</v>
      </c>
      <c r="K217" s="4"/>
      <c r="L217" s="4"/>
      <c r="M217" s="4"/>
    </row>
    <row r="218" spans="1:13" ht="15.75" customHeight="1" x14ac:dyDescent="0.25">
      <c r="A218" s="93" t="s">
        <v>33</v>
      </c>
      <c r="B218" s="54"/>
      <c r="C218" s="55"/>
      <c r="D218" s="55"/>
      <c r="E218" s="88"/>
      <c r="F218" s="54"/>
      <c r="G218" s="55"/>
      <c r="H218" s="57"/>
      <c r="I218" s="533">
        <f>SUM(I215:I217)</f>
        <v>8016368.580000001</v>
      </c>
      <c r="J218" s="86"/>
      <c r="K218" s="4"/>
      <c r="L218" s="4"/>
      <c r="M218" s="4"/>
    </row>
    <row r="219" spans="1:13" ht="15.75" customHeight="1" x14ac:dyDescent="0.25">
      <c r="A219" s="63"/>
      <c r="B219" s="64" t="s">
        <v>351</v>
      </c>
      <c r="C219" s="65"/>
      <c r="D219" s="65"/>
      <c r="E219" s="66" t="s">
        <v>352</v>
      </c>
      <c r="F219" s="67"/>
      <c r="G219" s="65"/>
      <c r="H219" s="68"/>
      <c r="I219" s="534"/>
      <c r="J219" s="92"/>
      <c r="K219" s="4"/>
      <c r="L219" s="4"/>
      <c r="M219" s="4"/>
    </row>
    <row r="220" spans="1:13" ht="15.75" customHeight="1" x14ac:dyDescent="0.25">
      <c r="A220" s="31">
        <v>128</v>
      </c>
      <c r="B220" s="32" t="s">
        <v>353</v>
      </c>
      <c r="C220" s="33" t="s">
        <v>21</v>
      </c>
      <c r="D220" s="1"/>
      <c r="E220" s="34" t="s">
        <v>354</v>
      </c>
      <c r="F220" s="32" t="s">
        <v>23</v>
      </c>
      <c r="G220" s="33">
        <v>10</v>
      </c>
      <c r="H220" s="35">
        <v>62604</v>
      </c>
      <c r="I220" s="525">
        <f t="shared" ref="I220:I221" si="63">+J220*G220</f>
        <v>816043.14000000013</v>
      </c>
      <c r="J220" s="86">
        <f t="shared" ref="J220:J221" si="64">+H220*$J$9</f>
        <v>81604.314000000013</v>
      </c>
      <c r="K220" s="4"/>
      <c r="L220" s="4"/>
      <c r="M220" s="4"/>
    </row>
    <row r="221" spans="1:13" ht="15.75" customHeight="1" x14ac:dyDescent="0.25">
      <c r="A221" s="31">
        <v>129</v>
      </c>
      <c r="B221" s="32" t="s">
        <v>355</v>
      </c>
      <c r="C221" s="33" t="s">
        <v>21</v>
      </c>
      <c r="D221" s="1"/>
      <c r="E221" s="50" t="s">
        <v>356</v>
      </c>
      <c r="F221" s="51" t="s">
        <v>23</v>
      </c>
      <c r="G221" s="52">
        <v>10</v>
      </c>
      <c r="H221" s="35">
        <v>110863</v>
      </c>
      <c r="I221" s="525">
        <f t="shared" si="63"/>
        <v>1445099.2050000001</v>
      </c>
      <c r="J221" s="86">
        <f t="shared" si="64"/>
        <v>144509.92050000001</v>
      </c>
      <c r="K221" s="4"/>
      <c r="L221" s="4"/>
      <c r="M221" s="4"/>
    </row>
    <row r="222" spans="1:13" ht="15.75" customHeight="1" x14ac:dyDescent="0.25">
      <c r="A222" s="93" t="s">
        <v>33</v>
      </c>
      <c r="B222" s="54"/>
      <c r="C222" s="55"/>
      <c r="D222" s="55"/>
      <c r="E222" s="88"/>
      <c r="F222" s="54"/>
      <c r="G222" s="55"/>
      <c r="H222" s="57"/>
      <c r="I222" s="533">
        <f>SUM(I220:I221)</f>
        <v>2261142.3450000002</v>
      </c>
      <c r="J222" s="86"/>
      <c r="K222" s="4"/>
      <c r="L222" s="4"/>
      <c r="M222" s="4"/>
    </row>
    <row r="223" spans="1:13" ht="15.75" customHeight="1" x14ac:dyDescent="0.25">
      <c r="A223" s="63"/>
      <c r="B223" s="65" t="s">
        <v>357</v>
      </c>
      <c r="C223" s="65"/>
      <c r="D223" s="65"/>
      <c r="E223" s="66" t="s">
        <v>358</v>
      </c>
      <c r="F223" s="65"/>
      <c r="G223" s="65"/>
      <c r="H223" s="68"/>
      <c r="I223" s="534"/>
      <c r="J223" s="92"/>
      <c r="K223" s="4"/>
      <c r="L223" s="4"/>
      <c r="M223" s="4"/>
    </row>
    <row r="224" spans="1:13" ht="15.75" customHeight="1" x14ac:dyDescent="0.25">
      <c r="A224" s="31">
        <v>130</v>
      </c>
      <c r="B224" s="32" t="s">
        <v>359</v>
      </c>
      <c r="C224" s="33" t="s">
        <v>21</v>
      </c>
      <c r="D224" s="1"/>
      <c r="E224" s="353" t="s">
        <v>360</v>
      </c>
      <c r="F224" s="354" t="s">
        <v>26</v>
      </c>
      <c r="G224" s="355">
        <v>10</v>
      </c>
      <c r="H224" s="356">
        <v>78962</v>
      </c>
      <c r="I224" s="525">
        <f t="shared" ref="I224:I228" si="65">+J224*G224</f>
        <v>1029269.67</v>
      </c>
      <c r="J224" s="86">
        <f t="shared" ref="J224:J228" si="66">+H224*$J$9</f>
        <v>102926.967</v>
      </c>
      <c r="K224" s="4"/>
      <c r="L224" s="4"/>
      <c r="M224" s="4"/>
    </row>
    <row r="225" spans="1:13" ht="15.75" customHeight="1" x14ac:dyDescent="0.25">
      <c r="A225" s="31">
        <v>131</v>
      </c>
      <c r="B225" s="32" t="s">
        <v>361</v>
      </c>
      <c r="C225" s="33" t="s">
        <v>21</v>
      </c>
      <c r="D225" s="1"/>
      <c r="E225" s="353" t="s">
        <v>362</v>
      </c>
      <c r="F225" s="354" t="s">
        <v>26</v>
      </c>
      <c r="G225" s="355">
        <v>10</v>
      </c>
      <c r="H225" s="356">
        <v>103322</v>
      </c>
      <c r="I225" s="525">
        <f t="shared" si="65"/>
        <v>1346802.27</v>
      </c>
      <c r="J225" s="86">
        <f t="shared" si="66"/>
        <v>134680.22700000001</v>
      </c>
      <c r="K225" s="4"/>
      <c r="L225" s="4"/>
      <c r="M225" s="4"/>
    </row>
    <row r="226" spans="1:13" ht="15.75" customHeight="1" x14ac:dyDescent="0.25">
      <c r="A226" s="31">
        <v>132</v>
      </c>
      <c r="B226" s="32" t="s">
        <v>363</v>
      </c>
      <c r="C226" s="33" t="s">
        <v>21</v>
      </c>
      <c r="D226" s="1"/>
      <c r="E226" s="353" t="s">
        <v>364</v>
      </c>
      <c r="F226" s="354" t="s">
        <v>26</v>
      </c>
      <c r="G226" s="355">
        <v>10</v>
      </c>
      <c r="H226" s="356">
        <v>25782</v>
      </c>
      <c r="I226" s="525">
        <f t="shared" si="65"/>
        <v>336068.37</v>
      </c>
      <c r="J226" s="86">
        <f t="shared" si="66"/>
        <v>33606.837</v>
      </c>
      <c r="K226" s="4"/>
      <c r="L226" s="4"/>
      <c r="M226" s="4"/>
    </row>
    <row r="227" spans="1:13" ht="15.75" customHeight="1" x14ac:dyDescent="0.25">
      <c r="A227" s="31">
        <v>133</v>
      </c>
      <c r="B227" s="32" t="s">
        <v>365</v>
      </c>
      <c r="C227" s="33" t="s">
        <v>21</v>
      </c>
      <c r="D227" s="1"/>
      <c r="E227" s="353" t="s">
        <v>366</v>
      </c>
      <c r="F227" s="354" t="s">
        <v>26</v>
      </c>
      <c r="G227" s="355">
        <v>10</v>
      </c>
      <c r="H227" s="356">
        <v>35703</v>
      </c>
      <c r="I227" s="525">
        <f t="shared" si="65"/>
        <v>465388.60500000004</v>
      </c>
      <c r="J227" s="86">
        <f t="shared" si="66"/>
        <v>46538.860500000003</v>
      </c>
      <c r="K227" s="4"/>
      <c r="L227" s="4"/>
      <c r="M227" s="4"/>
    </row>
    <row r="228" spans="1:13" ht="15.75" customHeight="1" x14ac:dyDescent="0.25">
      <c r="A228" s="31">
        <v>134</v>
      </c>
      <c r="B228" s="32" t="s">
        <v>367</v>
      </c>
      <c r="C228" s="33" t="s">
        <v>21</v>
      </c>
      <c r="D228" s="1"/>
      <c r="E228" s="353" t="s">
        <v>368</v>
      </c>
      <c r="F228" s="354" t="s">
        <v>26</v>
      </c>
      <c r="G228" s="355">
        <v>10</v>
      </c>
      <c r="H228" s="356">
        <v>40830</v>
      </c>
      <c r="I228" s="525">
        <f t="shared" si="65"/>
        <v>532219.05000000005</v>
      </c>
      <c r="J228" s="86">
        <f t="shared" si="66"/>
        <v>53221.905000000006</v>
      </c>
      <c r="K228" s="4"/>
      <c r="L228" s="4"/>
      <c r="M228" s="4"/>
    </row>
    <row r="229" spans="1:13" ht="15.75" customHeight="1" x14ac:dyDescent="0.25">
      <c r="A229" s="93" t="s">
        <v>33</v>
      </c>
      <c r="B229" s="54"/>
      <c r="C229" s="55"/>
      <c r="D229" s="55"/>
      <c r="E229" s="88"/>
      <c r="F229" s="54"/>
      <c r="G229" s="55"/>
      <c r="H229" s="57"/>
      <c r="I229" s="533">
        <f>SUM(I224:I228)</f>
        <v>3709747.9649999999</v>
      </c>
      <c r="J229" s="3"/>
      <c r="K229" s="4"/>
      <c r="L229" s="4"/>
      <c r="M229" s="4"/>
    </row>
    <row r="230" spans="1:13" ht="15.75" customHeight="1" x14ac:dyDescent="0.25">
      <c r="A230" s="63"/>
      <c r="B230" s="65" t="s">
        <v>369</v>
      </c>
      <c r="C230" s="65"/>
      <c r="D230" s="65"/>
      <c r="E230" s="66" t="s">
        <v>370</v>
      </c>
      <c r="F230" s="65"/>
      <c r="G230" s="65"/>
      <c r="H230" s="68"/>
      <c r="I230" s="534"/>
      <c r="J230" s="92"/>
      <c r="K230" s="4"/>
      <c r="L230" s="4"/>
      <c r="M230" s="4"/>
    </row>
    <row r="231" spans="1:13" ht="15.75" customHeight="1" x14ac:dyDescent="0.25">
      <c r="A231" s="31">
        <v>135</v>
      </c>
      <c r="B231" s="32" t="s">
        <v>371</v>
      </c>
      <c r="C231" s="33" t="s">
        <v>21</v>
      </c>
      <c r="D231" s="1"/>
      <c r="E231" s="34" t="s">
        <v>372</v>
      </c>
      <c r="F231" s="32" t="s">
        <v>26</v>
      </c>
      <c r="G231" s="33">
        <v>25</v>
      </c>
      <c r="H231" s="35">
        <v>45399</v>
      </c>
      <c r="I231" s="525">
        <f t="shared" ref="I231:I234" si="67">+J231*G231</f>
        <v>1479439.9125000001</v>
      </c>
      <c r="J231" s="86">
        <f t="shared" ref="J231:J234" si="68">+H231*$J$9</f>
        <v>59177.596500000007</v>
      </c>
      <c r="K231" s="4"/>
      <c r="L231" s="4"/>
      <c r="M231" s="4"/>
    </row>
    <row r="232" spans="1:13" ht="15.75" customHeight="1" x14ac:dyDescent="0.25">
      <c r="A232" s="31">
        <v>137</v>
      </c>
      <c r="B232" s="32" t="s">
        <v>375</v>
      </c>
      <c r="C232" s="33" t="s">
        <v>21</v>
      </c>
      <c r="D232" s="1"/>
      <c r="E232" s="34" t="s">
        <v>376</v>
      </c>
      <c r="F232" s="32" t="s">
        <v>26</v>
      </c>
      <c r="G232" s="33">
        <v>25</v>
      </c>
      <c r="H232" s="35">
        <v>52173</v>
      </c>
      <c r="I232" s="525">
        <f t="shared" si="67"/>
        <v>1700187.6375</v>
      </c>
      <c r="J232" s="86">
        <f t="shared" si="68"/>
        <v>68007.505499999999</v>
      </c>
      <c r="K232" s="4"/>
      <c r="L232" s="4"/>
      <c r="M232" s="4"/>
    </row>
    <row r="233" spans="1:13" ht="15.75" customHeight="1" x14ac:dyDescent="0.25">
      <c r="A233" s="31">
        <v>136</v>
      </c>
      <c r="B233" s="32" t="s">
        <v>373</v>
      </c>
      <c r="C233" s="33" t="s">
        <v>21</v>
      </c>
      <c r="D233" s="1"/>
      <c r="E233" s="34" t="s">
        <v>374</v>
      </c>
      <c r="F233" s="32" t="s">
        <v>26</v>
      </c>
      <c r="G233" s="33">
        <v>40</v>
      </c>
      <c r="H233" s="35">
        <v>104969</v>
      </c>
      <c r="I233" s="525">
        <f>+J233*G233</f>
        <v>5473083.6600000001</v>
      </c>
      <c r="J233" s="86">
        <f>+H233*$J$9</f>
        <v>136827.09150000001</v>
      </c>
      <c r="K233" s="4"/>
      <c r="L233" s="4"/>
      <c r="M233" s="4"/>
    </row>
    <row r="234" spans="1:13" ht="15.75" customHeight="1" x14ac:dyDescent="0.25">
      <c r="A234" s="31">
        <v>138</v>
      </c>
      <c r="B234" s="32">
        <v>7.12</v>
      </c>
      <c r="C234" s="33" t="s">
        <v>333</v>
      </c>
      <c r="D234" s="1"/>
      <c r="E234" s="34" t="s">
        <v>377</v>
      </c>
      <c r="F234" s="32" t="s">
        <v>23</v>
      </c>
      <c r="G234" s="33">
        <v>24</v>
      </c>
      <c r="H234" s="35">
        <v>84588</v>
      </c>
      <c r="I234" s="525">
        <f t="shared" si="67"/>
        <v>2646250.9920000006</v>
      </c>
      <c r="J234" s="86">
        <f t="shared" si="68"/>
        <v>110260.45800000001</v>
      </c>
      <c r="K234" s="4"/>
      <c r="L234" s="4"/>
      <c r="M234" s="4"/>
    </row>
    <row r="235" spans="1:13" ht="15.75" customHeight="1" x14ac:dyDescent="0.25">
      <c r="A235" s="93" t="s">
        <v>33</v>
      </c>
      <c r="B235" s="54"/>
      <c r="C235" s="55"/>
      <c r="D235" s="55"/>
      <c r="E235" s="88"/>
      <c r="F235" s="54"/>
      <c r="G235" s="55"/>
      <c r="H235" s="57"/>
      <c r="I235" s="533">
        <f>SUM(I231:I234)</f>
        <v>11298962.202000001</v>
      </c>
      <c r="J235" s="3"/>
      <c r="K235" s="4"/>
      <c r="L235" s="4"/>
      <c r="M235" s="4"/>
    </row>
    <row r="236" spans="1:13" ht="15.75" customHeight="1" x14ac:dyDescent="0.25">
      <c r="A236" s="63"/>
      <c r="B236" s="65" t="s">
        <v>378</v>
      </c>
      <c r="C236" s="65"/>
      <c r="D236" s="65"/>
      <c r="E236" s="66" t="s">
        <v>379</v>
      </c>
      <c r="F236" s="65"/>
      <c r="G236" s="65"/>
      <c r="H236" s="68"/>
      <c r="I236" s="534"/>
      <c r="J236" s="92"/>
      <c r="K236" s="4"/>
      <c r="L236" s="4"/>
      <c r="M236" s="4"/>
    </row>
    <row r="237" spans="1:13" ht="15.75" customHeight="1" x14ac:dyDescent="0.25">
      <c r="A237" s="31">
        <v>196</v>
      </c>
      <c r="B237" s="32" t="s">
        <v>380</v>
      </c>
      <c r="C237" s="33" t="s">
        <v>21</v>
      </c>
      <c r="D237" s="1"/>
      <c r="E237" s="34" t="s">
        <v>381</v>
      </c>
      <c r="F237" s="32" t="s">
        <v>44</v>
      </c>
      <c r="G237" s="33">
        <v>1</v>
      </c>
      <c r="H237" s="35">
        <v>40646</v>
      </c>
      <c r="I237" s="525">
        <f t="shared" ref="I237:I240" si="69">+J237*G237</f>
        <v>52982.061000000002</v>
      </c>
      <c r="J237" s="86">
        <f t="shared" ref="J237:J240" si="70">+H237*$J$9</f>
        <v>52982.061000000002</v>
      </c>
      <c r="K237" s="4"/>
      <c r="L237" s="4"/>
      <c r="M237" s="4"/>
    </row>
    <row r="238" spans="1:13" ht="15.75" customHeight="1" x14ac:dyDescent="0.25">
      <c r="A238" s="31">
        <v>197</v>
      </c>
      <c r="B238" s="32" t="s">
        <v>382</v>
      </c>
      <c r="C238" s="33" t="s">
        <v>21</v>
      </c>
      <c r="D238" s="1"/>
      <c r="E238" s="34" t="s">
        <v>383</v>
      </c>
      <c r="F238" s="32" t="s">
        <v>44</v>
      </c>
      <c r="G238" s="33">
        <v>1</v>
      </c>
      <c r="H238" s="35">
        <v>92860</v>
      </c>
      <c r="I238" s="525">
        <f t="shared" si="69"/>
        <v>121043.01000000001</v>
      </c>
      <c r="J238" s="86">
        <f t="shared" si="70"/>
        <v>121043.01000000001</v>
      </c>
      <c r="K238" s="4"/>
      <c r="L238" s="4"/>
      <c r="M238" s="4"/>
    </row>
    <row r="239" spans="1:13" ht="15.75" customHeight="1" x14ac:dyDescent="0.25">
      <c r="A239" s="31">
        <v>198</v>
      </c>
      <c r="B239" s="32" t="s">
        <v>384</v>
      </c>
      <c r="C239" s="33" t="s">
        <v>21</v>
      </c>
      <c r="D239" s="1"/>
      <c r="E239" s="34" t="s">
        <v>385</v>
      </c>
      <c r="F239" s="32" t="s">
        <v>44</v>
      </c>
      <c r="G239" s="33">
        <v>1</v>
      </c>
      <c r="H239" s="35">
        <v>130605</v>
      </c>
      <c r="I239" s="525">
        <f t="shared" si="69"/>
        <v>170243.61750000002</v>
      </c>
      <c r="J239" s="86">
        <f t="shared" si="70"/>
        <v>170243.61750000002</v>
      </c>
      <c r="K239" s="4"/>
      <c r="L239" s="4"/>
      <c r="M239" s="4"/>
    </row>
    <row r="240" spans="1:13" ht="15.75" customHeight="1" x14ac:dyDescent="0.25">
      <c r="A240" s="31">
        <v>139</v>
      </c>
      <c r="B240" s="96" t="s">
        <v>384</v>
      </c>
      <c r="C240" s="33" t="s">
        <v>156</v>
      </c>
      <c r="D240" s="1"/>
      <c r="E240" s="360" t="s">
        <v>552</v>
      </c>
      <c r="F240" s="354" t="s">
        <v>44</v>
      </c>
      <c r="G240" s="355">
        <v>8</v>
      </c>
      <c r="H240" s="356">
        <f>+'PRESUPUESTO FINAL FDLU'!H240</f>
        <v>1004556</v>
      </c>
      <c r="I240" s="525">
        <f t="shared" si="69"/>
        <v>10475509.968</v>
      </c>
      <c r="J240" s="86">
        <f t="shared" si="70"/>
        <v>1309438.746</v>
      </c>
      <c r="K240" s="4"/>
      <c r="L240" s="4"/>
      <c r="M240" s="4"/>
    </row>
    <row r="241" spans="1:13" ht="15.75" customHeight="1" x14ac:dyDescent="0.25">
      <c r="A241" s="93" t="s">
        <v>33</v>
      </c>
      <c r="B241" s="54"/>
      <c r="C241" s="55"/>
      <c r="D241" s="55"/>
      <c r="E241" s="88"/>
      <c r="F241" s="54"/>
      <c r="G241" s="55"/>
      <c r="H241" s="57"/>
      <c r="I241" s="533">
        <f>SUM(I237:I240)</f>
        <v>10819778.656500001</v>
      </c>
      <c r="J241" s="3"/>
      <c r="K241" s="4"/>
      <c r="L241" s="4"/>
      <c r="M241" s="4"/>
    </row>
    <row r="242" spans="1:13" ht="15.75" customHeight="1" x14ac:dyDescent="0.25">
      <c r="A242" s="63"/>
      <c r="B242" s="65" t="s">
        <v>386</v>
      </c>
      <c r="C242" s="65"/>
      <c r="D242" s="65"/>
      <c r="E242" s="66" t="s">
        <v>387</v>
      </c>
      <c r="F242" s="65"/>
      <c r="G242" s="65"/>
      <c r="H242" s="68"/>
      <c r="I242" s="534"/>
      <c r="J242" s="92"/>
      <c r="K242" s="4"/>
      <c r="L242" s="4"/>
      <c r="M242" s="4"/>
    </row>
    <row r="243" spans="1:13" ht="18.75" customHeight="1" x14ac:dyDescent="0.25">
      <c r="A243" s="31">
        <v>199</v>
      </c>
      <c r="B243" s="32" t="s">
        <v>388</v>
      </c>
      <c r="C243" s="33" t="s">
        <v>21</v>
      </c>
      <c r="D243" s="1"/>
      <c r="E243" s="34" t="s">
        <v>389</v>
      </c>
      <c r="F243" s="32" t="s">
        <v>26</v>
      </c>
      <c r="G243" s="33">
        <v>2</v>
      </c>
      <c r="H243" s="35">
        <v>51012</v>
      </c>
      <c r="I243" s="525">
        <f t="shared" ref="I243:I245" si="71">+J243*G243</f>
        <v>132988.28400000001</v>
      </c>
      <c r="J243" s="86">
        <f t="shared" ref="J243:J246" si="72">+H243*$J$9</f>
        <v>66494.142000000007</v>
      </c>
      <c r="K243" s="4"/>
      <c r="L243" s="4"/>
      <c r="M243" s="4"/>
    </row>
    <row r="244" spans="1:13" ht="18.75" customHeight="1" x14ac:dyDescent="0.25">
      <c r="A244" s="31">
        <v>200</v>
      </c>
      <c r="B244" s="32" t="s">
        <v>390</v>
      </c>
      <c r="C244" s="33" t="s">
        <v>21</v>
      </c>
      <c r="D244" s="1"/>
      <c r="E244" s="34" t="s">
        <v>391</v>
      </c>
      <c r="F244" s="32" t="s">
        <v>26</v>
      </c>
      <c r="G244" s="33">
        <v>6</v>
      </c>
      <c r="H244" s="35">
        <v>75393</v>
      </c>
      <c r="I244" s="525">
        <f t="shared" si="71"/>
        <v>589648.65300000005</v>
      </c>
      <c r="J244" s="86">
        <f t="shared" si="72"/>
        <v>98274.775500000003</v>
      </c>
      <c r="K244" s="4"/>
      <c r="L244" s="4"/>
      <c r="M244" s="4"/>
    </row>
    <row r="245" spans="1:13" ht="18.75" customHeight="1" x14ac:dyDescent="0.25">
      <c r="A245" s="31">
        <v>201</v>
      </c>
      <c r="B245" s="32" t="s">
        <v>392</v>
      </c>
      <c r="C245" s="33" t="s">
        <v>21</v>
      </c>
      <c r="D245" s="1"/>
      <c r="E245" s="34" t="s">
        <v>393</v>
      </c>
      <c r="F245" s="32" t="s">
        <v>23</v>
      </c>
      <c r="G245" s="33">
        <v>10</v>
      </c>
      <c r="H245" s="35">
        <v>14550</v>
      </c>
      <c r="I245" s="525">
        <f t="shared" si="71"/>
        <v>189659.25000000003</v>
      </c>
      <c r="J245" s="86">
        <f t="shared" si="72"/>
        <v>18965.925000000003</v>
      </c>
      <c r="K245" s="4"/>
      <c r="L245" s="4"/>
      <c r="M245" s="4"/>
    </row>
    <row r="246" spans="1:13" ht="15.75" customHeight="1" x14ac:dyDescent="0.25">
      <c r="A246" s="31">
        <v>202</v>
      </c>
      <c r="B246" s="32" t="s">
        <v>394</v>
      </c>
      <c r="C246" s="33" t="s">
        <v>333</v>
      </c>
      <c r="D246" s="1"/>
      <c r="E246" s="34" t="s">
        <v>395</v>
      </c>
      <c r="F246" s="32" t="s">
        <v>26</v>
      </c>
      <c r="G246" s="33">
        <v>0</v>
      </c>
      <c r="H246" s="35">
        <v>198500</v>
      </c>
      <c r="I246" s="525">
        <v>198500</v>
      </c>
      <c r="J246" s="86">
        <f t="shared" si="72"/>
        <v>258744.75000000003</v>
      </c>
      <c r="K246" s="4"/>
      <c r="L246" s="4"/>
      <c r="M246" s="4"/>
    </row>
    <row r="247" spans="1:13" ht="15.75" customHeight="1" x14ac:dyDescent="0.25">
      <c r="A247" s="93" t="s">
        <v>33</v>
      </c>
      <c r="B247" s="54"/>
      <c r="C247" s="55"/>
      <c r="D247" s="55"/>
      <c r="E247" s="88"/>
      <c r="F247" s="54"/>
      <c r="G247" s="55"/>
      <c r="H247" s="57"/>
      <c r="I247" s="533">
        <f>SUM(I243:I246)</f>
        <v>1110796.1869999999</v>
      </c>
      <c r="J247" s="4"/>
      <c r="K247" s="4"/>
      <c r="L247" s="4"/>
      <c r="M247" s="4"/>
    </row>
    <row r="248" spans="1:13" ht="15.75" customHeight="1" x14ac:dyDescent="0.25">
      <c r="A248" s="63"/>
      <c r="B248" s="65" t="s">
        <v>396</v>
      </c>
      <c r="C248" s="65"/>
      <c r="D248" s="65"/>
      <c r="E248" s="66" t="s">
        <v>397</v>
      </c>
      <c r="F248" s="65"/>
      <c r="G248" s="65"/>
      <c r="H248" s="68"/>
      <c r="I248" s="534"/>
      <c r="J248" s="92"/>
      <c r="K248" s="4"/>
      <c r="L248" s="4"/>
      <c r="M248" s="4"/>
    </row>
    <row r="249" spans="1:13" ht="15.75" customHeight="1" x14ac:dyDescent="0.25">
      <c r="A249" s="31">
        <v>140</v>
      </c>
      <c r="B249" s="32" t="s">
        <v>398</v>
      </c>
      <c r="C249" s="33" t="s">
        <v>21</v>
      </c>
      <c r="D249" s="1"/>
      <c r="E249" s="34" t="s">
        <v>399</v>
      </c>
      <c r="F249" s="32" t="s">
        <v>23</v>
      </c>
      <c r="G249" s="33">
        <v>5</v>
      </c>
      <c r="H249" s="35">
        <v>248626</v>
      </c>
      <c r="I249" s="525">
        <f t="shared" ref="I249:I258" si="73">+J249*G249</f>
        <v>1620419.9550000001</v>
      </c>
      <c r="J249" s="86">
        <f t="shared" ref="J249:J258" si="74">+H249*$J$9</f>
        <v>324083.99100000004</v>
      </c>
      <c r="K249" s="4"/>
      <c r="L249" s="4"/>
      <c r="M249" s="4"/>
    </row>
    <row r="250" spans="1:13" ht="45" x14ac:dyDescent="0.25">
      <c r="A250" s="31">
        <v>141</v>
      </c>
      <c r="B250" s="32" t="s">
        <v>400</v>
      </c>
      <c r="C250" s="33" t="s">
        <v>21</v>
      </c>
      <c r="D250" s="1"/>
      <c r="E250" s="357" t="s">
        <v>401</v>
      </c>
      <c r="F250" s="354" t="s">
        <v>23</v>
      </c>
      <c r="G250" s="355">
        <v>15</v>
      </c>
      <c r="H250" s="356">
        <v>272119</v>
      </c>
      <c r="I250" s="525">
        <f t="shared" si="73"/>
        <v>5320606.7475000005</v>
      </c>
      <c r="J250" s="86">
        <f t="shared" si="74"/>
        <v>354707.1165</v>
      </c>
      <c r="K250" s="4"/>
      <c r="L250" s="4"/>
      <c r="M250" s="4"/>
    </row>
    <row r="251" spans="1:13" ht="45" x14ac:dyDescent="0.25">
      <c r="A251" s="31">
        <v>142</v>
      </c>
      <c r="B251" s="32" t="s">
        <v>402</v>
      </c>
      <c r="C251" s="33" t="s">
        <v>21</v>
      </c>
      <c r="D251" s="1"/>
      <c r="E251" s="357" t="s">
        <v>403</v>
      </c>
      <c r="F251" s="354" t="s">
        <v>23</v>
      </c>
      <c r="G251" s="355">
        <v>5</v>
      </c>
      <c r="H251" s="356">
        <v>328855</v>
      </c>
      <c r="I251" s="525">
        <f t="shared" si="73"/>
        <v>2143312.4625000004</v>
      </c>
      <c r="J251" s="86">
        <f t="shared" si="74"/>
        <v>428662.49250000005</v>
      </c>
      <c r="K251" s="4"/>
      <c r="L251" s="4"/>
      <c r="M251" s="4"/>
    </row>
    <row r="252" spans="1:13" ht="45" x14ac:dyDescent="0.25">
      <c r="A252" s="31">
        <v>143</v>
      </c>
      <c r="B252" s="32" t="s">
        <v>404</v>
      </c>
      <c r="C252" s="33" t="s">
        <v>21</v>
      </c>
      <c r="D252" s="1"/>
      <c r="E252" s="84" t="s">
        <v>405</v>
      </c>
      <c r="F252" s="32" t="s">
        <v>23</v>
      </c>
      <c r="G252" s="33">
        <v>10</v>
      </c>
      <c r="H252" s="35">
        <v>448368</v>
      </c>
      <c r="I252" s="525">
        <f t="shared" si="73"/>
        <v>5844476.8800000008</v>
      </c>
      <c r="J252" s="86">
        <f t="shared" si="74"/>
        <v>584447.68800000008</v>
      </c>
      <c r="K252" s="4"/>
      <c r="L252" s="4"/>
      <c r="M252" s="4"/>
    </row>
    <row r="253" spans="1:13" ht="45" x14ac:dyDescent="0.25">
      <c r="A253" s="31">
        <v>144</v>
      </c>
      <c r="B253" s="32" t="s">
        <v>406</v>
      </c>
      <c r="C253" s="33" t="s">
        <v>21</v>
      </c>
      <c r="D253" s="1"/>
      <c r="E253" s="34" t="s">
        <v>407</v>
      </c>
      <c r="F253" s="32" t="s">
        <v>23</v>
      </c>
      <c r="G253" s="33">
        <v>10</v>
      </c>
      <c r="H253" s="35">
        <v>247804</v>
      </c>
      <c r="I253" s="525">
        <f t="shared" si="73"/>
        <v>3230125.14</v>
      </c>
      <c r="J253" s="86">
        <f t="shared" si="74"/>
        <v>323012.51400000002</v>
      </c>
      <c r="K253" s="4"/>
      <c r="L253" s="4"/>
      <c r="M253" s="4"/>
    </row>
    <row r="254" spans="1:13" ht="45" x14ac:dyDescent="0.25">
      <c r="A254" s="31">
        <v>145</v>
      </c>
      <c r="B254" s="32" t="s">
        <v>408</v>
      </c>
      <c r="C254" s="33" t="s">
        <v>21</v>
      </c>
      <c r="D254" s="1"/>
      <c r="E254" s="353" t="s">
        <v>409</v>
      </c>
      <c r="F254" s="354" t="s">
        <v>23</v>
      </c>
      <c r="G254" s="355">
        <f>+(G250+G251)*2</f>
        <v>40</v>
      </c>
      <c r="H254" s="356">
        <v>176401</v>
      </c>
      <c r="I254" s="525">
        <f t="shared" si="73"/>
        <v>9197548.1400000006</v>
      </c>
      <c r="J254" s="86">
        <f t="shared" si="74"/>
        <v>229938.70350000003</v>
      </c>
      <c r="K254" s="4"/>
      <c r="L254" s="4"/>
      <c r="M254" s="4"/>
    </row>
    <row r="255" spans="1:13" ht="45" x14ac:dyDescent="0.25">
      <c r="A255" s="31">
        <v>146</v>
      </c>
      <c r="B255" s="32" t="s">
        <v>410</v>
      </c>
      <c r="C255" s="33" t="s">
        <v>21</v>
      </c>
      <c r="D255" s="1"/>
      <c r="E255" s="357" t="s">
        <v>411</v>
      </c>
      <c r="F255" s="354" t="s">
        <v>44</v>
      </c>
      <c r="G255" s="355">
        <v>1</v>
      </c>
      <c r="H255" s="356">
        <v>237042</v>
      </c>
      <c r="I255" s="525">
        <f t="shared" si="73"/>
        <v>308984.24700000003</v>
      </c>
      <c r="J255" s="86">
        <f t="shared" si="74"/>
        <v>308984.24700000003</v>
      </c>
      <c r="K255" s="4"/>
      <c r="L255" s="4"/>
      <c r="M255" s="4"/>
    </row>
    <row r="256" spans="1:13" ht="15.75" customHeight="1" x14ac:dyDescent="0.25">
      <c r="A256" s="31">
        <v>147</v>
      </c>
      <c r="B256" s="32" t="s">
        <v>412</v>
      </c>
      <c r="C256" s="33" t="s">
        <v>21</v>
      </c>
      <c r="D256" s="1"/>
      <c r="E256" s="353" t="s">
        <v>413</v>
      </c>
      <c r="F256" s="354" t="s">
        <v>26</v>
      </c>
      <c r="G256" s="355">
        <v>1</v>
      </c>
      <c r="H256" s="356">
        <v>390280</v>
      </c>
      <c r="I256" s="525">
        <f t="shared" si="73"/>
        <v>508729.98000000004</v>
      </c>
      <c r="J256" s="86">
        <f t="shared" si="74"/>
        <v>508729.98000000004</v>
      </c>
      <c r="K256" s="4"/>
      <c r="L256" s="4"/>
      <c r="M256" s="4"/>
    </row>
    <row r="257" spans="1:13" ht="45" x14ac:dyDescent="0.25">
      <c r="A257" s="31">
        <v>148</v>
      </c>
      <c r="B257" s="32" t="s">
        <v>414</v>
      </c>
      <c r="C257" s="33" t="s">
        <v>21</v>
      </c>
      <c r="D257" s="1"/>
      <c r="E257" s="357" t="s">
        <v>415</v>
      </c>
      <c r="F257" s="354" t="s">
        <v>26</v>
      </c>
      <c r="G257" s="355">
        <v>1</v>
      </c>
      <c r="H257" s="356">
        <v>231634</v>
      </c>
      <c r="I257" s="525">
        <f t="shared" si="73"/>
        <v>301934.91900000005</v>
      </c>
      <c r="J257" s="86">
        <f t="shared" si="74"/>
        <v>301934.91900000005</v>
      </c>
      <c r="K257" s="4"/>
      <c r="L257" s="4"/>
      <c r="M257" s="4"/>
    </row>
    <row r="258" spans="1:13" ht="45" x14ac:dyDescent="0.25">
      <c r="A258" s="31">
        <v>149</v>
      </c>
      <c r="B258" s="96" t="s">
        <v>412</v>
      </c>
      <c r="C258" s="33" t="s">
        <v>21</v>
      </c>
      <c r="D258" s="1"/>
      <c r="E258" s="357" t="s">
        <v>416</v>
      </c>
      <c r="F258" s="354" t="s">
        <v>44</v>
      </c>
      <c r="G258" s="355">
        <v>1</v>
      </c>
      <c r="H258" s="356">
        <v>1271142</v>
      </c>
      <c r="I258" s="525">
        <f t="shared" si="73"/>
        <v>1656933.5970000001</v>
      </c>
      <c r="J258" s="86">
        <f t="shared" si="74"/>
        <v>1656933.5970000001</v>
      </c>
      <c r="K258" s="4"/>
      <c r="L258" s="4"/>
      <c r="M258" s="4"/>
    </row>
    <row r="259" spans="1:13" ht="15.75" customHeight="1" x14ac:dyDescent="0.25">
      <c r="A259" s="93" t="s">
        <v>33</v>
      </c>
      <c r="B259" s="54"/>
      <c r="C259" s="55"/>
      <c r="D259" s="55"/>
      <c r="E259" s="88"/>
      <c r="F259" s="54"/>
      <c r="G259" s="55"/>
      <c r="H259" s="57"/>
      <c r="I259" s="533">
        <f>SUM(I249:I258)</f>
        <v>30133072.068000004</v>
      </c>
      <c r="J259" s="4"/>
      <c r="K259" s="4"/>
      <c r="L259" s="4"/>
      <c r="M259" s="4"/>
    </row>
    <row r="260" spans="1:13" ht="15.75" customHeight="1" x14ac:dyDescent="0.25">
      <c r="A260" s="63"/>
      <c r="B260" s="65" t="s">
        <v>417</v>
      </c>
      <c r="C260" s="65"/>
      <c r="D260" s="65"/>
      <c r="E260" s="66" t="s">
        <v>418</v>
      </c>
      <c r="F260" s="65"/>
      <c r="G260" s="65"/>
      <c r="H260" s="68"/>
      <c r="I260" s="534"/>
      <c r="J260" s="92"/>
      <c r="K260" s="4"/>
      <c r="L260" s="4"/>
      <c r="M260" s="4"/>
    </row>
    <row r="261" spans="1:13" ht="15.75" customHeight="1" x14ac:dyDescent="0.25">
      <c r="A261" s="31">
        <v>220</v>
      </c>
      <c r="B261" s="32" t="s">
        <v>419</v>
      </c>
      <c r="C261" s="33" t="s">
        <v>21</v>
      </c>
      <c r="D261" s="1"/>
      <c r="E261" s="34" t="s">
        <v>420</v>
      </c>
      <c r="F261" s="32" t="s">
        <v>26</v>
      </c>
      <c r="G261" s="33">
        <v>10</v>
      </c>
      <c r="H261" s="35">
        <v>11589</v>
      </c>
      <c r="I261" s="525">
        <f t="shared" ref="I261:I263" si="75">+J261*G261</f>
        <v>151062.61499999999</v>
      </c>
      <c r="J261" s="86">
        <f t="shared" ref="J261:J263" si="76">+H261*$J$9</f>
        <v>15106.261500000001</v>
      </c>
      <c r="K261" s="4"/>
      <c r="L261" s="4"/>
      <c r="M261" s="4"/>
    </row>
    <row r="262" spans="1:13" ht="15.75" customHeight="1" x14ac:dyDescent="0.25">
      <c r="A262" s="31">
        <v>150</v>
      </c>
      <c r="B262" s="32" t="s">
        <v>421</v>
      </c>
      <c r="C262" s="33" t="s">
        <v>21</v>
      </c>
      <c r="D262" s="1"/>
      <c r="E262" s="353" t="s">
        <v>422</v>
      </c>
      <c r="F262" s="354" t="s">
        <v>23</v>
      </c>
      <c r="G262" s="355">
        <f>+G254*3</f>
        <v>120</v>
      </c>
      <c r="H262" s="356">
        <v>5848</v>
      </c>
      <c r="I262" s="525">
        <f t="shared" si="75"/>
        <v>914744.16</v>
      </c>
      <c r="J262" s="86">
        <f t="shared" si="76"/>
        <v>7622.8680000000004</v>
      </c>
      <c r="K262" s="4"/>
      <c r="L262" s="4"/>
      <c r="M262" s="4"/>
    </row>
    <row r="263" spans="1:13" ht="15.75" customHeight="1" x14ac:dyDescent="0.25">
      <c r="A263" s="31">
        <v>151</v>
      </c>
      <c r="B263" s="32" t="s">
        <v>423</v>
      </c>
      <c r="C263" s="33" t="s">
        <v>21</v>
      </c>
      <c r="D263" s="1"/>
      <c r="E263" s="353" t="s">
        <v>424</v>
      </c>
      <c r="F263" s="354" t="s">
        <v>26</v>
      </c>
      <c r="G263" s="355">
        <v>10</v>
      </c>
      <c r="H263" s="356">
        <v>19025</v>
      </c>
      <c r="I263" s="525">
        <f t="shared" si="75"/>
        <v>247990.875</v>
      </c>
      <c r="J263" s="86">
        <f t="shared" si="76"/>
        <v>24799.087500000001</v>
      </c>
      <c r="K263" s="4"/>
      <c r="L263" s="4"/>
      <c r="M263" s="4"/>
    </row>
    <row r="264" spans="1:13" ht="15.75" customHeight="1" x14ac:dyDescent="0.25">
      <c r="A264" s="93" t="s">
        <v>33</v>
      </c>
      <c r="B264" s="54"/>
      <c r="C264" s="55"/>
      <c r="D264" s="55"/>
      <c r="E264" s="88"/>
      <c r="F264" s="54"/>
      <c r="G264" s="55"/>
      <c r="H264" s="57"/>
      <c r="I264" s="533">
        <f>SUM(I261:I263)</f>
        <v>1313797.6499999999</v>
      </c>
      <c r="J264" s="4"/>
      <c r="K264" s="4"/>
      <c r="L264" s="4"/>
      <c r="M264" s="4"/>
    </row>
    <row r="265" spans="1:13" ht="15.75" customHeight="1" x14ac:dyDescent="0.25">
      <c r="A265" s="63"/>
      <c r="B265" s="65" t="s">
        <v>425</v>
      </c>
      <c r="C265" s="65"/>
      <c r="D265" s="65"/>
      <c r="E265" s="66" t="s">
        <v>426</v>
      </c>
      <c r="F265" s="65"/>
      <c r="G265" s="65"/>
      <c r="H265" s="68"/>
      <c r="I265" s="534"/>
      <c r="J265" s="92"/>
      <c r="K265" s="4"/>
      <c r="L265" s="4"/>
      <c r="M265" s="4"/>
    </row>
    <row r="266" spans="1:13" ht="15.75" customHeight="1" x14ac:dyDescent="0.25">
      <c r="A266" s="31">
        <v>152</v>
      </c>
      <c r="B266" s="32" t="s">
        <v>427</v>
      </c>
      <c r="C266" s="33" t="s">
        <v>21</v>
      </c>
      <c r="D266" s="1"/>
      <c r="E266" s="34" t="s">
        <v>428</v>
      </c>
      <c r="F266" s="32" t="s">
        <v>26</v>
      </c>
      <c r="G266" s="33">
        <v>10</v>
      </c>
      <c r="H266" s="35">
        <v>799537</v>
      </c>
      <c r="I266" s="525">
        <f t="shared" ref="I266:I268" si="77">+J266*G266</f>
        <v>10421964.795000002</v>
      </c>
      <c r="J266" s="86">
        <f t="shared" ref="J266:J268" si="78">+H266*$J$9</f>
        <v>1042196.4795000001</v>
      </c>
      <c r="K266" s="4"/>
      <c r="L266" s="4"/>
      <c r="M266" s="4"/>
    </row>
    <row r="267" spans="1:13" ht="15.75" customHeight="1" x14ac:dyDescent="0.25">
      <c r="A267" s="31">
        <v>153</v>
      </c>
      <c r="B267" s="32" t="s">
        <v>429</v>
      </c>
      <c r="C267" s="33" t="s">
        <v>21</v>
      </c>
      <c r="D267" s="1"/>
      <c r="E267" s="34" t="s">
        <v>430</v>
      </c>
      <c r="F267" s="32" t="s">
        <v>44</v>
      </c>
      <c r="G267" s="33">
        <v>1</v>
      </c>
      <c r="H267" s="35">
        <v>787233</v>
      </c>
      <c r="I267" s="525">
        <f t="shared" si="77"/>
        <v>1026158.2155</v>
      </c>
      <c r="J267" s="86">
        <f t="shared" si="78"/>
        <v>1026158.2155</v>
      </c>
      <c r="K267" s="4"/>
      <c r="L267" s="4"/>
      <c r="M267" s="4"/>
    </row>
    <row r="268" spans="1:13" ht="15.75" customHeight="1" x14ac:dyDescent="0.25">
      <c r="A268" s="31">
        <v>154</v>
      </c>
      <c r="B268" s="32" t="s">
        <v>431</v>
      </c>
      <c r="C268" s="33" t="s">
        <v>21</v>
      </c>
      <c r="D268" s="1"/>
      <c r="E268" s="34" t="s">
        <v>432</v>
      </c>
      <c r="F268" s="32" t="s">
        <v>44</v>
      </c>
      <c r="G268" s="33">
        <v>1</v>
      </c>
      <c r="H268" s="35">
        <v>434696</v>
      </c>
      <c r="I268" s="525">
        <f t="shared" si="77"/>
        <v>566626.23600000003</v>
      </c>
      <c r="J268" s="86">
        <f t="shared" si="78"/>
        <v>566626.23600000003</v>
      </c>
      <c r="K268" s="4"/>
      <c r="L268" s="4"/>
      <c r="M268" s="4"/>
    </row>
    <row r="269" spans="1:13" ht="15.75" customHeight="1" x14ac:dyDescent="0.25">
      <c r="A269" s="93" t="s">
        <v>33</v>
      </c>
      <c r="B269" s="54"/>
      <c r="C269" s="55"/>
      <c r="D269" s="55"/>
      <c r="E269" s="88"/>
      <c r="F269" s="54"/>
      <c r="G269" s="55"/>
      <c r="H269" s="57"/>
      <c r="I269" s="533">
        <f>SUM(I266:I268)</f>
        <v>12014749.246500002</v>
      </c>
      <c r="J269" s="4"/>
      <c r="K269" s="4"/>
      <c r="L269" s="4"/>
      <c r="M269" s="4"/>
    </row>
    <row r="270" spans="1:13" ht="15.75" customHeight="1" x14ac:dyDescent="0.25">
      <c r="A270" s="63"/>
      <c r="B270" s="65" t="s">
        <v>433</v>
      </c>
      <c r="C270" s="65"/>
      <c r="D270" s="65"/>
      <c r="E270" s="66" t="s">
        <v>434</v>
      </c>
      <c r="F270" s="65"/>
      <c r="G270" s="65"/>
      <c r="H270" s="68"/>
      <c r="I270" s="534"/>
      <c r="J270" s="92"/>
      <c r="K270" s="4"/>
      <c r="L270" s="4"/>
      <c r="M270" s="4"/>
    </row>
    <row r="271" spans="1:13" ht="15.75" customHeight="1" x14ac:dyDescent="0.25">
      <c r="A271" s="31">
        <v>155</v>
      </c>
      <c r="B271" s="32" t="s">
        <v>435</v>
      </c>
      <c r="C271" s="33" t="s">
        <v>21</v>
      </c>
      <c r="D271" s="1"/>
      <c r="E271" s="34" t="s">
        <v>436</v>
      </c>
      <c r="F271" s="32" t="s">
        <v>23</v>
      </c>
      <c r="G271" s="33">
        <v>15</v>
      </c>
      <c r="H271" s="35">
        <v>68168</v>
      </c>
      <c r="I271" s="525">
        <f t="shared" ref="I271:I274" si="79">+J271*G271</f>
        <v>1332854.8200000003</v>
      </c>
      <c r="J271" s="86">
        <f t="shared" ref="J271:J274" si="80">+H271*$J$9</f>
        <v>88856.988000000012</v>
      </c>
      <c r="K271" s="4"/>
      <c r="L271" s="4"/>
      <c r="M271" s="4"/>
    </row>
    <row r="272" spans="1:13" ht="15.75" customHeight="1" x14ac:dyDescent="0.25">
      <c r="A272" s="31">
        <v>156</v>
      </c>
      <c r="B272" s="32" t="s">
        <v>437</v>
      </c>
      <c r="C272" s="33" t="s">
        <v>21</v>
      </c>
      <c r="D272" s="1"/>
      <c r="E272" s="34" t="s">
        <v>438</v>
      </c>
      <c r="F272" s="32" t="s">
        <v>23</v>
      </c>
      <c r="G272" s="33">
        <v>15</v>
      </c>
      <c r="H272" s="35">
        <v>4200</v>
      </c>
      <c r="I272" s="525">
        <f t="shared" si="79"/>
        <v>82120.500000000015</v>
      </c>
      <c r="J272" s="86">
        <f t="shared" si="80"/>
        <v>5474.7000000000007</v>
      </c>
      <c r="K272" s="4"/>
      <c r="L272" s="4"/>
      <c r="M272" s="4"/>
    </row>
    <row r="273" spans="1:13" ht="30" customHeight="1" x14ac:dyDescent="0.25">
      <c r="A273" s="31">
        <v>157</v>
      </c>
      <c r="B273" s="32" t="s">
        <v>439</v>
      </c>
      <c r="C273" s="33" t="s">
        <v>21</v>
      </c>
      <c r="D273" s="1"/>
      <c r="E273" s="84" t="s">
        <v>440</v>
      </c>
      <c r="F273" s="32" t="s">
        <v>26</v>
      </c>
      <c r="G273" s="33">
        <v>20</v>
      </c>
      <c r="H273" s="35">
        <v>149789</v>
      </c>
      <c r="I273" s="525">
        <f t="shared" si="79"/>
        <v>3904999.23</v>
      </c>
      <c r="J273" s="86">
        <f t="shared" si="80"/>
        <v>195249.9615</v>
      </c>
      <c r="K273" s="4"/>
      <c r="L273" s="4"/>
      <c r="M273" s="4"/>
    </row>
    <row r="274" spans="1:13" ht="15.75" customHeight="1" x14ac:dyDescent="0.25">
      <c r="A274" s="71">
        <v>158</v>
      </c>
      <c r="B274" s="32" t="s">
        <v>441</v>
      </c>
      <c r="C274" s="33" t="s">
        <v>21</v>
      </c>
      <c r="D274" s="1"/>
      <c r="E274" s="34" t="s">
        <v>442</v>
      </c>
      <c r="F274" s="32" t="s">
        <v>44</v>
      </c>
      <c r="G274" s="33">
        <v>1</v>
      </c>
      <c r="H274" s="35">
        <v>364475</v>
      </c>
      <c r="I274" s="525">
        <f t="shared" si="79"/>
        <v>475093.16250000003</v>
      </c>
      <c r="J274" s="86">
        <f t="shared" si="80"/>
        <v>475093.16250000003</v>
      </c>
      <c r="K274" s="4"/>
      <c r="L274" s="4"/>
      <c r="M274" s="4"/>
    </row>
    <row r="275" spans="1:13" ht="15.75" customHeight="1" x14ac:dyDescent="0.25">
      <c r="A275" s="93" t="s">
        <v>33</v>
      </c>
      <c r="B275" s="54"/>
      <c r="C275" s="55"/>
      <c r="D275" s="55"/>
      <c r="E275" s="88"/>
      <c r="F275" s="54"/>
      <c r="G275" s="55"/>
      <c r="H275" s="57"/>
      <c r="I275" s="533">
        <f>SUM(I271:I274)</f>
        <v>5795067.7125000004</v>
      </c>
      <c r="J275" s="4"/>
      <c r="K275" s="4"/>
      <c r="L275" s="4"/>
      <c r="M275" s="4"/>
    </row>
    <row r="276" spans="1:13" ht="15.75" customHeight="1" x14ac:dyDescent="0.25">
      <c r="A276" s="63"/>
      <c r="B276" s="65"/>
      <c r="C276" s="65"/>
      <c r="D276" s="65"/>
      <c r="E276" s="66" t="s">
        <v>443</v>
      </c>
      <c r="F276" s="65"/>
      <c r="G276" s="65"/>
      <c r="H276" s="68"/>
      <c r="I276" s="534"/>
      <c r="J276" s="92"/>
      <c r="K276" s="4"/>
      <c r="L276" s="4"/>
      <c r="M276" s="4"/>
    </row>
    <row r="277" spans="1:13" ht="15.75" customHeight="1" x14ac:dyDescent="0.25">
      <c r="A277" s="31">
        <v>159</v>
      </c>
      <c r="B277" s="329">
        <v>6404</v>
      </c>
      <c r="C277" s="96" t="s">
        <v>444</v>
      </c>
      <c r="D277" s="1"/>
      <c r="E277" s="84" t="s">
        <v>445</v>
      </c>
      <c r="F277" s="96" t="s">
        <v>44</v>
      </c>
      <c r="G277" s="33">
        <v>1</v>
      </c>
      <c r="H277" s="35">
        <v>115430</v>
      </c>
      <c r="I277" s="525">
        <f t="shared" ref="I277:I293" si="81">+J277*G277</f>
        <v>150463.005</v>
      </c>
      <c r="J277" s="86">
        <f t="shared" ref="J277:J293" si="82">+H277*$J$9</f>
        <v>150463.005</v>
      </c>
      <c r="K277" s="4"/>
      <c r="L277" s="4"/>
      <c r="M277" s="4"/>
    </row>
    <row r="278" spans="1:13" ht="15.75" customHeight="1" x14ac:dyDescent="0.25">
      <c r="A278" s="31">
        <v>160</v>
      </c>
      <c r="B278" s="329">
        <v>6405</v>
      </c>
      <c r="C278" s="96" t="s">
        <v>444</v>
      </c>
      <c r="D278" s="1"/>
      <c r="E278" s="84" t="s">
        <v>446</v>
      </c>
      <c r="F278" s="96" t="s">
        <v>44</v>
      </c>
      <c r="G278" s="33">
        <v>1</v>
      </c>
      <c r="H278" s="35">
        <v>198057</v>
      </c>
      <c r="I278" s="525">
        <f t="shared" si="81"/>
        <v>258167.29950000002</v>
      </c>
      <c r="J278" s="86">
        <f t="shared" si="82"/>
        <v>258167.29950000002</v>
      </c>
      <c r="K278" s="4"/>
      <c r="L278" s="4"/>
      <c r="M278" s="4"/>
    </row>
    <row r="279" spans="1:13" ht="15.75" customHeight="1" x14ac:dyDescent="0.25">
      <c r="A279" s="31">
        <v>161</v>
      </c>
      <c r="B279" s="329">
        <v>6406</v>
      </c>
      <c r="C279" s="96" t="s">
        <v>444</v>
      </c>
      <c r="D279" s="1"/>
      <c r="E279" s="84" t="s">
        <v>447</v>
      </c>
      <c r="F279" s="96" t="s">
        <v>44</v>
      </c>
      <c r="G279" s="33">
        <v>1</v>
      </c>
      <c r="H279" s="35">
        <v>262523</v>
      </c>
      <c r="I279" s="525">
        <f t="shared" si="81"/>
        <v>342198.73050000001</v>
      </c>
      <c r="J279" s="86">
        <f t="shared" si="82"/>
        <v>342198.73050000001</v>
      </c>
      <c r="K279" s="4"/>
      <c r="L279" s="4"/>
      <c r="M279" s="4"/>
    </row>
    <row r="280" spans="1:13" ht="15.75" customHeight="1" x14ac:dyDescent="0.25">
      <c r="A280" s="31">
        <v>162</v>
      </c>
      <c r="B280" s="329">
        <v>6407</v>
      </c>
      <c r="C280" s="96" t="s">
        <v>444</v>
      </c>
      <c r="D280" s="1"/>
      <c r="E280" s="84" t="s">
        <v>448</v>
      </c>
      <c r="F280" s="96" t="s">
        <v>44</v>
      </c>
      <c r="G280" s="33">
        <v>1</v>
      </c>
      <c r="H280" s="35">
        <v>529550</v>
      </c>
      <c r="I280" s="525">
        <f t="shared" si="81"/>
        <v>690268.42500000005</v>
      </c>
      <c r="J280" s="86">
        <f t="shared" si="82"/>
        <v>690268.42500000005</v>
      </c>
      <c r="K280" s="4"/>
      <c r="L280" s="4"/>
      <c r="M280" s="4"/>
    </row>
    <row r="281" spans="1:13" ht="15.75" customHeight="1" x14ac:dyDescent="0.25">
      <c r="A281" s="31">
        <v>163</v>
      </c>
      <c r="B281" s="329">
        <v>6416</v>
      </c>
      <c r="C281" s="96" t="s">
        <v>444</v>
      </c>
      <c r="D281" s="1"/>
      <c r="E281" s="84" t="s">
        <v>449</v>
      </c>
      <c r="F281" s="96" t="s">
        <v>44</v>
      </c>
      <c r="G281" s="33">
        <v>1</v>
      </c>
      <c r="H281" s="35">
        <v>134470</v>
      </c>
      <c r="I281" s="525">
        <f t="shared" si="81"/>
        <v>175281.64500000002</v>
      </c>
      <c r="J281" s="86">
        <f t="shared" si="82"/>
        <v>175281.64500000002</v>
      </c>
      <c r="K281" s="4"/>
      <c r="L281" s="4"/>
      <c r="M281" s="4"/>
    </row>
    <row r="282" spans="1:13" ht="15.75" customHeight="1" x14ac:dyDescent="0.25">
      <c r="A282" s="31">
        <v>164</v>
      </c>
      <c r="B282" s="329">
        <v>6417</v>
      </c>
      <c r="C282" s="96" t="s">
        <v>444</v>
      </c>
      <c r="D282" s="1"/>
      <c r="E282" s="84" t="s">
        <v>450</v>
      </c>
      <c r="F282" s="96" t="s">
        <v>44</v>
      </c>
      <c r="G282" s="33">
        <v>1</v>
      </c>
      <c r="H282" s="35">
        <v>177305</v>
      </c>
      <c r="I282" s="525">
        <f t="shared" si="81"/>
        <v>231117.0675</v>
      </c>
      <c r="J282" s="86">
        <f t="shared" si="82"/>
        <v>231117.0675</v>
      </c>
      <c r="K282" s="4"/>
      <c r="L282" s="4"/>
      <c r="M282" s="4"/>
    </row>
    <row r="283" spans="1:13" ht="15.75" customHeight="1" x14ac:dyDescent="0.25">
      <c r="A283" s="31">
        <v>165</v>
      </c>
      <c r="B283" s="329">
        <v>6418</v>
      </c>
      <c r="C283" s="96" t="s">
        <v>444</v>
      </c>
      <c r="D283" s="1"/>
      <c r="E283" s="84" t="s">
        <v>451</v>
      </c>
      <c r="F283" s="96" t="s">
        <v>44</v>
      </c>
      <c r="G283" s="33">
        <v>1</v>
      </c>
      <c r="H283" s="35">
        <v>232596</v>
      </c>
      <c r="I283" s="525">
        <f t="shared" si="81"/>
        <v>303188.886</v>
      </c>
      <c r="J283" s="86">
        <f t="shared" si="82"/>
        <v>303188.886</v>
      </c>
      <c r="K283" s="4"/>
      <c r="L283" s="4"/>
      <c r="M283" s="4"/>
    </row>
    <row r="284" spans="1:13" ht="15.75" customHeight="1" x14ac:dyDescent="0.25">
      <c r="A284" s="31">
        <v>166</v>
      </c>
      <c r="B284" s="329">
        <v>6645</v>
      </c>
      <c r="C284" s="96" t="s">
        <v>444</v>
      </c>
      <c r="D284" s="1"/>
      <c r="E284" s="84" t="s">
        <v>452</v>
      </c>
      <c r="F284" s="96" t="s">
        <v>44</v>
      </c>
      <c r="G284" s="545">
        <v>3</v>
      </c>
      <c r="H284" s="35">
        <v>95971</v>
      </c>
      <c r="I284" s="525">
        <f t="shared" si="81"/>
        <v>375294.59550000005</v>
      </c>
      <c r="J284" s="86">
        <f t="shared" si="82"/>
        <v>125098.19850000001</v>
      </c>
      <c r="K284" s="4"/>
      <c r="L284" s="4"/>
      <c r="M284" s="4"/>
    </row>
    <row r="285" spans="1:13" ht="15.75" customHeight="1" x14ac:dyDescent="0.25">
      <c r="A285" s="31">
        <v>167</v>
      </c>
      <c r="B285" s="329">
        <v>6646</v>
      </c>
      <c r="C285" s="96" t="s">
        <v>444</v>
      </c>
      <c r="D285" s="1"/>
      <c r="E285" s="84" t="s">
        <v>453</v>
      </c>
      <c r="F285" s="96" t="s">
        <v>44</v>
      </c>
      <c r="G285" s="33">
        <v>1</v>
      </c>
      <c r="H285" s="35">
        <v>133412</v>
      </c>
      <c r="I285" s="525">
        <f t="shared" si="81"/>
        <v>173902.54200000002</v>
      </c>
      <c r="J285" s="86">
        <f t="shared" si="82"/>
        <v>173902.54200000002</v>
      </c>
      <c r="K285" s="4"/>
      <c r="L285" s="4"/>
      <c r="M285" s="4"/>
    </row>
    <row r="286" spans="1:13" ht="15.75" customHeight="1" x14ac:dyDescent="0.25">
      <c r="A286" s="31">
        <v>168</v>
      </c>
      <c r="B286" s="329">
        <v>6650</v>
      </c>
      <c r="C286" s="96" t="s">
        <v>444</v>
      </c>
      <c r="D286" s="1"/>
      <c r="E286" s="84" t="s">
        <v>454</v>
      </c>
      <c r="F286" s="96" t="s">
        <v>44</v>
      </c>
      <c r="G286" s="545">
        <v>1.0000180464897213</v>
      </c>
      <c r="H286" s="35">
        <v>85021</v>
      </c>
      <c r="I286" s="525">
        <f t="shared" si="81"/>
        <v>110826.87349994048</v>
      </c>
      <c r="J286" s="86">
        <f t="shared" si="82"/>
        <v>110824.8735</v>
      </c>
      <c r="K286" s="4"/>
      <c r="L286" s="4"/>
      <c r="M286" s="4"/>
    </row>
    <row r="287" spans="1:13" ht="15.75" customHeight="1" x14ac:dyDescent="0.25">
      <c r="A287" s="31">
        <v>169</v>
      </c>
      <c r="B287" s="329">
        <v>6649</v>
      </c>
      <c r="C287" s="96" t="s">
        <v>444</v>
      </c>
      <c r="D287" s="1"/>
      <c r="E287" s="84" t="s">
        <v>455</v>
      </c>
      <c r="F287" s="96" t="s">
        <v>44</v>
      </c>
      <c r="G287" s="33">
        <v>1</v>
      </c>
      <c r="H287" s="35">
        <v>110061</v>
      </c>
      <c r="I287" s="525">
        <f t="shared" si="81"/>
        <v>143464.5135</v>
      </c>
      <c r="J287" s="86">
        <f t="shared" si="82"/>
        <v>143464.5135</v>
      </c>
      <c r="K287" s="4"/>
      <c r="L287" s="4"/>
      <c r="M287" s="4"/>
    </row>
    <row r="288" spans="1:13" ht="15.75" customHeight="1" x14ac:dyDescent="0.25">
      <c r="A288" s="31">
        <v>170</v>
      </c>
      <c r="B288" s="329">
        <v>6651</v>
      </c>
      <c r="C288" s="96" t="s">
        <v>444</v>
      </c>
      <c r="D288" s="1"/>
      <c r="E288" s="84" t="s">
        <v>456</v>
      </c>
      <c r="F288" s="96" t="s">
        <v>44</v>
      </c>
      <c r="G288" s="33">
        <v>1</v>
      </c>
      <c r="H288" s="35">
        <v>126615</v>
      </c>
      <c r="I288" s="525">
        <f t="shared" si="81"/>
        <v>165042.65250000003</v>
      </c>
      <c r="J288" s="86">
        <f t="shared" si="82"/>
        <v>165042.65250000003</v>
      </c>
      <c r="K288" s="4"/>
      <c r="L288" s="4"/>
      <c r="M288" s="4"/>
    </row>
    <row r="289" spans="1:13" ht="15.75" customHeight="1" x14ac:dyDescent="0.25">
      <c r="A289" s="31">
        <v>171</v>
      </c>
      <c r="B289" s="329">
        <v>6652</v>
      </c>
      <c r="C289" s="96" t="s">
        <v>444</v>
      </c>
      <c r="D289" s="1"/>
      <c r="E289" s="84" t="s">
        <v>457</v>
      </c>
      <c r="F289" s="96" t="s">
        <v>44</v>
      </c>
      <c r="G289" s="33">
        <v>1</v>
      </c>
      <c r="H289" s="35">
        <v>167099</v>
      </c>
      <c r="I289" s="525">
        <f t="shared" si="81"/>
        <v>217813.54650000003</v>
      </c>
      <c r="J289" s="86">
        <f t="shared" si="82"/>
        <v>217813.54650000003</v>
      </c>
      <c r="K289" s="4"/>
      <c r="L289" s="4"/>
      <c r="M289" s="4"/>
    </row>
    <row r="290" spans="1:13" ht="15.75" customHeight="1" x14ac:dyDescent="0.25">
      <c r="A290" s="31">
        <v>172</v>
      </c>
      <c r="B290" s="329">
        <v>6653</v>
      </c>
      <c r="C290" s="96" t="s">
        <v>444</v>
      </c>
      <c r="D290" s="1"/>
      <c r="E290" s="84" t="s">
        <v>458</v>
      </c>
      <c r="F290" s="96" t="s">
        <v>44</v>
      </c>
      <c r="G290" s="33">
        <v>1</v>
      </c>
      <c r="H290" s="35">
        <v>313678</v>
      </c>
      <c r="I290" s="525">
        <f>+J290*G290</f>
        <v>408879.27300000004</v>
      </c>
      <c r="J290" s="86">
        <f t="shared" si="82"/>
        <v>408879.27300000004</v>
      </c>
      <c r="K290" s="4"/>
      <c r="L290" s="4"/>
      <c r="M290" s="4"/>
    </row>
    <row r="291" spans="1:13" ht="15.75" customHeight="1" x14ac:dyDescent="0.25">
      <c r="A291" s="31">
        <v>173</v>
      </c>
      <c r="B291" s="329">
        <v>8174</v>
      </c>
      <c r="C291" s="96" t="s">
        <v>444</v>
      </c>
      <c r="D291" s="1"/>
      <c r="E291" s="84" t="s">
        <v>459</v>
      </c>
      <c r="F291" s="96" t="s">
        <v>44</v>
      </c>
      <c r="G291" s="33">
        <v>5</v>
      </c>
      <c r="H291" s="35">
        <v>14068</v>
      </c>
      <c r="I291" s="525">
        <f t="shared" si="81"/>
        <v>91688.190000000017</v>
      </c>
      <c r="J291" s="86">
        <f t="shared" si="82"/>
        <v>18337.638000000003</v>
      </c>
      <c r="K291" s="4"/>
      <c r="L291" s="4"/>
      <c r="M291" s="4"/>
    </row>
    <row r="292" spans="1:13" ht="15.75" customHeight="1" x14ac:dyDescent="0.25">
      <c r="A292" s="31">
        <v>174</v>
      </c>
      <c r="B292" s="329">
        <v>8175</v>
      </c>
      <c r="C292" s="96" t="s">
        <v>444</v>
      </c>
      <c r="D292" s="1"/>
      <c r="E292" s="84" t="s">
        <v>460</v>
      </c>
      <c r="F292" s="96" t="s">
        <v>44</v>
      </c>
      <c r="G292" s="33">
        <v>5</v>
      </c>
      <c r="H292" s="35">
        <v>10702</v>
      </c>
      <c r="I292" s="525">
        <f t="shared" si="81"/>
        <v>69750.285000000003</v>
      </c>
      <c r="J292" s="86">
        <f t="shared" si="82"/>
        <v>13950.057000000001</v>
      </c>
      <c r="K292" s="4"/>
      <c r="L292" s="4"/>
      <c r="M292" s="4"/>
    </row>
    <row r="293" spans="1:13" ht="15.75" customHeight="1" x14ac:dyDescent="0.25">
      <c r="A293" s="31">
        <v>175</v>
      </c>
      <c r="B293" s="329">
        <v>8088</v>
      </c>
      <c r="C293" s="96" t="s">
        <v>444</v>
      </c>
      <c r="D293" s="1"/>
      <c r="E293" s="84" t="s">
        <v>461</v>
      </c>
      <c r="F293" s="96" t="s">
        <v>44</v>
      </c>
      <c r="G293" s="52">
        <v>10</v>
      </c>
      <c r="H293" s="35">
        <v>4125</v>
      </c>
      <c r="I293" s="525">
        <f t="shared" si="81"/>
        <v>53769.375</v>
      </c>
      <c r="J293" s="86">
        <f t="shared" si="82"/>
        <v>5376.9375</v>
      </c>
      <c r="K293" s="4"/>
      <c r="L293" s="4"/>
      <c r="M293" s="4"/>
    </row>
    <row r="294" spans="1:13" ht="15.75" customHeight="1" x14ac:dyDescent="0.25">
      <c r="A294" s="93" t="s">
        <v>33</v>
      </c>
      <c r="B294" s="54"/>
      <c r="C294" s="55"/>
      <c r="D294" s="55"/>
      <c r="E294" s="88"/>
      <c r="F294" s="54"/>
      <c r="G294" s="55"/>
      <c r="H294" s="57"/>
      <c r="I294" s="533">
        <f>SUM(I277:I293)</f>
        <v>3961116.9049999407</v>
      </c>
      <c r="J294" s="4"/>
      <c r="K294" s="4"/>
      <c r="L294" s="4"/>
      <c r="M294" s="4"/>
    </row>
    <row r="295" spans="1:13" ht="15.75" customHeight="1" x14ac:dyDescent="0.25">
      <c r="A295" s="97"/>
      <c r="B295" s="361">
        <v>11</v>
      </c>
      <c r="C295" s="65"/>
      <c r="D295" s="65"/>
      <c r="E295" s="362" t="s">
        <v>554</v>
      </c>
      <c r="F295" s="65"/>
      <c r="G295" s="65"/>
      <c r="H295" s="68"/>
      <c r="I295" s="534"/>
      <c r="J295" s="92"/>
      <c r="K295" s="4"/>
      <c r="L295" s="4"/>
      <c r="M295" s="4"/>
    </row>
    <row r="296" spans="1:13" ht="15.75" customHeight="1" x14ac:dyDescent="0.25">
      <c r="A296" s="33">
        <v>176</v>
      </c>
      <c r="B296" s="392">
        <v>11.1</v>
      </c>
      <c r="C296" s="335" t="s">
        <v>156</v>
      </c>
      <c r="D296" s="393"/>
      <c r="E296" s="363" t="str">
        <f>+'PRESUPUESTO FINAL FDLU'!E296</f>
        <v>SUM E INST. PANEL SOLAR 330 W</v>
      </c>
      <c r="F296" s="364" t="s">
        <v>44</v>
      </c>
      <c r="G296" s="49">
        <v>2</v>
      </c>
      <c r="H296" s="35">
        <f>+'PRESUPUESTO FINAL FDLU'!H296</f>
        <v>344556</v>
      </c>
      <c r="I296" s="524">
        <f>+J296*G296</f>
        <v>898257.49200000009</v>
      </c>
      <c r="J296" s="86">
        <f>+H296*$J$9</f>
        <v>449128.74600000004</v>
      </c>
      <c r="K296" s="4"/>
      <c r="L296" s="4"/>
      <c r="M296" s="4"/>
    </row>
    <row r="297" spans="1:13" ht="15.75" customHeight="1" x14ac:dyDescent="0.25">
      <c r="A297" s="54"/>
      <c r="B297" s="54"/>
      <c r="C297" s="100"/>
      <c r="D297" s="55"/>
      <c r="E297" s="340"/>
      <c r="F297" s="54"/>
      <c r="G297" s="55"/>
      <c r="H297" s="334"/>
      <c r="I297" s="531">
        <f>SUM(I296:I296)</f>
        <v>898257.49200000009</v>
      </c>
      <c r="J297" s="86"/>
      <c r="K297" s="4"/>
      <c r="L297" s="4"/>
      <c r="M297" s="4"/>
    </row>
    <row r="298" spans="1:13" ht="15.75" customHeight="1" x14ac:dyDescent="0.25">
      <c r="A298" s="97"/>
      <c r="B298" s="97">
        <v>12</v>
      </c>
      <c r="C298" s="65"/>
      <c r="D298" s="65"/>
      <c r="E298" s="339" t="s">
        <v>462</v>
      </c>
      <c r="F298" s="65"/>
      <c r="G298" s="65"/>
      <c r="H298" s="68"/>
      <c r="I298" s="534"/>
      <c r="J298" s="92"/>
      <c r="K298" s="4"/>
      <c r="L298" s="4"/>
      <c r="M298" s="4"/>
    </row>
    <row r="299" spans="1:13" ht="15.75" customHeight="1" x14ac:dyDescent="0.25">
      <c r="A299" s="33">
        <v>176</v>
      </c>
      <c r="B299" s="32">
        <v>12.1</v>
      </c>
      <c r="C299" s="33" t="s">
        <v>156</v>
      </c>
      <c r="D299" s="1"/>
      <c r="E299" s="370" t="s">
        <v>555</v>
      </c>
      <c r="F299" s="368" t="s">
        <v>23</v>
      </c>
      <c r="G299" s="369">
        <v>550</v>
      </c>
      <c r="H299" s="356">
        <f>+'PRESUPUESTO FINAL FDLU'!H299</f>
        <v>6470</v>
      </c>
      <c r="I299" s="524">
        <f>+J299*G299</f>
        <v>4638504.75</v>
      </c>
      <c r="J299" s="86">
        <f>+H299*$J$9</f>
        <v>8433.6450000000004</v>
      </c>
      <c r="K299" s="4"/>
      <c r="L299" s="4"/>
      <c r="M299" s="4"/>
    </row>
    <row r="300" spans="1:13" ht="15.75" customHeight="1" x14ac:dyDescent="0.25">
      <c r="A300" s="33">
        <v>177</v>
      </c>
      <c r="B300" s="32">
        <v>12.2</v>
      </c>
      <c r="C300" s="33" t="s">
        <v>156</v>
      </c>
      <c r="D300" s="1"/>
      <c r="E300" s="341" t="s">
        <v>464</v>
      </c>
      <c r="F300" s="337" t="s">
        <v>23</v>
      </c>
      <c r="G300" s="33">
        <v>100</v>
      </c>
      <c r="H300" s="35">
        <f>+'PRESUPUESTO FINAL FDLU'!H300</f>
        <v>8692</v>
      </c>
      <c r="I300" s="524">
        <f t="shared" ref="I300:I302" si="83">+J300*G300</f>
        <v>1133002.2000000002</v>
      </c>
      <c r="J300" s="86">
        <f t="shared" ref="J300:J303" si="84">+H300*$J$9</f>
        <v>11330.022000000001</v>
      </c>
      <c r="K300" s="4"/>
      <c r="L300" s="4"/>
      <c r="M300" s="4"/>
    </row>
    <row r="301" spans="1:13" ht="15.75" customHeight="1" x14ac:dyDescent="0.25">
      <c r="A301" s="33">
        <v>178</v>
      </c>
      <c r="B301" s="32">
        <v>12.3</v>
      </c>
      <c r="C301" s="33" t="s">
        <v>156</v>
      </c>
      <c r="D301" s="4"/>
      <c r="E301" s="365" t="s">
        <v>465</v>
      </c>
      <c r="F301" s="366" t="s">
        <v>23</v>
      </c>
      <c r="G301" s="355">
        <f>2000*1.1</f>
        <v>2200</v>
      </c>
      <c r="H301" s="367">
        <f>+'PRESUPUESTO FINAL FDLU'!H301</f>
        <v>20715</v>
      </c>
      <c r="I301" s="524">
        <f t="shared" si="83"/>
        <v>59404405.500000007</v>
      </c>
      <c r="J301" s="86">
        <f t="shared" si="84"/>
        <v>27002.002500000002</v>
      </c>
      <c r="K301" s="4"/>
      <c r="L301" s="4"/>
      <c r="M301" s="4"/>
    </row>
    <row r="302" spans="1:13" ht="15.75" customHeight="1" x14ac:dyDescent="0.25">
      <c r="A302" s="33">
        <v>179</v>
      </c>
      <c r="B302" s="32">
        <v>12.4</v>
      </c>
      <c r="C302" s="33" t="s">
        <v>156</v>
      </c>
      <c r="D302" s="1"/>
      <c r="E302" s="341" t="s">
        <v>466</v>
      </c>
      <c r="F302" s="338" t="s">
        <v>23</v>
      </c>
      <c r="G302" s="52">
        <v>100</v>
      </c>
      <c r="H302" s="35">
        <f>+'PRESUPUESTO FINAL FDLU'!H302</f>
        <v>33393</v>
      </c>
      <c r="I302" s="524">
        <f t="shared" si="83"/>
        <v>4352777.5500000007</v>
      </c>
      <c r="J302" s="86">
        <f t="shared" si="84"/>
        <v>43527.775500000003</v>
      </c>
      <c r="K302" s="4"/>
      <c r="L302" s="4"/>
      <c r="M302" s="4"/>
    </row>
    <row r="303" spans="1:13" ht="15.75" customHeight="1" x14ac:dyDescent="0.25">
      <c r="A303" s="54"/>
      <c r="B303" s="54"/>
      <c r="C303" s="100"/>
      <c r="D303" s="99"/>
      <c r="E303" s="340"/>
      <c r="F303" s="54"/>
      <c r="G303" s="55"/>
      <c r="H303" s="334"/>
      <c r="I303" s="531">
        <f>SUM(I299:I302)</f>
        <v>69528690.000000015</v>
      </c>
      <c r="J303" s="86">
        <f t="shared" si="84"/>
        <v>0</v>
      </c>
      <c r="K303" s="4"/>
      <c r="L303" s="4"/>
      <c r="M303" s="4"/>
    </row>
    <row r="304" spans="1:13" ht="15.75" customHeight="1" x14ac:dyDescent="0.25">
      <c r="A304" s="97"/>
      <c r="B304" s="97">
        <v>13</v>
      </c>
      <c r="C304" s="65"/>
      <c r="D304" s="402"/>
      <c r="E304" s="339" t="s">
        <v>467</v>
      </c>
      <c r="F304" s="65"/>
      <c r="G304" s="65"/>
      <c r="H304" s="68"/>
      <c r="I304" s="534"/>
      <c r="J304" s="92"/>
      <c r="K304" s="398"/>
      <c r="L304" s="4"/>
      <c r="M304" s="4"/>
    </row>
    <row r="305" spans="1:13" ht="15.75" customHeight="1" x14ac:dyDescent="0.25">
      <c r="A305" s="33">
        <v>252</v>
      </c>
      <c r="B305" s="32">
        <v>13.1</v>
      </c>
      <c r="C305" s="516" t="s">
        <v>156</v>
      </c>
      <c r="D305" s="404"/>
      <c r="E305" s="341" t="s">
        <v>562</v>
      </c>
      <c r="F305" s="336" t="s">
        <v>23</v>
      </c>
      <c r="G305" s="49">
        <v>20</v>
      </c>
      <c r="H305" s="384">
        <f>+'[4]PERFORACION H.2"SR '!$O$56</f>
        <v>867717.88767848106</v>
      </c>
      <c r="I305" s="523">
        <f>+J305*G305</f>
        <v>22621405.331778005</v>
      </c>
      <c r="J305" s="86">
        <f t="shared" ref="J305:J312" si="85">+H305*$J$9</f>
        <v>1131070.2665889002</v>
      </c>
      <c r="K305" s="398"/>
      <c r="L305" s="4"/>
      <c r="M305" s="4"/>
    </row>
    <row r="306" spans="1:13" ht="15.75" customHeight="1" x14ac:dyDescent="0.25">
      <c r="A306" s="33">
        <v>253</v>
      </c>
      <c r="B306" s="32">
        <v>13.2</v>
      </c>
      <c r="C306" s="516" t="s">
        <v>156</v>
      </c>
      <c r="D306" s="404"/>
      <c r="E306" s="506" t="s">
        <v>563</v>
      </c>
      <c r="F306" s="338" t="s">
        <v>23</v>
      </c>
      <c r="G306" s="49">
        <v>1</v>
      </c>
      <c r="H306" s="384">
        <f>+'[4]PERFORACION H.3"SR'!$O$56</f>
        <v>1017717.8876784811</v>
      </c>
      <c r="I306" s="523">
        <f t="shared" ref="I306:I308" si="86">+J306*G306</f>
        <v>1326595.2665889002</v>
      </c>
      <c r="J306" s="86">
        <f t="shared" si="85"/>
        <v>1326595.2665889002</v>
      </c>
      <c r="K306" s="398"/>
      <c r="L306" s="4"/>
      <c r="M306" s="4"/>
    </row>
    <row r="307" spans="1:13" ht="15.75" customHeight="1" x14ac:dyDescent="0.25">
      <c r="A307" s="33">
        <v>254</v>
      </c>
      <c r="B307" s="32">
        <v>13.3</v>
      </c>
      <c r="C307" s="516" t="s">
        <v>156</v>
      </c>
      <c r="D307" s="405"/>
      <c r="E307" s="341" t="s">
        <v>564</v>
      </c>
      <c r="F307" s="522" t="s">
        <v>23</v>
      </c>
      <c r="G307" s="520">
        <v>1</v>
      </c>
      <c r="H307" s="384">
        <f>+'[4]PERFORACION H.4"SR '!$O$56</f>
        <v>1217717.8876784812</v>
      </c>
      <c r="I307" s="523">
        <f t="shared" si="86"/>
        <v>1587295.2665889002</v>
      </c>
      <c r="J307" s="86">
        <f t="shared" si="85"/>
        <v>1587295.2665889002</v>
      </c>
      <c r="K307" s="398"/>
      <c r="L307" s="4"/>
      <c r="M307" s="4"/>
    </row>
    <row r="308" spans="1:13" ht="15.75" customHeight="1" x14ac:dyDescent="0.25">
      <c r="A308" s="33">
        <v>255</v>
      </c>
      <c r="B308" s="32">
        <v>13.4</v>
      </c>
      <c r="C308" s="516" t="s">
        <v>156</v>
      </c>
      <c r="D308" s="404"/>
      <c r="E308" s="341" t="s">
        <v>565</v>
      </c>
      <c r="F308" s="522" t="s">
        <v>23</v>
      </c>
      <c r="G308" s="520">
        <v>1</v>
      </c>
      <c r="H308" s="384">
        <f>+'[4]PERFORACION H.6"SR '!$O$56</f>
        <v>1667717.8876784812</v>
      </c>
      <c r="I308" s="523">
        <f t="shared" si="86"/>
        <v>2173870.2665889002</v>
      </c>
      <c r="J308" s="86">
        <f t="shared" si="85"/>
        <v>2173870.2665889002</v>
      </c>
      <c r="K308" s="398"/>
      <c r="L308" s="4"/>
      <c r="M308" s="4"/>
    </row>
    <row r="309" spans="1:13" ht="15.75" customHeight="1" x14ac:dyDescent="0.25">
      <c r="A309" s="33">
        <v>252</v>
      </c>
      <c r="B309" s="32">
        <v>13.5</v>
      </c>
      <c r="C309" s="516" t="s">
        <v>156</v>
      </c>
      <c r="D309" s="404"/>
      <c r="E309" s="341" t="s">
        <v>566</v>
      </c>
      <c r="F309" s="522" t="s">
        <v>23</v>
      </c>
      <c r="G309" s="520">
        <v>1</v>
      </c>
      <c r="H309" s="384">
        <f>+'[4]PERFORACION H.2"CR  '!$O$56</f>
        <v>1617717.8876784812</v>
      </c>
      <c r="I309" s="523">
        <f>+J309*G309</f>
        <v>2108695.2665889002</v>
      </c>
      <c r="J309" s="86">
        <f t="shared" si="85"/>
        <v>2108695.2665889002</v>
      </c>
      <c r="K309" s="398"/>
      <c r="L309" s="4"/>
      <c r="M309" s="4"/>
    </row>
    <row r="310" spans="1:13" ht="15.75" customHeight="1" x14ac:dyDescent="0.25">
      <c r="A310" s="33">
        <v>253</v>
      </c>
      <c r="B310" s="32">
        <v>13.6</v>
      </c>
      <c r="C310" s="516" t="s">
        <v>156</v>
      </c>
      <c r="D310" s="404"/>
      <c r="E310" s="341" t="s">
        <v>567</v>
      </c>
      <c r="F310" s="522" t="s">
        <v>23</v>
      </c>
      <c r="G310" s="520">
        <v>34</v>
      </c>
      <c r="H310" s="384">
        <f>+'[4]PERFORACION H.3"CR '!$O$56</f>
        <v>2267717.8876784812</v>
      </c>
      <c r="I310" s="523">
        <f t="shared" ref="I310:I312" si="87">+J310*G310</f>
        <v>100502989.0640226</v>
      </c>
      <c r="J310" s="86">
        <f t="shared" si="85"/>
        <v>2955970.2665889002</v>
      </c>
      <c r="K310" s="398"/>
      <c r="L310" s="4"/>
      <c r="M310" s="4"/>
    </row>
    <row r="311" spans="1:13" ht="15.75" customHeight="1" x14ac:dyDescent="0.25">
      <c r="A311" s="33">
        <v>254</v>
      </c>
      <c r="B311" s="32">
        <v>13.7</v>
      </c>
      <c r="C311" s="516" t="s">
        <v>156</v>
      </c>
      <c r="D311" s="405"/>
      <c r="E311" s="341" t="s">
        <v>568</v>
      </c>
      <c r="F311" s="336" t="s">
        <v>23</v>
      </c>
      <c r="G311" s="49">
        <v>1</v>
      </c>
      <c r="H311" s="384">
        <f>+'[4]PERFORACION H.4"CR'!$O$56</f>
        <v>2857717.8876784807</v>
      </c>
      <c r="I311" s="523">
        <f t="shared" si="87"/>
        <v>3725035.2665888998</v>
      </c>
      <c r="J311" s="86">
        <f t="shared" si="85"/>
        <v>3725035.2665888998</v>
      </c>
      <c r="K311" s="398"/>
      <c r="L311" s="4"/>
      <c r="M311" s="4"/>
    </row>
    <row r="312" spans="1:13" ht="15.75" customHeight="1" x14ac:dyDescent="0.25">
      <c r="A312" s="33">
        <v>255</v>
      </c>
      <c r="B312" s="32">
        <v>13.8</v>
      </c>
      <c r="C312" s="516" t="s">
        <v>156</v>
      </c>
      <c r="D312" s="404"/>
      <c r="E312" s="341" t="s">
        <v>569</v>
      </c>
      <c r="F312" s="338" t="s">
        <v>23</v>
      </c>
      <c r="G312" s="49">
        <v>1</v>
      </c>
      <c r="H312" s="384">
        <f>+'[4]PERFORACION H.6"CR '!$O$56</f>
        <v>4037717.8876784807</v>
      </c>
      <c r="I312" s="523">
        <f t="shared" si="87"/>
        <v>5263165.2665889002</v>
      </c>
      <c r="J312" s="86">
        <f t="shared" si="85"/>
        <v>5263165.2665889002</v>
      </c>
      <c r="K312" s="398"/>
      <c r="L312" s="4"/>
      <c r="M312" s="4"/>
    </row>
    <row r="313" spans="1:13" ht="15.75" customHeight="1" thickBot="1" x14ac:dyDescent="0.3">
      <c r="A313" s="101"/>
      <c r="B313" s="101"/>
      <c r="C313" s="102"/>
      <c r="D313" s="517"/>
      <c r="E313" s="383"/>
      <c r="F313" s="101"/>
      <c r="G313" s="103"/>
      <c r="H313" s="105"/>
      <c r="I313" s="105">
        <f>SUM(I305:I312)</f>
        <v>139309050.995334</v>
      </c>
      <c r="J313" s="98"/>
      <c r="K313" s="4"/>
      <c r="L313" s="4"/>
      <c r="M313" s="4"/>
    </row>
    <row r="314" spans="1:13" ht="15.75" customHeight="1" x14ac:dyDescent="0.25">
      <c r="A314" s="97"/>
      <c r="B314" s="97">
        <v>16</v>
      </c>
      <c r="C314" s="65"/>
      <c r="D314" s="65"/>
      <c r="E314" s="339" t="s">
        <v>558</v>
      </c>
      <c r="F314" s="65"/>
      <c r="G314" s="65"/>
      <c r="H314" s="68"/>
      <c r="I314" s="69"/>
      <c r="J314" s="92"/>
      <c r="K314" s="4"/>
      <c r="L314" s="4"/>
      <c r="M314" s="4"/>
    </row>
    <row r="315" spans="1:13" ht="15.75" customHeight="1" x14ac:dyDescent="0.25">
      <c r="A315" s="33">
        <v>230</v>
      </c>
      <c r="B315" s="96">
        <v>13.1</v>
      </c>
      <c r="C315" s="33" t="s">
        <v>156</v>
      </c>
      <c r="D315" s="1"/>
      <c r="E315" s="341" t="s">
        <v>559</v>
      </c>
      <c r="F315" s="401" t="s">
        <v>26</v>
      </c>
      <c r="G315" s="49">
        <v>40</v>
      </c>
      <c r="H315" s="35">
        <v>67036</v>
      </c>
      <c r="I315" s="524">
        <f>+J315*G315</f>
        <v>3495257.04</v>
      </c>
      <c r="J315" s="86">
        <f>+H315*$J$9</f>
        <v>87381.426000000007</v>
      </c>
      <c r="K315" s="4"/>
      <c r="L315" s="4"/>
      <c r="M315" s="4"/>
    </row>
    <row r="316" spans="1:13" ht="15.75" customHeight="1" thickBot="1" x14ac:dyDescent="0.3">
      <c r="A316" s="101"/>
      <c r="B316" s="101"/>
      <c r="C316" s="102"/>
      <c r="D316" s="103"/>
      <c r="E316" s="104"/>
      <c r="F316" s="101"/>
      <c r="G316" s="103"/>
      <c r="H316" s="105"/>
      <c r="I316" s="105">
        <f>SUM(I315:I315)</f>
        <v>3495257.04</v>
      </c>
      <c r="J316" s="98"/>
      <c r="K316" s="4"/>
      <c r="L316" s="4"/>
      <c r="M316" s="4"/>
    </row>
    <row r="317" spans="1:13" ht="15.75" customHeight="1" thickBot="1" x14ac:dyDescent="0.3">
      <c r="A317" s="1"/>
      <c r="B317" s="1"/>
      <c r="C317" s="2"/>
      <c r="D317" s="1"/>
      <c r="E317" s="106" t="s">
        <v>468</v>
      </c>
      <c r="F317" s="107"/>
      <c r="G317" s="108"/>
      <c r="H317" s="109"/>
      <c r="I317" s="110">
        <f>+I17+I27+I33+I38+I41+I44+I50+I59+I63+I67+I71+I78+I89+I93+I99+I106+I116+I122+I130+I139+I143+I147+I151+I155+I158+I165+I170+I173+I180+I185+I190+I196+I200+I203+I208+I213+I218+I222+I229+I235+I241+I247+I259+I264+I269+I275+I294+I297+I303+I313+I316</f>
        <v>518087003.33658546</v>
      </c>
      <c r="J317" s="86"/>
      <c r="K317" s="4"/>
      <c r="L317" s="4"/>
      <c r="M317" s="4"/>
    </row>
    <row r="318" spans="1:13" ht="15.75" customHeight="1" thickBot="1" x14ac:dyDescent="0.3">
      <c r="A318" s="1"/>
      <c r="B318" s="1"/>
      <c r="C318" s="2"/>
      <c r="D318" s="1"/>
      <c r="E318" s="111" t="s">
        <v>469</v>
      </c>
      <c r="F318" s="112"/>
      <c r="G318" s="112"/>
      <c r="H318" s="113">
        <v>8.0000000000000002E-3</v>
      </c>
      <c r="I318" s="114">
        <f>+I317*H318</f>
        <v>4144696.0266926838</v>
      </c>
      <c r="J318" s="86"/>
      <c r="K318" s="4"/>
      <c r="L318" s="4"/>
      <c r="M318" s="4"/>
    </row>
    <row r="319" spans="1:13" ht="15.75" customHeight="1" thickBot="1" x14ac:dyDescent="0.3">
      <c r="A319" s="1"/>
      <c r="B319" s="1"/>
      <c r="C319" s="2"/>
      <c r="D319" s="1"/>
      <c r="E319" s="111" t="s">
        <v>470</v>
      </c>
      <c r="F319" s="112"/>
      <c r="G319" s="115"/>
      <c r="H319" s="113">
        <v>8.0000000000000002E-3</v>
      </c>
      <c r="I319" s="116">
        <f>+I317*H319</f>
        <v>4144696.0266926838</v>
      </c>
      <c r="J319" s="86"/>
      <c r="K319" s="4"/>
      <c r="L319" s="4"/>
      <c r="M319" s="4"/>
    </row>
    <row r="320" spans="1:13" ht="15.75" customHeight="1" thickBot="1" x14ac:dyDescent="0.3">
      <c r="A320" s="1"/>
      <c r="B320" s="1"/>
      <c r="C320" s="2"/>
      <c r="D320" s="1"/>
      <c r="E320" s="111" t="s">
        <v>471</v>
      </c>
      <c r="F320" s="112"/>
      <c r="G320" s="1"/>
      <c r="H320" s="113">
        <v>5.0000000000000001E-3</v>
      </c>
      <c r="I320" s="116">
        <f>+I317*H320</f>
        <v>2590435.0166829275</v>
      </c>
      <c r="J320" s="86"/>
      <c r="K320" s="4"/>
      <c r="L320" s="4"/>
      <c r="M320" s="4"/>
    </row>
    <row r="321" spans="1:13" ht="15.75" customHeight="1" thickBot="1" x14ac:dyDescent="0.3">
      <c r="A321" s="1"/>
      <c r="B321" s="1"/>
      <c r="C321" s="2"/>
      <c r="D321" s="1"/>
      <c r="E321" s="117" t="s">
        <v>472</v>
      </c>
      <c r="F321" s="118"/>
      <c r="G321" s="119"/>
      <c r="H321" s="120"/>
      <c r="I321" s="121">
        <f>SUM(I317:I320)</f>
        <v>528966830.40665376</v>
      </c>
      <c r="J321" s="86"/>
      <c r="K321" s="4"/>
      <c r="L321" s="4"/>
      <c r="M321" s="4"/>
    </row>
    <row r="322" spans="1:13" ht="15.75" customHeight="1" x14ac:dyDescent="0.25">
      <c r="A322" s="1"/>
      <c r="B322" s="1"/>
      <c r="C322" s="2"/>
      <c r="D322" s="1"/>
      <c r="E322" s="1"/>
      <c r="F322" s="1"/>
      <c r="G322" s="1"/>
      <c r="H322" s="1"/>
      <c r="I322" s="1"/>
      <c r="J322" s="3"/>
      <c r="K322" s="4"/>
      <c r="L322" s="4"/>
      <c r="M322" s="4"/>
    </row>
    <row r="323" spans="1:13" ht="15.75" customHeight="1" x14ac:dyDescent="0.25">
      <c r="A323" s="1"/>
      <c r="B323" s="1"/>
      <c r="C323" s="2"/>
      <c r="D323" s="1"/>
      <c r="E323" s="1"/>
      <c r="F323" s="1"/>
      <c r="G323" s="1"/>
      <c r="H323" s="1"/>
      <c r="I323" s="1"/>
      <c r="J323" s="3"/>
      <c r="K323" s="4"/>
      <c r="L323" s="4"/>
      <c r="M323" s="4"/>
    </row>
    <row r="324" spans="1:13" ht="15.75" customHeight="1" thickBot="1" x14ac:dyDescent="0.3">
      <c r="A324" s="1"/>
      <c r="B324" s="1"/>
      <c r="C324" s="2"/>
      <c r="D324" s="1"/>
      <c r="E324" s="1"/>
      <c r="F324" s="1"/>
      <c r="G324" s="1"/>
      <c r="H324" s="1"/>
      <c r="I324" s="1"/>
      <c r="J324" s="3"/>
      <c r="K324" s="4"/>
      <c r="L324" s="4"/>
      <c r="M324" s="4"/>
    </row>
    <row r="325" spans="1:13" ht="15.75" customHeight="1" x14ac:dyDescent="0.25">
      <c r="A325" s="1"/>
      <c r="B325" s="122"/>
      <c r="C325" s="123"/>
      <c r="D325" s="123"/>
      <c r="E325" s="123"/>
      <c r="F325" s="123"/>
      <c r="G325" s="123"/>
      <c r="H325" s="123"/>
      <c r="I325" s="123"/>
      <c r="J325" s="3"/>
      <c r="K325" s="3"/>
      <c r="L325" s="4"/>
      <c r="M325" s="4"/>
    </row>
    <row r="326" spans="1:13" ht="15.75" customHeight="1" x14ac:dyDescent="0.25">
      <c r="A326" s="1"/>
      <c r="B326" s="584" t="s">
        <v>473</v>
      </c>
      <c r="C326" s="585"/>
      <c r="D326" s="585"/>
      <c r="E326" s="579"/>
      <c r="F326" s="578" t="s">
        <v>474</v>
      </c>
      <c r="G326" s="585"/>
      <c r="H326" s="579"/>
      <c r="I326" s="124" t="s">
        <v>475</v>
      </c>
      <c r="J326" s="3"/>
      <c r="K326" s="3"/>
      <c r="L326" s="4"/>
      <c r="M326" s="4"/>
    </row>
    <row r="327" spans="1:13" ht="15.75" customHeight="1" x14ac:dyDescent="0.25">
      <c r="A327" s="1"/>
      <c r="B327" s="584" t="s">
        <v>476</v>
      </c>
      <c r="C327" s="585"/>
      <c r="D327" s="585"/>
      <c r="E327" s="579"/>
      <c r="F327" s="580" t="s">
        <v>477</v>
      </c>
      <c r="G327" s="579"/>
      <c r="H327" s="358" t="s">
        <v>478</v>
      </c>
      <c r="I327" s="125">
        <v>0</v>
      </c>
      <c r="J327" s="3"/>
      <c r="K327" s="3"/>
      <c r="L327" s="4"/>
      <c r="M327" s="4"/>
    </row>
    <row r="328" spans="1:13" ht="15.75" customHeight="1" x14ac:dyDescent="0.25">
      <c r="A328" s="1"/>
      <c r="B328" s="584" t="s">
        <v>479</v>
      </c>
      <c r="C328" s="585"/>
      <c r="D328" s="585"/>
      <c r="E328" s="579"/>
      <c r="F328" s="586" t="s">
        <v>480</v>
      </c>
      <c r="G328" s="579"/>
      <c r="H328" s="358" t="s">
        <v>481</v>
      </c>
      <c r="I328" s="125">
        <v>0</v>
      </c>
      <c r="J328" s="3"/>
      <c r="K328" s="4"/>
      <c r="L328" s="4"/>
      <c r="M328" s="4"/>
    </row>
    <row r="329" spans="1:13" ht="15.75" customHeight="1" x14ac:dyDescent="0.25">
      <c r="A329" s="1"/>
      <c r="B329" s="570" t="s">
        <v>482</v>
      </c>
      <c r="C329" s="571"/>
      <c r="D329" s="571"/>
      <c r="E329" s="572"/>
      <c r="F329" s="578" t="s">
        <v>483</v>
      </c>
      <c r="G329" s="579"/>
      <c r="H329" s="358" t="s">
        <v>484</v>
      </c>
      <c r="I329" s="125">
        <v>0</v>
      </c>
      <c r="J329" s="3"/>
      <c r="K329" s="4"/>
      <c r="L329" s="4"/>
      <c r="M329" s="4"/>
    </row>
    <row r="330" spans="1:13" ht="15.75" customHeight="1" x14ac:dyDescent="0.25">
      <c r="A330" s="71"/>
      <c r="B330" s="573"/>
      <c r="C330" s="553"/>
      <c r="D330" s="553"/>
      <c r="E330" s="574"/>
      <c r="F330" s="580" t="s">
        <v>485</v>
      </c>
      <c r="G330" s="579"/>
      <c r="H330" s="381" t="s">
        <v>560</v>
      </c>
      <c r="I330" s="126">
        <f>SUM(I327:I329)</f>
        <v>0</v>
      </c>
      <c r="J330" s="3"/>
      <c r="K330" s="4"/>
      <c r="L330" s="4"/>
      <c r="M330" s="4"/>
    </row>
    <row r="331" spans="1:13" ht="26.25" customHeight="1" x14ac:dyDescent="0.25">
      <c r="A331" s="71"/>
      <c r="B331" s="575"/>
      <c r="C331" s="576"/>
      <c r="D331" s="576"/>
      <c r="E331" s="577"/>
      <c r="F331" s="581" t="s">
        <v>487</v>
      </c>
      <c r="G331" s="571"/>
      <c r="H331" s="571"/>
      <c r="I331" s="582"/>
      <c r="J331" s="3"/>
      <c r="K331" s="4"/>
      <c r="L331" s="4"/>
      <c r="M331" s="4"/>
    </row>
    <row r="332" spans="1:13" ht="51.75" customHeight="1" thickBot="1" x14ac:dyDescent="0.3">
      <c r="A332" s="71"/>
      <c r="B332" s="127"/>
      <c r="C332" s="128"/>
      <c r="D332" s="128"/>
      <c r="E332" s="128"/>
      <c r="F332" s="583"/>
      <c r="G332" s="557"/>
      <c r="H332" s="557"/>
      <c r="I332" s="558"/>
      <c r="J332" s="3"/>
      <c r="K332" s="4"/>
      <c r="L332" s="4"/>
      <c r="M332" s="4"/>
    </row>
  </sheetData>
  <mergeCells count="22">
    <mergeCell ref="B329:E331"/>
    <mergeCell ref="F329:G329"/>
    <mergeCell ref="F330:G330"/>
    <mergeCell ref="F331:I332"/>
    <mergeCell ref="B326:E326"/>
    <mergeCell ref="F326:H326"/>
    <mergeCell ref="B327:E327"/>
    <mergeCell ref="F327:G327"/>
    <mergeCell ref="B328:E328"/>
    <mergeCell ref="F328:G328"/>
    <mergeCell ref="A2:C2"/>
    <mergeCell ref="D2:I3"/>
    <mergeCell ref="A4:I4"/>
    <mergeCell ref="A5:I5"/>
    <mergeCell ref="A8:A9"/>
    <mergeCell ref="B8:B9"/>
    <mergeCell ref="C8:D8"/>
    <mergeCell ref="E8:E9"/>
    <mergeCell ref="F8:F9"/>
    <mergeCell ref="G8:G9"/>
    <mergeCell ref="H8:H9"/>
    <mergeCell ref="I8:I9"/>
  </mergeCells>
  <pageMargins left="0.7" right="0.7" top="0.75" bottom="0.75" header="0" footer="0"/>
  <pageSetup orientation="portrait" r:id="rId1"/>
  <rowBreaks count="1" manualBreakCount="1">
    <brk id="100"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249977111117893"/>
  </sheetPr>
  <dimension ref="A1:M332"/>
  <sheetViews>
    <sheetView topLeftCell="D1" zoomScale="80" zoomScaleNormal="80" workbookViewId="0">
      <pane ySplit="9" topLeftCell="A278" activePane="bottomLeft" state="frozen"/>
      <selection pane="bottomLeft" activeCell="G285" sqref="G285"/>
    </sheetView>
  </sheetViews>
  <sheetFormatPr baseColWidth="10" defaultColWidth="12.5703125" defaultRowHeight="15" customHeight="1" x14ac:dyDescent="0.25"/>
  <cols>
    <col min="1" max="1" width="10" customWidth="1"/>
    <col min="2" max="2" width="13.85546875" customWidth="1"/>
    <col min="3" max="3" width="17.7109375" bestFit="1" customWidth="1"/>
    <col min="4" max="4" width="11.85546875" customWidth="1"/>
    <col min="5" max="5" width="97.85546875" customWidth="1"/>
    <col min="6" max="7" width="10" customWidth="1"/>
    <col min="8" max="8" width="16.7109375" customWidth="1"/>
    <col min="9" max="9" width="23.140625" customWidth="1"/>
    <col min="10" max="10" width="22.5703125" customWidth="1"/>
    <col min="11" max="11" width="16.42578125" customWidth="1"/>
    <col min="12" max="13" width="10" customWidth="1"/>
  </cols>
  <sheetData>
    <row r="1" spans="1:13" ht="6.75" customHeight="1" thickBot="1" x14ac:dyDescent="0.3">
      <c r="A1" s="1"/>
      <c r="B1" s="1"/>
      <c r="C1" s="2"/>
      <c r="D1" s="1"/>
      <c r="E1" s="1"/>
      <c r="F1" s="1"/>
      <c r="G1" s="1"/>
      <c r="H1" s="1"/>
      <c r="I1" s="1"/>
      <c r="J1" s="3"/>
      <c r="K1" s="4"/>
      <c r="L1" s="4"/>
      <c r="M1" s="4"/>
    </row>
    <row r="2" spans="1:13" x14ac:dyDescent="0.25">
      <c r="A2" s="547" t="s">
        <v>0</v>
      </c>
      <c r="B2" s="548"/>
      <c r="C2" s="549"/>
      <c r="D2" s="550" t="s">
        <v>1</v>
      </c>
      <c r="E2" s="551"/>
      <c r="F2" s="551"/>
      <c r="G2" s="551"/>
      <c r="H2" s="551"/>
      <c r="I2" s="552"/>
      <c r="J2" s="3"/>
      <c r="K2" s="4"/>
      <c r="L2" s="4"/>
      <c r="M2" s="4"/>
    </row>
    <row r="3" spans="1:13" ht="49.5" customHeight="1" x14ac:dyDescent="0.25">
      <c r="A3" s="5" t="s">
        <v>2</v>
      </c>
      <c r="B3" s="6" t="s">
        <v>3</v>
      </c>
      <c r="C3" s="6">
        <v>1</v>
      </c>
      <c r="D3" s="553"/>
      <c r="E3" s="553"/>
      <c r="F3" s="553"/>
      <c r="G3" s="553"/>
      <c r="H3" s="553"/>
      <c r="I3" s="554"/>
      <c r="J3" s="4"/>
      <c r="K3" s="4"/>
      <c r="L3" s="4"/>
      <c r="M3" s="4"/>
    </row>
    <row r="4" spans="1:13" x14ac:dyDescent="0.25">
      <c r="A4" s="555" t="s">
        <v>4</v>
      </c>
      <c r="B4" s="553"/>
      <c r="C4" s="553"/>
      <c r="D4" s="553"/>
      <c r="E4" s="553"/>
      <c r="F4" s="553"/>
      <c r="G4" s="553"/>
      <c r="H4" s="553"/>
      <c r="I4" s="554"/>
      <c r="J4" s="3"/>
      <c r="K4" s="4"/>
      <c r="L4" s="4"/>
      <c r="M4" s="4"/>
    </row>
    <row r="5" spans="1:13" ht="15.75" thickBot="1" x14ac:dyDescent="0.3">
      <c r="A5" s="556" t="s">
        <v>5</v>
      </c>
      <c r="B5" s="557"/>
      <c r="C5" s="557"/>
      <c r="D5" s="557"/>
      <c r="E5" s="557"/>
      <c r="F5" s="557"/>
      <c r="G5" s="557"/>
      <c r="H5" s="557"/>
      <c r="I5" s="558"/>
      <c r="J5" s="3"/>
      <c r="K5" s="4"/>
      <c r="L5" s="4"/>
      <c r="M5" s="4"/>
    </row>
    <row r="6" spans="1:13" ht="15" customHeight="1" x14ac:dyDescent="0.25">
      <c r="A6" s="7"/>
      <c r="B6" s="8"/>
      <c r="C6" s="9"/>
      <c r="D6" s="9"/>
      <c r="E6" s="9"/>
      <c r="F6" s="9"/>
      <c r="G6" s="9"/>
      <c r="H6" s="9"/>
      <c r="I6" s="9"/>
      <c r="J6" s="3"/>
      <c r="K6" s="4"/>
      <c r="L6" s="4"/>
      <c r="M6" s="4"/>
    </row>
    <row r="7" spans="1:13" ht="15.75" thickBot="1" x14ac:dyDescent="0.3">
      <c r="A7" s="10"/>
      <c r="B7" s="11"/>
      <c r="C7" s="12"/>
      <c r="D7" s="12"/>
      <c r="E7" s="12"/>
      <c r="F7" s="12"/>
      <c r="G7" s="12"/>
      <c r="H7" s="12"/>
      <c r="I7" s="12"/>
      <c r="J7" s="3"/>
      <c r="K7" s="4"/>
      <c r="L7" s="4"/>
      <c r="M7" s="4"/>
    </row>
    <row r="8" spans="1:13" ht="15" customHeight="1" x14ac:dyDescent="0.25">
      <c r="A8" s="559" t="s">
        <v>6</v>
      </c>
      <c r="B8" s="561" t="s">
        <v>7</v>
      </c>
      <c r="C8" s="563" t="s">
        <v>8</v>
      </c>
      <c r="D8" s="564"/>
      <c r="E8" s="565" t="s">
        <v>9</v>
      </c>
      <c r="F8" s="561" t="s">
        <v>10</v>
      </c>
      <c r="G8" s="561" t="s">
        <v>11</v>
      </c>
      <c r="H8" s="567" t="s">
        <v>12</v>
      </c>
      <c r="I8" s="568" t="s">
        <v>13</v>
      </c>
      <c r="J8" s="3" t="s">
        <v>14</v>
      </c>
      <c r="K8" s="4"/>
      <c r="L8" s="4"/>
      <c r="M8" s="4"/>
    </row>
    <row r="9" spans="1:13" ht="30" x14ac:dyDescent="0.25">
      <c r="A9" s="560"/>
      <c r="B9" s="562"/>
      <c r="C9" s="13" t="s">
        <v>15</v>
      </c>
      <c r="D9" s="14" t="s">
        <v>16</v>
      </c>
      <c r="E9" s="560"/>
      <c r="F9" s="566"/>
      <c r="G9" s="566"/>
      <c r="H9" s="566"/>
      <c r="I9" s="569"/>
      <c r="J9" s="15">
        <v>1.3035000000000001</v>
      </c>
      <c r="K9" s="4"/>
      <c r="L9" s="4"/>
      <c r="M9" s="4"/>
    </row>
    <row r="10" spans="1:13" x14ac:dyDescent="0.25">
      <c r="A10" s="16"/>
      <c r="B10" s="17">
        <v>1</v>
      </c>
      <c r="C10" s="18"/>
      <c r="D10" s="19"/>
      <c r="E10" s="20" t="s">
        <v>17</v>
      </c>
      <c r="F10" s="21"/>
      <c r="G10" s="19"/>
      <c r="H10" s="22"/>
      <c r="I10" s="541"/>
      <c r="J10" s="23"/>
      <c r="K10" s="4"/>
      <c r="L10" s="4"/>
      <c r="M10" s="4"/>
    </row>
    <row r="11" spans="1:13" x14ac:dyDescent="0.25">
      <c r="A11" s="24"/>
      <c r="B11" s="25" t="s">
        <v>18</v>
      </c>
      <c r="C11" s="26"/>
      <c r="D11" s="27"/>
      <c r="E11" s="28" t="s">
        <v>19</v>
      </c>
      <c r="F11" s="29"/>
      <c r="G11" s="27"/>
      <c r="H11" s="30"/>
      <c r="I11" s="542"/>
      <c r="J11" s="23"/>
      <c r="K11" s="4"/>
      <c r="L11" s="4"/>
      <c r="M11" s="4"/>
    </row>
    <row r="12" spans="1:13" x14ac:dyDescent="0.25">
      <c r="A12" s="31">
        <v>1</v>
      </c>
      <c r="B12" s="32" t="s">
        <v>20</v>
      </c>
      <c r="C12" s="33" t="s">
        <v>21</v>
      </c>
      <c r="D12" s="33"/>
      <c r="E12" s="346" t="s">
        <v>22</v>
      </c>
      <c r="F12" s="347" t="s">
        <v>23</v>
      </c>
      <c r="G12" s="348">
        <v>1200</v>
      </c>
      <c r="H12" s="386">
        <v>12426</v>
      </c>
      <c r="I12" s="524">
        <f>+H12*G12</f>
        <v>14911200</v>
      </c>
      <c r="J12" s="3">
        <f>+H12*J9</f>
        <v>16197.291000000001</v>
      </c>
      <c r="K12" s="4"/>
      <c r="L12" s="4"/>
      <c r="M12" s="4"/>
    </row>
    <row r="13" spans="1:13" x14ac:dyDescent="0.25">
      <c r="A13" s="31">
        <v>2</v>
      </c>
      <c r="B13" s="32" t="s">
        <v>24</v>
      </c>
      <c r="C13" s="33" t="s">
        <v>21</v>
      </c>
      <c r="D13" s="33"/>
      <c r="E13" s="346" t="s">
        <v>25</v>
      </c>
      <c r="F13" s="347" t="s">
        <v>26</v>
      </c>
      <c r="G13" s="348">
        <f>5*5</f>
        <v>25</v>
      </c>
      <c r="H13" s="345">
        <v>15249</v>
      </c>
      <c r="I13" s="526">
        <f t="shared" ref="I13:I16" si="0">+J13*G13</f>
        <v>496926.78750000003</v>
      </c>
      <c r="J13" s="3">
        <f>+H13*J9</f>
        <v>19877.071500000002</v>
      </c>
      <c r="K13" s="4"/>
      <c r="L13" s="4"/>
      <c r="M13" s="4"/>
    </row>
    <row r="14" spans="1:13" x14ac:dyDescent="0.25">
      <c r="A14" s="31">
        <v>2</v>
      </c>
      <c r="B14" s="32" t="s">
        <v>27</v>
      </c>
      <c r="C14" s="33" t="s">
        <v>21</v>
      </c>
      <c r="D14" s="33"/>
      <c r="E14" s="346" t="s">
        <v>28</v>
      </c>
      <c r="F14" s="347" t="s">
        <v>23</v>
      </c>
      <c r="G14" s="348">
        <v>15</v>
      </c>
      <c r="H14" s="345">
        <v>11382</v>
      </c>
      <c r="I14" s="526">
        <f t="shared" si="0"/>
        <v>222546.55500000002</v>
      </c>
      <c r="J14" s="3">
        <f>+H14*J9</f>
        <v>14836.437000000002</v>
      </c>
      <c r="K14" s="4"/>
      <c r="L14" s="4">
        <v>300</v>
      </c>
      <c r="M14" s="4">
        <v>0.3</v>
      </c>
    </row>
    <row r="15" spans="1:13" x14ac:dyDescent="0.25">
      <c r="A15" s="31">
        <v>3</v>
      </c>
      <c r="B15" s="32" t="s">
        <v>29</v>
      </c>
      <c r="C15" s="33" t="s">
        <v>21</v>
      </c>
      <c r="D15" s="33"/>
      <c r="E15" s="34" t="s">
        <v>30</v>
      </c>
      <c r="F15" s="32" t="s">
        <v>23</v>
      </c>
      <c r="G15" s="33">
        <v>20</v>
      </c>
      <c r="H15" s="35">
        <v>48825</v>
      </c>
      <c r="I15" s="526">
        <f t="shared" si="0"/>
        <v>1272867.75</v>
      </c>
      <c r="J15" s="3">
        <f>+H15*J9</f>
        <v>63643.387500000004</v>
      </c>
      <c r="K15" s="4"/>
      <c r="L15" s="4"/>
      <c r="M15" s="4">
        <f>+L14*M14</f>
        <v>90</v>
      </c>
    </row>
    <row r="16" spans="1:13" x14ac:dyDescent="0.25">
      <c r="A16" s="31">
        <v>4</v>
      </c>
      <c r="B16" s="32" t="s">
        <v>31</v>
      </c>
      <c r="C16" s="33" t="s">
        <v>21</v>
      </c>
      <c r="D16" s="33"/>
      <c r="E16" s="346" t="s">
        <v>32</v>
      </c>
      <c r="F16" s="347" t="s">
        <v>23</v>
      </c>
      <c r="G16" s="348">
        <v>10</v>
      </c>
      <c r="H16" s="345">
        <v>61031</v>
      </c>
      <c r="I16" s="526">
        <f t="shared" si="0"/>
        <v>795539.08500000008</v>
      </c>
      <c r="J16" s="3">
        <f>+H16*J9</f>
        <v>79553.908500000005</v>
      </c>
      <c r="K16" s="4"/>
      <c r="L16" s="4"/>
      <c r="M16" s="4"/>
    </row>
    <row r="17" spans="1:13" x14ac:dyDescent="0.25">
      <c r="A17" s="36" t="s">
        <v>33</v>
      </c>
      <c r="B17" s="37"/>
      <c r="C17" s="38"/>
      <c r="D17" s="38"/>
      <c r="E17" s="39"/>
      <c r="F17" s="37"/>
      <c r="G17" s="38"/>
      <c r="H17" s="40"/>
      <c r="I17" s="41">
        <f>SUM(I12:I16)</f>
        <v>17699080.177500002</v>
      </c>
      <c r="J17" s="42"/>
      <c r="K17" s="4"/>
      <c r="L17" s="4"/>
      <c r="M17" s="4"/>
    </row>
    <row r="18" spans="1:13" x14ac:dyDescent="0.25">
      <c r="A18" s="16"/>
      <c r="B18" s="17">
        <v>2</v>
      </c>
      <c r="C18" s="19"/>
      <c r="D18" s="19"/>
      <c r="E18" s="20" t="s">
        <v>34</v>
      </c>
      <c r="F18" s="21"/>
      <c r="G18" s="19"/>
      <c r="H18" s="43"/>
      <c r="I18" s="535"/>
      <c r="J18" s="23"/>
      <c r="K18" s="4"/>
      <c r="L18" s="4"/>
      <c r="M18" s="4"/>
    </row>
    <row r="19" spans="1:13" x14ac:dyDescent="0.25">
      <c r="A19" s="24"/>
      <c r="B19" s="25" t="s">
        <v>35</v>
      </c>
      <c r="C19" s="27"/>
      <c r="D19" s="27"/>
      <c r="E19" s="28" t="s">
        <v>36</v>
      </c>
      <c r="F19" s="29"/>
      <c r="G19" s="27"/>
      <c r="H19" s="45"/>
      <c r="I19" s="536"/>
      <c r="J19" s="23"/>
      <c r="K19" s="4"/>
      <c r="L19" s="4"/>
      <c r="M19" s="4"/>
    </row>
    <row r="20" spans="1:13" x14ac:dyDescent="0.25">
      <c r="A20" s="31">
        <v>5</v>
      </c>
      <c r="B20" s="32" t="s">
        <v>37</v>
      </c>
      <c r="C20" s="33" t="s">
        <v>21</v>
      </c>
      <c r="D20" s="1"/>
      <c r="E20" s="342" t="s">
        <v>38</v>
      </c>
      <c r="F20" s="343" t="s">
        <v>39</v>
      </c>
      <c r="G20" s="344">
        <f>7*1</f>
        <v>7</v>
      </c>
      <c r="H20" s="345">
        <v>121340</v>
      </c>
      <c r="I20" s="527">
        <f t="shared" ref="I20:I26" si="1">+J20*G20</f>
        <v>1107166.83</v>
      </c>
      <c r="J20" s="3">
        <f>+H20*J9</f>
        <v>158166.69</v>
      </c>
      <c r="K20" s="4"/>
      <c r="L20" s="4"/>
      <c r="M20" s="4"/>
    </row>
    <row r="21" spans="1:13" ht="15.75" customHeight="1" x14ac:dyDescent="0.25">
      <c r="A21" s="31">
        <v>6</v>
      </c>
      <c r="B21" s="32" t="s">
        <v>40</v>
      </c>
      <c r="C21" s="33" t="s">
        <v>21</v>
      </c>
      <c r="D21" s="1"/>
      <c r="E21" s="34" t="s">
        <v>41</v>
      </c>
      <c r="F21" s="32" t="s">
        <v>39</v>
      </c>
      <c r="G21" s="49">
        <v>15</v>
      </c>
      <c r="H21" s="35">
        <v>110429</v>
      </c>
      <c r="I21" s="527">
        <f t="shared" si="1"/>
        <v>2159163.0225000004</v>
      </c>
      <c r="J21" s="3">
        <f>+H21*J9</f>
        <v>143944.20150000002</v>
      </c>
      <c r="K21" s="4"/>
      <c r="L21" s="4"/>
      <c r="M21" s="4"/>
    </row>
    <row r="22" spans="1:13" ht="15.75" customHeight="1" x14ac:dyDescent="0.25">
      <c r="A22" s="31">
        <v>7</v>
      </c>
      <c r="B22" s="96" t="s">
        <v>40</v>
      </c>
      <c r="C22" s="33" t="s">
        <v>21</v>
      </c>
      <c r="D22" s="1"/>
      <c r="E22" s="346" t="s">
        <v>43</v>
      </c>
      <c r="F22" s="347" t="s">
        <v>44</v>
      </c>
      <c r="G22" s="344">
        <v>4</v>
      </c>
      <c r="H22" s="345">
        <v>74832</v>
      </c>
      <c r="I22" s="527">
        <f t="shared" si="1"/>
        <v>390174.04800000001</v>
      </c>
      <c r="J22" s="3">
        <f>+H22*J9</f>
        <v>97543.512000000002</v>
      </c>
      <c r="K22" s="4"/>
      <c r="L22" s="4"/>
      <c r="M22" s="4"/>
    </row>
    <row r="23" spans="1:13" ht="15.75" customHeight="1" x14ac:dyDescent="0.25">
      <c r="A23" s="31">
        <v>8</v>
      </c>
      <c r="B23" s="32" t="s">
        <v>45</v>
      </c>
      <c r="C23" s="33" t="s">
        <v>21</v>
      </c>
      <c r="D23" s="1"/>
      <c r="E23" s="34" t="s">
        <v>46</v>
      </c>
      <c r="F23" s="32" t="s">
        <v>39</v>
      </c>
      <c r="G23" s="49">
        <v>15</v>
      </c>
      <c r="H23" s="35">
        <v>128491</v>
      </c>
      <c r="I23" s="527">
        <f t="shared" si="1"/>
        <v>2512320.2774999999</v>
      </c>
      <c r="J23" s="3">
        <f>+H23*J9</f>
        <v>167488.01850000001</v>
      </c>
      <c r="K23" s="4"/>
      <c r="L23" s="4"/>
      <c r="M23" s="4"/>
    </row>
    <row r="24" spans="1:13" ht="14.25" customHeight="1" x14ac:dyDescent="0.25">
      <c r="A24" s="31">
        <v>9</v>
      </c>
      <c r="B24" s="96" t="s">
        <v>42</v>
      </c>
      <c r="C24" s="33" t="s">
        <v>21</v>
      </c>
      <c r="D24" s="1"/>
      <c r="E24" s="34" t="s">
        <v>48</v>
      </c>
      <c r="F24" s="32" t="s">
        <v>39</v>
      </c>
      <c r="G24" s="49">
        <v>10</v>
      </c>
      <c r="H24" s="35">
        <v>76623</v>
      </c>
      <c r="I24" s="527">
        <f t="shared" si="1"/>
        <v>998780.80500000017</v>
      </c>
      <c r="J24" s="3">
        <f>+H24*J9</f>
        <v>99878.080500000011</v>
      </c>
      <c r="K24" s="4"/>
      <c r="L24" s="4"/>
      <c r="M24" s="4"/>
    </row>
    <row r="25" spans="1:13" ht="15.75" customHeight="1" x14ac:dyDescent="0.25">
      <c r="A25" s="31">
        <v>10</v>
      </c>
      <c r="B25" s="96" t="s">
        <v>45</v>
      </c>
      <c r="C25" s="33" t="s">
        <v>21</v>
      </c>
      <c r="D25" s="1"/>
      <c r="E25" s="346" t="s">
        <v>49</v>
      </c>
      <c r="F25" s="347" t="s">
        <v>26</v>
      </c>
      <c r="G25" s="344">
        <v>20</v>
      </c>
      <c r="H25" s="345">
        <v>11042</v>
      </c>
      <c r="I25" s="527">
        <f t="shared" si="1"/>
        <v>287864.94</v>
      </c>
      <c r="J25" s="3">
        <f>+H25*J9</f>
        <v>14393.247000000001</v>
      </c>
      <c r="K25" s="4"/>
      <c r="L25" s="4"/>
      <c r="M25" s="4"/>
    </row>
    <row r="26" spans="1:13" ht="15.75" customHeight="1" x14ac:dyDescent="0.25">
      <c r="A26" s="31">
        <v>11</v>
      </c>
      <c r="B26" s="96" t="s">
        <v>47</v>
      </c>
      <c r="C26" s="33" t="s">
        <v>21</v>
      </c>
      <c r="D26" s="1"/>
      <c r="E26" s="50" t="s">
        <v>50</v>
      </c>
      <c r="F26" s="51" t="s">
        <v>26</v>
      </c>
      <c r="G26" s="49">
        <v>20</v>
      </c>
      <c r="H26" s="35">
        <v>30516</v>
      </c>
      <c r="I26" s="527">
        <f t="shared" si="1"/>
        <v>795552.12</v>
      </c>
      <c r="J26" s="3">
        <f>+H26*J9</f>
        <v>39777.606</v>
      </c>
      <c r="K26" s="4"/>
      <c r="L26" s="4"/>
      <c r="M26" s="4"/>
    </row>
    <row r="27" spans="1:13" ht="15.75" customHeight="1" x14ac:dyDescent="0.25">
      <c r="A27" s="53" t="s">
        <v>33</v>
      </c>
      <c r="B27" s="54"/>
      <c r="C27" s="55"/>
      <c r="D27" s="55"/>
      <c r="E27" s="56"/>
      <c r="F27" s="54"/>
      <c r="G27" s="55"/>
      <c r="H27" s="57"/>
      <c r="I27" s="42">
        <f>SUM(I20:I26)</f>
        <v>8251022.0430000015</v>
      </c>
      <c r="J27" s="3"/>
      <c r="K27" s="4"/>
      <c r="L27" s="4"/>
      <c r="M27" s="4"/>
    </row>
    <row r="28" spans="1:13" ht="15.75" customHeight="1" x14ac:dyDescent="0.25">
      <c r="A28" s="16"/>
      <c r="B28" s="17">
        <v>4</v>
      </c>
      <c r="C28" s="19"/>
      <c r="D28" s="19"/>
      <c r="E28" s="20" t="s">
        <v>51</v>
      </c>
      <c r="F28" s="21"/>
      <c r="G28" s="19"/>
      <c r="H28" s="43"/>
      <c r="I28" s="535"/>
      <c r="J28" s="23"/>
      <c r="K28" s="4"/>
      <c r="L28" s="4"/>
      <c r="M28" s="4"/>
    </row>
    <row r="29" spans="1:13" ht="15.75" customHeight="1" x14ac:dyDescent="0.25">
      <c r="A29" s="24"/>
      <c r="B29" s="25" t="s">
        <v>52</v>
      </c>
      <c r="C29" s="27"/>
      <c r="D29" s="27"/>
      <c r="E29" s="28" t="s">
        <v>53</v>
      </c>
      <c r="F29" s="29"/>
      <c r="G29" s="27"/>
      <c r="H29" s="58"/>
      <c r="I29" s="536"/>
      <c r="J29" s="23"/>
      <c r="K29" s="4"/>
      <c r="L29" s="4"/>
      <c r="M29" s="4"/>
    </row>
    <row r="30" spans="1:13" ht="15.75" customHeight="1" x14ac:dyDescent="0.25">
      <c r="A30" s="31">
        <v>12</v>
      </c>
      <c r="B30" s="32" t="s">
        <v>54</v>
      </c>
      <c r="C30" s="33" t="s">
        <v>21</v>
      </c>
      <c r="D30" s="1"/>
      <c r="E30" s="342" t="s">
        <v>55</v>
      </c>
      <c r="F30" s="343" t="s">
        <v>39</v>
      </c>
      <c r="G30" s="344">
        <f>+G12*0.3*0.2</f>
        <v>72</v>
      </c>
      <c r="H30" s="388">
        <v>61280</v>
      </c>
      <c r="I30" s="527">
        <f t="shared" ref="I30:I32" si="2">+J30*G30</f>
        <v>5751250.5600000005</v>
      </c>
      <c r="J30" s="3">
        <f>+H30*J9</f>
        <v>79878.48000000001</v>
      </c>
      <c r="K30" s="4"/>
      <c r="L30" s="4"/>
      <c r="M30" s="4"/>
    </row>
    <row r="31" spans="1:13" ht="15.75" customHeight="1" x14ac:dyDescent="0.25">
      <c r="A31" s="31">
        <v>13</v>
      </c>
      <c r="B31" s="32" t="s">
        <v>56</v>
      </c>
      <c r="C31" s="33" t="s">
        <v>21</v>
      </c>
      <c r="D31" s="1"/>
      <c r="E31" s="34" t="s">
        <v>57</v>
      </c>
      <c r="F31" s="32" t="s">
        <v>39</v>
      </c>
      <c r="G31" s="33">
        <v>10</v>
      </c>
      <c r="H31" s="35">
        <v>54933</v>
      </c>
      <c r="I31" s="527">
        <f t="shared" si="2"/>
        <v>716051.65500000003</v>
      </c>
      <c r="J31" s="3">
        <f>+H31*J9</f>
        <v>71605.165500000003</v>
      </c>
      <c r="K31" s="4"/>
      <c r="L31" s="4"/>
      <c r="M31" s="4"/>
    </row>
    <row r="32" spans="1:13" ht="15.75" customHeight="1" x14ac:dyDescent="0.25">
      <c r="A32" s="31">
        <v>14</v>
      </c>
      <c r="B32" s="96" t="s">
        <v>56</v>
      </c>
      <c r="C32" s="33" t="s">
        <v>21</v>
      </c>
      <c r="D32" s="49"/>
      <c r="E32" s="50" t="s">
        <v>58</v>
      </c>
      <c r="F32" s="51" t="s">
        <v>39</v>
      </c>
      <c r="G32" s="52">
        <v>10</v>
      </c>
      <c r="H32" s="60">
        <v>70628</v>
      </c>
      <c r="I32" s="527">
        <f t="shared" si="2"/>
        <v>920635.9800000001</v>
      </c>
      <c r="J32" s="3">
        <f>+H32*J9</f>
        <v>92063.598000000013</v>
      </c>
      <c r="K32" s="4"/>
      <c r="L32" s="4"/>
      <c r="M32" s="4"/>
    </row>
    <row r="33" spans="1:13" ht="15.75" customHeight="1" x14ac:dyDescent="0.25">
      <c r="A33" s="53" t="s">
        <v>33</v>
      </c>
      <c r="B33" s="54"/>
      <c r="C33" s="55"/>
      <c r="D33" s="1"/>
      <c r="E33" s="39"/>
      <c r="F33" s="37"/>
      <c r="G33" s="38"/>
      <c r="H33" s="61"/>
      <c r="I33" s="62">
        <f>SUM(I30:I32)</f>
        <v>7387938.1950000012</v>
      </c>
      <c r="J33" s="3"/>
      <c r="K33" s="4"/>
      <c r="L33" s="4"/>
      <c r="M33" s="4"/>
    </row>
    <row r="34" spans="1:13" ht="15.75" customHeight="1" x14ac:dyDescent="0.25">
      <c r="A34" s="63"/>
      <c r="B34" s="64" t="s">
        <v>59</v>
      </c>
      <c r="C34" s="65"/>
      <c r="D34" s="65"/>
      <c r="E34" s="66" t="s">
        <v>60</v>
      </c>
      <c r="F34" s="67"/>
      <c r="G34" s="65"/>
      <c r="H34" s="68"/>
      <c r="I34" s="534"/>
      <c r="J34" s="23"/>
      <c r="K34" s="4"/>
      <c r="L34" s="4"/>
      <c r="M34" s="4"/>
    </row>
    <row r="35" spans="1:13" ht="15.75" customHeight="1" x14ac:dyDescent="0.25">
      <c r="A35" s="31">
        <v>15</v>
      </c>
      <c r="B35" s="32" t="s">
        <v>61</v>
      </c>
      <c r="C35" s="33" t="s">
        <v>21</v>
      </c>
      <c r="D35" s="1"/>
      <c r="E35" s="47" t="s">
        <v>62</v>
      </c>
      <c r="F35" s="48" t="s">
        <v>39</v>
      </c>
      <c r="G35" s="49">
        <v>10</v>
      </c>
      <c r="H35" s="59">
        <v>71367</v>
      </c>
      <c r="I35" s="527">
        <f t="shared" ref="I35:I37" si="3">+J35*G35</f>
        <v>930268.84499999997</v>
      </c>
      <c r="J35" s="3">
        <f>+H35*J9</f>
        <v>93026.8845</v>
      </c>
      <c r="K35" s="4"/>
      <c r="L35" s="4"/>
      <c r="M35" s="4"/>
    </row>
    <row r="36" spans="1:13" ht="15.75" customHeight="1" x14ac:dyDescent="0.25">
      <c r="A36" s="31">
        <v>16</v>
      </c>
      <c r="B36" s="32" t="s">
        <v>63</v>
      </c>
      <c r="C36" s="33" t="s">
        <v>21</v>
      </c>
      <c r="D36" s="1"/>
      <c r="E36" s="34" t="s">
        <v>64</v>
      </c>
      <c r="F36" s="32" t="s">
        <v>39</v>
      </c>
      <c r="G36" s="33">
        <v>10</v>
      </c>
      <c r="H36" s="35">
        <v>61800</v>
      </c>
      <c r="I36" s="527">
        <f t="shared" si="3"/>
        <v>805563</v>
      </c>
      <c r="J36" s="3">
        <f t="shared" ref="J36:J37" si="4">+H36*$J$9</f>
        <v>80556.3</v>
      </c>
      <c r="K36" s="4"/>
      <c r="L36" s="4"/>
      <c r="M36" s="4"/>
    </row>
    <row r="37" spans="1:13" ht="15.75" customHeight="1" x14ac:dyDescent="0.25">
      <c r="A37" s="31">
        <v>17</v>
      </c>
      <c r="B37" s="32" t="s">
        <v>65</v>
      </c>
      <c r="C37" s="33" t="s">
        <v>21</v>
      </c>
      <c r="D37" s="1"/>
      <c r="E37" s="34" t="s">
        <v>66</v>
      </c>
      <c r="F37" s="32" t="s">
        <v>39</v>
      </c>
      <c r="G37" s="33">
        <v>10</v>
      </c>
      <c r="H37" s="35">
        <v>84000</v>
      </c>
      <c r="I37" s="527">
        <f t="shared" si="3"/>
        <v>1094940.0000000002</v>
      </c>
      <c r="J37" s="3">
        <f t="shared" si="4"/>
        <v>109494.00000000001</v>
      </c>
      <c r="K37" s="4"/>
      <c r="L37" s="4"/>
      <c r="M37" s="4"/>
    </row>
    <row r="38" spans="1:13" ht="15.75" customHeight="1" x14ac:dyDescent="0.25">
      <c r="A38" s="53" t="s">
        <v>33</v>
      </c>
      <c r="B38" s="54"/>
      <c r="C38" s="55"/>
      <c r="D38" s="1"/>
      <c r="E38" s="56"/>
      <c r="F38" s="54"/>
      <c r="G38" s="55"/>
      <c r="H38" s="57"/>
      <c r="I38" s="70">
        <f>SUM(I35:I37)</f>
        <v>2830771.8450000002</v>
      </c>
      <c r="J38" s="3"/>
      <c r="K38" s="4"/>
      <c r="L38" s="4"/>
      <c r="M38" s="4"/>
    </row>
    <row r="39" spans="1:13" ht="15.75" customHeight="1" x14ac:dyDescent="0.25">
      <c r="A39" s="63"/>
      <c r="B39" s="64" t="s">
        <v>67</v>
      </c>
      <c r="C39" s="65"/>
      <c r="D39" s="65"/>
      <c r="E39" s="66" t="s">
        <v>68</v>
      </c>
      <c r="F39" s="67"/>
      <c r="G39" s="65"/>
      <c r="H39" s="68"/>
      <c r="I39" s="534"/>
      <c r="J39" s="23"/>
      <c r="K39" s="4"/>
      <c r="L39" s="4"/>
      <c r="M39" s="4"/>
    </row>
    <row r="40" spans="1:13" ht="15.75" customHeight="1" x14ac:dyDescent="0.25">
      <c r="A40" s="71">
        <v>18</v>
      </c>
      <c r="B40" s="72" t="s">
        <v>69</v>
      </c>
      <c r="C40" s="33" t="s">
        <v>21</v>
      </c>
      <c r="D40" s="1"/>
      <c r="E40" s="34" t="s">
        <v>68</v>
      </c>
      <c r="F40" s="32" t="s">
        <v>39</v>
      </c>
      <c r="G40" s="33">
        <v>10</v>
      </c>
      <c r="H40" s="35">
        <v>10185</v>
      </c>
      <c r="I40" s="525">
        <f>+J40*G40</f>
        <v>132761.47500000001</v>
      </c>
      <c r="J40" s="3">
        <f>+H40*$J$9</f>
        <v>13276.147500000001</v>
      </c>
      <c r="K40" s="4"/>
      <c r="L40" s="4"/>
      <c r="M40" s="4"/>
    </row>
    <row r="41" spans="1:13" ht="15.75" customHeight="1" x14ac:dyDescent="0.25">
      <c r="A41" s="53" t="s">
        <v>33</v>
      </c>
      <c r="B41" s="54"/>
      <c r="C41" s="55"/>
      <c r="D41" s="1"/>
      <c r="E41" s="56"/>
      <c r="F41" s="54"/>
      <c r="G41" s="55"/>
      <c r="H41" s="57"/>
      <c r="I41" s="70">
        <f>SUM(I40)</f>
        <v>132761.47500000001</v>
      </c>
      <c r="J41" s="3"/>
      <c r="K41" s="4"/>
      <c r="L41" s="4"/>
      <c r="M41" s="4"/>
    </row>
    <row r="42" spans="1:13" ht="15.75" customHeight="1" x14ac:dyDescent="0.25">
      <c r="A42" s="63"/>
      <c r="B42" s="64" t="s">
        <v>70</v>
      </c>
      <c r="C42" s="65"/>
      <c r="D42" s="65"/>
      <c r="E42" s="66" t="s">
        <v>71</v>
      </c>
      <c r="F42" s="67"/>
      <c r="G42" s="65"/>
      <c r="H42" s="68"/>
      <c r="I42" s="534"/>
      <c r="J42" s="23"/>
      <c r="K42" s="4"/>
      <c r="L42" s="4"/>
      <c r="M42" s="4"/>
    </row>
    <row r="43" spans="1:13" ht="15.75" customHeight="1" x14ac:dyDescent="0.25">
      <c r="A43" s="71">
        <v>19</v>
      </c>
      <c r="B43" s="72" t="s">
        <v>72</v>
      </c>
      <c r="C43" s="33" t="s">
        <v>21</v>
      </c>
      <c r="D43" s="1"/>
      <c r="E43" s="346" t="s">
        <v>73</v>
      </c>
      <c r="F43" s="347" t="s">
        <v>39</v>
      </c>
      <c r="G43" s="348">
        <f>7*1.5</f>
        <v>10.5</v>
      </c>
      <c r="H43" s="345">
        <v>145580</v>
      </c>
      <c r="I43" s="525">
        <f>+J43*G43</f>
        <v>1992517.0650000004</v>
      </c>
      <c r="J43" s="3">
        <f>+H43*$J$9</f>
        <v>189763.53000000003</v>
      </c>
      <c r="K43" s="4"/>
      <c r="L43" s="4"/>
      <c r="M43" s="4"/>
    </row>
    <row r="44" spans="1:13" ht="15.75" customHeight="1" x14ac:dyDescent="0.25">
      <c r="A44" s="53" t="s">
        <v>33</v>
      </c>
      <c r="B44" s="54"/>
      <c r="C44" s="55"/>
      <c r="D44" s="1"/>
      <c r="E44" s="56"/>
      <c r="F44" s="54"/>
      <c r="G44" s="55"/>
      <c r="H44" s="57"/>
      <c r="I44" s="70">
        <f>SUM(I43)</f>
        <v>1992517.0650000004</v>
      </c>
      <c r="J44" s="3"/>
      <c r="K44" s="4"/>
      <c r="L44" s="4"/>
      <c r="M44" s="4"/>
    </row>
    <row r="45" spans="1:13" ht="15.75" customHeight="1" x14ac:dyDescent="0.25">
      <c r="A45" s="63"/>
      <c r="B45" s="64" t="s">
        <v>74</v>
      </c>
      <c r="C45" s="65"/>
      <c r="D45" s="65"/>
      <c r="E45" s="66" t="s">
        <v>75</v>
      </c>
      <c r="F45" s="67"/>
      <c r="G45" s="65"/>
      <c r="H45" s="68"/>
      <c r="I45" s="534"/>
      <c r="J45" s="23"/>
      <c r="K45" s="4"/>
      <c r="L45" s="4"/>
      <c r="M45" s="4"/>
    </row>
    <row r="46" spans="1:13" ht="15.75" customHeight="1" x14ac:dyDescent="0.25">
      <c r="A46" s="31">
        <v>20</v>
      </c>
      <c r="B46" s="32" t="s">
        <v>76</v>
      </c>
      <c r="C46" s="33" t="s">
        <v>21</v>
      </c>
      <c r="D46" s="1"/>
      <c r="E46" s="34" t="s">
        <v>77</v>
      </c>
      <c r="F46" s="32" t="s">
        <v>26</v>
      </c>
      <c r="G46" s="33">
        <v>10</v>
      </c>
      <c r="H46" s="35">
        <v>37751</v>
      </c>
      <c r="I46" s="525">
        <f t="shared" ref="I46:I49" si="5">+J46*G46</f>
        <v>492084.28500000003</v>
      </c>
      <c r="J46" s="3">
        <f t="shared" ref="J46:J49" si="6">+H46*$J$9</f>
        <v>49208.428500000002</v>
      </c>
      <c r="K46" s="4"/>
      <c r="L46" s="4"/>
      <c r="M46" s="4"/>
    </row>
    <row r="47" spans="1:13" ht="15.75" customHeight="1" x14ac:dyDescent="0.25">
      <c r="A47" s="31">
        <v>21</v>
      </c>
      <c r="B47" s="32" t="s">
        <v>78</v>
      </c>
      <c r="C47" s="33" t="s">
        <v>21</v>
      </c>
      <c r="D47" s="1"/>
      <c r="E47" s="34" t="s">
        <v>79</v>
      </c>
      <c r="F47" s="32" t="s">
        <v>26</v>
      </c>
      <c r="G47" s="33">
        <v>10</v>
      </c>
      <c r="H47" s="35">
        <v>20019</v>
      </c>
      <c r="I47" s="525">
        <f t="shared" si="5"/>
        <v>260947.66500000001</v>
      </c>
      <c r="J47" s="3">
        <f t="shared" si="6"/>
        <v>26094.766500000002</v>
      </c>
      <c r="K47" s="4"/>
      <c r="L47" s="4"/>
      <c r="M47" s="4"/>
    </row>
    <row r="48" spans="1:13" ht="15.75" customHeight="1" x14ac:dyDescent="0.25">
      <c r="A48" s="31">
        <v>22</v>
      </c>
      <c r="B48" s="32" t="s">
        <v>80</v>
      </c>
      <c r="C48" s="33" t="s">
        <v>21</v>
      </c>
      <c r="D48" s="1"/>
      <c r="E48" s="34" t="s">
        <v>81</v>
      </c>
      <c r="F48" s="32" t="s">
        <v>26</v>
      </c>
      <c r="G48" s="33">
        <v>10</v>
      </c>
      <c r="H48" s="35">
        <v>36776</v>
      </c>
      <c r="I48" s="525">
        <f t="shared" si="5"/>
        <v>479375.16000000003</v>
      </c>
      <c r="J48" s="3">
        <f t="shared" si="6"/>
        <v>47937.516000000003</v>
      </c>
      <c r="K48" s="4"/>
      <c r="L48" s="4"/>
      <c r="M48" s="4"/>
    </row>
    <row r="49" spans="1:13" ht="15.75" customHeight="1" x14ac:dyDescent="0.25">
      <c r="A49" s="31">
        <v>23</v>
      </c>
      <c r="B49" s="32" t="s">
        <v>82</v>
      </c>
      <c r="C49" s="33" t="s">
        <v>21</v>
      </c>
      <c r="D49" s="1"/>
      <c r="E49" s="34" t="s">
        <v>83</v>
      </c>
      <c r="F49" s="32" t="s">
        <v>26</v>
      </c>
      <c r="G49" s="33">
        <v>10</v>
      </c>
      <c r="H49" s="35">
        <v>45620</v>
      </c>
      <c r="I49" s="525">
        <f t="shared" si="5"/>
        <v>594656.70000000007</v>
      </c>
      <c r="J49" s="3">
        <f t="shared" si="6"/>
        <v>59465.670000000006</v>
      </c>
      <c r="K49" s="4"/>
      <c r="L49" s="4"/>
      <c r="M49" s="4"/>
    </row>
    <row r="50" spans="1:13" ht="15.75" customHeight="1" x14ac:dyDescent="0.25">
      <c r="A50" s="53" t="s">
        <v>33</v>
      </c>
      <c r="B50" s="54"/>
      <c r="C50" s="55"/>
      <c r="D50" s="55"/>
      <c r="E50" s="56"/>
      <c r="F50" s="54"/>
      <c r="G50" s="55"/>
      <c r="H50" s="57"/>
      <c r="I50" s="73">
        <f>SUM(I46:I49)</f>
        <v>1827063.81</v>
      </c>
      <c r="J50" s="3"/>
      <c r="K50" s="4"/>
      <c r="L50" s="4"/>
      <c r="M50" s="4"/>
    </row>
    <row r="51" spans="1:13" ht="15.75" customHeight="1" x14ac:dyDescent="0.25">
      <c r="A51" s="16"/>
      <c r="B51" s="17">
        <v>5</v>
      </c>
      <c r="C51" s="19"/>
      <c r="D51" s="19"/>
      <c r="E51" s="20" t="s">
        <v>84</v>
      </c>
      <c r="F51" s="21"/>
      <c r="G51" s="19"/>
      <c r="H51" s="43"/>
      <c r="I51" s="535"/>
      <c r="J51" s="23"/>
      <c r="K51" s="4"/>
      <c r="L51" s="4"/>
      <c r="M51" s="4"/>
    </row>
    <row r="52" spans="1:13" ht="15.75" customHeight="1" x14ac:dyDescent="0.25">
      <c r="A52" s="24"/>
      <c r="B52" s="25" t="s">
        <v>85</v>
      </c>
      <c r="C52" s="27"/>
      <c r="D52" s="27"/>
      <c r="E52" s="28" t="s">
        <v>84</v>
      </c>
      <c r="F52" s="29"/>
      <c r="G52" s="27"/>
      <c r="H52" s="58"/>
      <c r="I52" s="536"/>
      <c r="J52" s="23"/>
      <c r="K52" s="4"/>
      <c r="L52" s="4"/>
      <c r="M52" s="4"/>
    </row>
    <row r="53" spans="1:13" ht="15.75" customHeight="1" x14ac:dyDescent="0.25">
      <c r="A53" s="31">
        <v>24</v>
      </c>
      <c r="B53" s="32" t="s">
        <v>86</v>
      </c>
      <c r="C53" s="33" t="s">
        <v>21</v>
      </c>
      <c r="D53" s="1"/>
      <c r="E53" s="342" t="s">
        <v>87</v>
      </c>
      <c r="F53" s="343" t="s">
        <v>39</v>
      </c>
      <c r="G53" s="344">
        <f>+G30</f>
        <v>72</v>
      </c>
      <c r="H53" s="388">
        <v>26934</v>
      </c>
      <c r="I53" s="527">
        <f t="shared" ref="I53:I58" si="7">+J53*G53</f>
        <v>2527809.7680000002</v>
      </c>
      <c r="J53" s="3">
        <f t="shared" ref="J53:J58" si="8">+H53*$J$9</f>
        <v>35108.469000000005</v>
      </c>
      <c r="K53" s="4"/>
      <c r="L53" s="4"/>
      <c r="M53" s="4"/>
    </row>
    <row r="54" spans="1:13" ht="15.75" customHeight="1" x14ac:dyDescent="0.25">
      <c r="A54" s="31">
        <v>25</v>
      </c>
      <c r="B54" s="32" t="s">
        <v>88</v>
      </c>
      <c r="C54" s="33" t="s">
        <v>21</v>
      </c>
      <c r="D54" s="1"/>
      <c r="E54" s="34" t="s">
        <v>89</v>
      </c>
      <c r="F54" s="32" t="s">
        <v>39</v>
      </c>
      <c r="G54" s="33">
        <v>15</v>
      </c>
      <c r="H54" s="35">
        <v>87333</v>
      </c>
      <c r="I54" s="527">
        <f t="shared" si="7"/>
        <v>1707578.4825000002</v>
      </c>
      <c r="J54" s="3">
        <f t="shared" si="8"/>
        <v>113838.56550000001</v>
      </c>
      <c r="K54" s="4"/>
      <c r="L54" s="4"/>
      <c r="M54" s="4"/>
    </row>
    <row r="55" spans="1:13" ht="15.75" customHeight="1" x14ac:dyDescent="0.25">
      <c r="A55" s="31">
        <v>26</v>
      </c>
      <c r="B55" s="32" t="s">
        <v>90</v>
      </c>
      <c r="C55" s="33" t="s">
        <v>21</v>
      </c>
      <c r="D55" s="1"/>
      <c r="E55" s="34" t="s">
        <v>91</v>
      </c>
      <c r="F55" s="32" t="s">
        <v>39</v>
      </c>
      <c r="G55" s="33">
        <v>15</v>
      </c>
      <c r="H55" s="35">
        <v>61513</v>
      </c>
      <c r="I55" s="527">
        <f t="shared" si="7"/>
        <v>1202732.9325000001</v>
      </c>
      <c r="J55" s="3">
        <f t="shared" si="8"/>
        <v>80182.195500000002</v>
      </c>
      <c r="K55" s="4"/>
      <c r="L55" s="4"/>
      <c r="M55" s="4"/>
    </row>
    <row r="56" spans="1:13" ht="15.75" customHeight="1" x14ac:dyDescent="0.25">
      <c r="A56" s="31">
        <v>27</v>
      </c>
      <c r="B56" s="32" t="s">
        <v>92</v>
      </c>
      <c r="C56" s="33" t="s">
        <v>21</v>
      </c>
      <c r="D56" s="1"/>
      <c r="E56" s="34" t="s">
        <v>93</v>
      </c>
      <c r="F56" s="32" t="s">
        <v>39</v>
      </c>
      <c r="G56" s="33">
        <v>15</v>
      </c>
      <c r="H56" s="35">
        <v>236411</v>
      </c>
      <c r="I56" s="527">
        <f t="shared" si="7"/>
        <v>4622426.0775000006</v>
      </c>
      <c r="J56" s="3">
        <f t="shared" si="8"/>
        <v>308161.73850000004</v>
      </c>
      <c r="K56" s="4"/>
      <c r="L56" s="4"/>
      <c r="M56" s="4"/>
    </row>
    <row r="57" spans="1:13" ht="15.75" customHeight="1" x14ac:dyDescent="0.25">
      <c r="A57" s="31">
        <v>28</v>
      </c>
      <c r="B57" s="32" t="s">
        <v>94</v>
      </c>
      <c r="C57" s="33" t="s">
        <v>21</v>
      </c>
      <c r="D57" s="1"/>
      <c r="E57" s="34" t="s">
        <v>95</v>
      </c>
      <c r="F57" s="32" t="s">
        <v>39</v>
      </c>
      <c r="G57" s="33">
        <v>15</v>
      </c>
      <c r="H57" s="35">
        <v>139696</v>
      </c>
      <c r="I57" s="527">
        <f t="shared" si="7"/>
        <v>2731406.04</v>
      </c>
      <c r="J57" s="3">
        <f t="shared" si="8"/>
        <v>182093.736</v>
      </c>
      <c r="K57" s="4"/>
      <c r="L57" s="4"/>
      <c r="M57" s="4"/>
    </row>
    <row r="58" spans="1:13" ht="15.75" customHeight="1" x14ac:dyDescent="0.25">
      <c r="A58" s="31">
        <v>29</v>
      </c>
      <c r="B58" s="96" t="s">
        <v>90</v>
      </c>
      <c r="C58" s="33" t="s">
        <v>21</v>
      </c>
      <c r="D58" s="1"/>
      <c r="E58" s="50" t="s">
        <v>96</v>
      </c>
      <c r="F58" s="51" t="s">
        <v>39</v>
      </c>
      <c r="G58" s="52">
        <v>15</v>
      </c>
      <c r="H58" s="60">
        <v>183224</v>
      </c>
      <c r="I58" s="527">
        <f t="shared" si="7"/>
        <v>3582487.2600000002</v>
      </c>
      <c r="J58" s="3">
        <f t="shared" si="8"/>
        <v>238832.48400000003</v>
      </c>
      <c r="K58" s="4"/>
      <c r="L58" s="4"/>
      <c r="M58" s="4"/>
    </row>
    <row r="59" spans="1:13" ht="15.75" customHeight="1" x14ac:dyDescent="0.25">
      <c r="A59" s="53" t="s">
        <v>33</v>
      </c>
      <c r="B59" s="54"/>
      <c r="C59" s="55"/>
      <c r="D59" s="55"/>
      <c r="E59" s="56"/>
      <c r="F59" s="54"/>
      <c r="G59" s="55"/>
      <c r="H59" s="57"/>
      <c r="I59" s="73">
        <f>SUM(I53:I58)</f>
        <v>16374440.560500002</v>
      </c>
      <c r="J59" s="3"/>
      <c r="K59" s="4"/>
      <c r="L59" s="4"/>
      <c r="M59" s="4"/>
    </row>
    <row r="60" spans="1:13" ht="15.75" customHeight="1" x14ac:dyDescent="0.25">
      <c r="A60" s="63"/>
      <c r="B60" s="64" t="s">
        <v>97</v>
      </c>
      <c r="C60" s="65"/>
      <c r="D60" s="65"/>
      <c r="E60" s="66" t="s">
        <v>98</v>
      </c>
      <c r="F60" s="67"/>
      <c r="G60" s="65"/>
      <c r="H60" s="68"/>
      <c r="I60" s="534"/>
      <c r="J60" s="23"/>
      <c r="K60" s="4"/>
      <c r="L60" s="4"/>
      <c r="M60" s="4"/>
    </row>
    <row r="61" spans="1:13" ht="15.75" customHeight="1" x14ac:dyDescent="0.25">
      <c r="A61" s="31">
        <v>30</v>
      </c>
      <c r="B61" s="32" t="s">
        <v>99</v>
      </c>
      <c r="C61" s="33" t="s">
        <v>21</v>
      </c>
      <c r="D61" s="1"/>
      <c r="E61" s="342" t="s">
        <v>100</v>
      </c>
      <c r="F61" s="343" t="s">
        <v>39</v>
      </c>
      <c r="G61" s="344">
        <v>7</v>
      </c>
      <c r="H61" s="388">
        <v>217037</v>
      </c>
      <c r="I61" s="527">
        <f t="shared" ref="I61:I62" si="9">+J61*G61</f>
        <v>1980354.1065000002</v>
      </c>
      <c r="J61" s="3">
        <f t="shared" ref="J61:J62" si="10">+H61*$J$9</f>
        <v>282907.72950000002</v>
      </c>
      <c r="K61" s="4"/>
      <c r="L61" s="4"/>
      <c r="M61" s="4"/>
    </row>
    <row r="62" spans="1:13" ht="15.75" customHeight="1" x14ac:dyDescent="0.25">
      <c r="A62" s="31">
        <v>31</v>
      </c>
      <c r="B62" s="32" t="s">
        <v>101</v>
      </c>
      <c r="C62" s="33" t="s">
        <v>21</v>
      </c>
      <c r="D62" s="1"/>
      <c r="E62" s="346" t="s">
        <v>102</v>
      </c>
      <c r="F62" s="347" t="s">
        <v>39</v>
      </c>
      <c r="G62" s="348">
        <v>7</v>
      </c>
      <c r="H62" s="345">
        <v>108177</v>
      </c>
      <c r="I62" s="527">
        <f t="shared" si="9"/>
        <v>987061.03650000005</v>
      </c>
      <c r="J62" s="3">
        <f t="shared" si="10"/>
        <v>141008.71950000001</v>
      </c>
      <c r="K62" s="4"/>
      <c r="L62" s="4"/>
      <c r="M62" s="4"/>
    </row>
    <row r="63" spans="1:13" ht="15.75" customHeight="1" x14ac:dyDescent="0.25">
      <c r="A63" s="53" t="s">
        <v>33</v>
      </c>
      <c r="B63" s="54"/>
      <c r="C63" s="55"/>
      <c r="D63" s="55"/>
      <c r="E63" s="56"/>
      <c r="F63" s="54"/>
      <c r="G63" s="55"/>
      <c r="H63" s="57"/>
      <c r="I63" s="73">
        <f>SUM(I61:I62)</f>
        <v>2967415.1430000002</v>
      </c>
      <c r="J63" s="3"/>
      <c r="K63" s="4"/>
      <c r="L63" s="4"/>
      <c r="M63" s="4"/>
    </row>
    <row r="64" spans="1:13" ht="15.75" customHeight="1" x14ac:dyDescent="0.25">
      <c r="A64" s="63"/>
      <c r="B64" s="64" t="s">
        <v>103</v>
      </c>
      <c r="C64" s="65"/>
      <c r="D64" s="65"/>
      <c r="E64" s="66" t="s">
        <v>104</v>
      </c>
      <c r="F64" s="67"/>
      <c r="G64" s="65"/>
      <c r="H64" s="68"/>
      <c r="I64" s="534"/>
      <c r="J64" s="23"/>
      <c r="K64" s="4"/>
      <c r="L64" s="4"/>
      <c r="M64" s="4"/>
    </row>
    <row r="65" spans="1:13" ht="15.75" customHeight="1" x14ac:dyDescent="0.25">
      <c r="A65" s="31">
        <v>32</v>
      </c>
      <c r="B65" s="32" t="s">
        <v>105</v>
      </c>
      <c r="C65" s="33" t="s">
        <v>21</v>
      </c>
      <c r="D65" s="1"/>
      <c r="E65" s="346" t="s">
        <v>106</v>
      </c>
      <c r="F65" s="347" t="s">
        <v>39</v>
      </c>
      <c r="G65" s="348">
        <v>7</v>
      </c>
      <c r="H65" s="345">
        <v>730250</v>
      </c>
      <c r="I65" s="525">
        <f t="shared" ref="I65:I66" si="11">+J65*G65</f>
        <v>6663166.1250000009</v>
      </c>
      <c r="J65" s="3">
        <f t="shared" ref="J65:J66" si="12">+H65*$J$9</f>
        <v>951880.87500000012</v>
      </c>
      <c r="K65" s="4"/>
      <c r="L65" s="4"/>
      <c r="M65" s="4"/>
    </row>
    <row r="66" spans="1:13" ht="15.75" customHeight="1" x14ac:dyDescent="0.25">
      <c r="A66" s="31">
        <v>33</v>
      </c>
      <c r="B66" s="32" t="s">
        <v>107</v>
      </c>
      <c r="C66" s="33" t="s">
        <v>21</v>
      </c>
      <c r="D66" s="1"/>
      <c r="E66" s="349" t="s">
        <v>108</v>
      </c>
      <c r="F66" s="350" t="s">
        <v>39</v>
      </c>
      <c r="G66" s="351">
        <v>7</v>
      </c>
      <c r="H66" s="375">
        <v>301190</v>
      </c>
      <c r="I66" s="528">
        <f t="shared" si="11"/>
        <v>2748208.1550000003</v>
      </c>
      <c r="J66" s="3">
        <f t="shared" si="12"/>
        <v>392601.16500000004</v>
      </c>
      <c r="K66" s="4"/>
      <c r="L66" s="4"/>
      <c r="M66" s="4"/>
    </row>
    <row r="67" spans="1:13" ht="15.75" customHeight="1" x14ac:dyDescent="0.25">
      <c r="A67" s="53" t="s">
        <v>33</v>
      </c>
      <c r="B67" s="54"/>
      <c r="C67" s="55"/>
      <c r="D67" s="55"/>
      <c r="E67" s="56"/>
      <c r="F67" s="54"/>
      <c r="G67" s="55"/>
      <c r="H67" s="57"/>
      <c r="I67" s="73">
        <f>SUM(I65:I66)</f>
        <v>9411374.2800000012</v>
      </c>
      <c r="J67" s="3"/>
      <c r="K67" s="4"/>
      <c r="L67" s="4"/>
      <c r="M67" s="4"/>
    </row>
    <row r="68" spans="1:13" ht="15.75" customHeight="1" x14ac:dyDescent="0.25">
      <c r="A68" s="63"/>
      <c r="B68" s="64" t="s">
        <v>109</v>
      </c>
      <c r="C68" s="65"/>
      <c r="D68" s="65"/>
      <c r="E68" s="66" t="s">
        <v>110</v>
      </c>
      <c r="F68" s="67"/>
      <c r="G68" s="65"/>
      <c r="H68" s="68"/>
      <c r="I68" s="534"/>
      <c r="J68" s="23"/>
      <c r="K68" s="4"/>
      <c r="L68" s="4"/>
      <c r="M68" s="4"/>
    </row>
    <row r="69" spans="1:13" ht="30.75" customHeight="1" x14ac:dyDescent="0.25">
      <c r="A69" s="31">
        <v>34</v>
      </c>
      <c r="B69" s="32" t="s">
        <v>111</v>
      </c>
      <c r="C69" s="33" t="s">
        <v>21</v>
      </c>
      <c r="D69" s="1"/>
      <c r="E69" s="342" t="s">
        <v>112</v>
      </c>
      <c r="F69" s="343" t="s">
        <v>44</v>
      </c>
      <c r="G69" s="344">
        <v>20</v>
      </c>
      <c r="H69" s="388">
        <v>599576</v>
      </c>
      <c r="I69" s="527">
        <f t="shared" ref="I69:I70" si="13">+J69*G69</f>
        <v>15630946.320000002</v>
      </c>
      <c r="J69" s="3">
        <f t="shared" ref="J69:J70" si="14">+H69*$J$9</f>
        <v>781547.31600000011</v>
      </c>
      <c r="K69" s="4"/>
      <c r="L69" s="4"/>
      <c r="M69" s="4"/>
    </row>
    <row r="70" spans="1:13" ht="15.75" customHeight="1" x14ac:dyDescent="0.25">
      <c r="A70" s="31">
        <v>35</v>
      </c>
      <c r="B70" s="32" t="s">
        <v>113</v>
      </c>
      <c r="C70" s="33" t="s">
        <v>21</v>
      </c>
      <c r="D70" s="1"/>
      <c r="E70" s="346" t="s">
        <v>114</v>
      </c>
      <c r="F70" s="347" t="s">
        <v>44</v>
      </c>
      <c r="G70" s="348">
        <f>+G69/2</f>
        <v>10</v>
      </c>
      <c r="H70" s="345">
        <v>30880</v>
      </c>
      <c r="I70" s="525">
        <f t="shared" si="13"/>
        <v>402520.80000000005</v>
      </c>
      <c r="J70" s="3">
        <f t="shared" si="14"/>
        <v>40252.080000000002</v>
      </c>
      <c r="K70" s="4"/>
      <c r="L70" s="4"/>
      <c r="M70" s="4"/>
    </row>
    <row r="71" spans="1:13" ht="15.75" customHeight="1" x14ac:dyDescent="0.25">
      <c r="A71" s="53" t="s">
        <v>33</v>
      </c>
      <c r="B71" s="54"/>
      <c r="C71" s="55"/>
      <c r="D71" s="55"/>
      <c r="E71" s="56"/>
      <c r="F71" s="54"/>
      <c r="G71" s="55"/>
      <c r="H71" s="57"/>
      <c r="I71" s="73">
        <f>SUM(I69:I70)</f>
        <v>16033467.120000003</v>
      </c>
      <c r="J71" s="3"/>
      <c r="K71" s="4"/>
      <c r="L71" s="4"/>
      <c r="M71" s="4"/>
    </row>
    <row r="72" spans="1:13" ht="15.75" customHeight="1" x14ac:dyDescent="0.25">
      <c r="A72" s="16"/>
      <c r="B72" s="17">
        <v>6</v>
      </c>
      <c r="C72" s="19"/>
      <c r="D72" s="19"/>
      <c r="E72" s="20" t="s">
        <v>115</v>
      </c>
      <c r="F72" s="21"/>
      <c r="G72" s="19"/>
      <c r="H72" s="43"/>
      <c r="I72" s="535"/>
      <c r="J72" s="23"/>
      <c r="K72" s="4"/>
      <c r="L72" s="4"/>
      <c r="M72" s="4"/>
    </row>
    <row r="73" spans="1:13" ht="20.25" customHeight="1" x14ac:dyDescent="0.25">
      <c r="A73" s="31">
        <v>36</v>
      </c>
      <c r="B73" s="32" t="s">
        <v>116</v>
      </c>
      <c r="C73" s="33" t="s">
        <v>21</v>
      </c>
      <c r="D73" s="1"/>
      <c r="E73" s="342" t="s">
        <v>117</v>
      </c>
      <c r="F73" s="343" t="s">
        <v>39</v>
      </c>
      <c r="G73" s="344">
        <f>7*2</f>
        <v>14</v>
      </c>
      <c r="H73" s="388">
        <v>28399</v>
      </c>
      <c r="I73" s="527">
        <f t="shared" ref="I73:I77" si="15">+J73*G73</f>
        <v>518253.35100000002</v>
      </c>
      <c r="J73" s="3">
        <f t="shared" ref="J73:J77" si="16">+H73*$J$9</f>
        <v>37018.0965</v>
      </c>
      <c r="K73" s="4"/>
      <c r="L73" s="4"/>
      <c r="M73" s="4"/>
    </row>
    <row r="74" spans="1:13" ht="15.75" customHeight="1" x14ac:dyDescent="0.25">
      <c r="A74" s="31">
        <v>37</v>
      </c>
      <c r="B74" s="32" t="s">
        <v>118</v>
      </c>
      <c r="C74" s="33" t="s">
        <v>21</v>
      </c>
      <c r="D74" s="1"/>
      <c r="E74" s="346" t="s">
        <v>119</v>
      </c>
      <c r="F74" s="347" t="s">
        <v>120</v>
      </c>
      <c r="G74" s="348">
        <f>+G73</f>
        <v>14</v>
      </c>
      <c r="H74" s="345">
        <v>1282</v>
      </c>
      <c r="I74" s="527">
        <f t="shared" si="15"/>
        <v>23395.218000000004</v>
      </c>
      <c r="J74" s="3">
        <f t="shared" si="16"/>
        <v>1671.0870000000002</v>
      </c>
      <c r="K74" s="4"/>
      <c r="L74" s="4"/>
      <c r="M74" s="4"/>
    </row>
    <row r="75" spans="1:13" ht="15.75" customHeight="1" x14ac:dyDescent="0.25">
      <c r="A75" s="31">
        <v>38</v>
      </c>
      <c r="B75" s="32">
        <v>7462</v>
      </c>
      <c r="C75" s="33" t="s">
        <v>121</v>
      </c>
      <c r="D75" s="1"/>
      <c r="E75" s="346" t="s">
        <v>122</v>
      </c>
      <c r="F75" s="347" t="s">
        <v>123</v>
      </c>
      <c r="G75" s="387">
        <v>5</v>
      </c>
      <c r="H75" s="345">
        <v>1800</v>
      </c>
      <c r="I75" s="527">
        <f t="shared" si="15"/>
        <v>11731.5</v>
      </c>
      <c r="J75" s="3">
        <f t="shared" si="16"/>
        <v>2346.3000000000002</v>
      </c>
      <c r="K75" s="4"/>
      <c r="L75" s="4"/>
      <c r="M75" s="4"/>
    </row>
    <row r="76" spans="1:13" ht="15.75" customHeight="1" x14ac:dyDescent="0.25">
      <c r="A76" s="31">
        <v>39</v>
      </c>
      <c r="B76" s="32" t="s">
        <v>124</v>
      </c>
      <c r="C76" s="33" t="s">
        <v>125</v>
      </c>
      <c r="D76" s="1"/>
      <c r="E76" s="346" t="s">
        <v>126</v>
      </c>
      <c r="F76" s="347" t="s">
        <v>127</v>
      </c>
      <c r="G76" s="348">
        <f>15+5</f>
        <v>20</v>
      </c>
      <c r="H76" s="389">
        <v>58912</v>
      </c>
      <c r="I76" s="527">
        <f t="shared" si="15"/>
        <v>1535835.84</v>
      </c>
      <c r="J76" s="3">
        <f t="shared" si="16"/>
        <v>76791.792000000001</v>
      </c>
      <c r="K76" s="4"/>
      <c r="L76" s="4"/>
      <c r="M76" s="4"/>
    </row>
    <row r="77" spans="1:13" ht="15.75" customHeight="1" x14ac:dyDescent="0.25">
      <c r="A77" s="31">
        <v>40</v>
      </c>
      <c r="B77" s="32" t="s">
        <v>128</v>
      </c>
      <c r="C77" s="33" t="s">
        <v>129</v>
      </c>
      <c r="D77" s="1"/>
      <c r="E77" s="346" t="s">
        <v>130</v>
      </c>
      <c r="F77" s="347" t="s">
        <v>131</v>
      </c>
      <c r="G77" s="348">
        <v>30</v>
      </c>
      <c r="H77" s="389">
        <v>123980</v>
      </c>
      <c r="I77" s="527">
        <f t="shared" si="15"/>
        <v>4848237.9000000004</v>
      </c>
      <c r="J77" s="3">
        <f t="shared" si="16"/>
        <v>161607.93000000002</v>
      </c>
      <c r="K77" s="4"/>
      <c r="L77" s="4"/>
      <c r="M77" s="4"/>
    </row>
    <row r="78" spans="1:13" ht="15.75" customHeight="1" x14ac:dyDescent="0.25">
      <c r="A78" s="53" t="s">
        <v>33</v>
      </c>
      <c r="B78" s="54"/>
      <c r="C78" s="55"/>
      <c r="D78" s="55"/>
      <c r="E78" s="56"/>
      <c r="F78" s="54"/>
      <c r="G78" s="55"/>
      <c r="H78" s="57"/>
      <c r="I78" s="73">
        <f>SUM(I73:I77)</f>
        <v>6937453.8090000004</v>
      </c>
      <c r="J78" s="3"/>
      <c r="K78" s="4"/>
      <c r="L78" s="4"/>
      <c r="M78" s="4"/>
    </row>
    <row r="79" spans="1:13" ht="15.75" customHeight="1" x14ac:dyDescent="0.25">
      <c r="A79" s="16"/>
      <c r="B79" s="17">
        <v>7</v>
      </c>
      <c r="C79" s="19"/>
      <c r="D79" s="19"/>
      <c r="E79" s="20" t="s">
        <v>132</v>
      </c>
      <c r="F79" s="21"/>
      <c r="G79" s="19"/>
      <c r="H79" s="43"/>
      <c r="I79" s="535"/>
      <c r="J79" s="23"/>
      <c r="K79" s="4"/>
      <c r="L79" s="4"/>
      <c r="M79" s="4"/>
    </row>
    <row r="80" spans="1:13" ht="15.75" customHeight="1" x14ac:dyDescent="0.25">
      <c r="A80" s="24"/>
      <c r="B80" s="25" t="s">
        <v>133</v>
      </c>
      <c r="C80" s="27"/>
      <c r="D80" s="27"/>
      <c r="E80" s="333" t="s">
        <v>134</v>
      </c>
      <c r="F80" s="29"/>
      <c r="G80" s="27"/>
      <c r="H80" s="58"/>
      <c r="I80" s="536"/>
      <c r="J80" s="23"/>
      <c r="K80" s="4"/>
      <c r="L80" s="4"/>
      <c r="M80" s="4"/>
    </row>
    <row r="81" spans="1:13" ht="15.75" customHeight="1" x14ac:dyDescent="0.25">
      <c r="A81" s="74">
        <v>41</v>
      </c>
      <c r="B81" s="33">
        <v>10481</v>
      </c>
      <c r="C81" s="75" t="s">
        <v>151</v>
      </c>
      <c r="D81" s="33" t="s">
        <v>135</v>
      </c>
      <c r="E81" s="76" t="s">
        <v>136</v>
      </c>
      <c r="F81" s="77" t="s">
        <v>23</v>
      </c>
      <c r="G81" s="33">
        <v>10</v>
      </c>
      <c r="H81" s="78">
        <v>3525</v>
      </c>
      <c r="I81" s="529">
        <f t="shared" ref="I81:I88" si="17">+J81*G81</f>
        <v>45948.375000000007</v>
      </c>
      <c r="J81" s="3">
        <f t="shared" ref="J81:J88" si="18">+H81*$J$9</f>
        <v>4594.8375000000005</v>
      </c>
      <c r="K81" s="4"/>
      <c r="L81" s="4"/>
      <c r="M81" s="4"/>
    </row>
    <row r="82" spans="1:13" ht="15.75" customHeight="1" x14ac:dyDescent="0.25">
      <c r="A82" s="74">
        <v>42</v>
      </c>
      <c r="B82" s="79" t="s">
        <v>137</v>
      </c>
      <c r="C82" s="75" t="s">
        <v>151</v>
      </c>
      <c r="D82" s="33" t="s">
        <v>135</v>
      </c>
      <c r="E82" s="80" t="s">
        <v>138</v>
      </c>
      <c r="F82" s="81" t="s">
        <v>23</v>
      </c>
      <c r="G82" s="33">
        <v>10</v>
      </c>
      <c r="H82" s="82">
        <v>3544</v>
      </c>
      <c r="I82" s="529">
        <f t="shared" si="17"/>
        <v>46196.04</v>
      </c>
      <c r="J82" s="3">
        <f t="shared" si="18"/>
        <v>4619.6040000000003</v>
      </c>
      <c r="K82" s="4"/>
      <c r="L82" s="4"/>
      <c r="M82" s="4"/>
    </row>
    <row r="83" spans="1:13" ht="15.75" customHeight="1" x14ac:dyDescent="0.25">
      <c r="A83" s="74">
        <v>43</v>
      </c>
      <c r="B83" s="79">
        <v>15139</v>
      </c>
      <c r="C83" s="75" t="s">
        <v>151</v>
      </c>
      <c r="D83" s="33" t="s">
        <v>135</v>
      </c>
      <c r="E83" s="80" t="s">
        <v>139</v>
      </c>
      <c r="F83" s="81" t="s">
        <v>23</v>
      </c>
      <c r="G83" s="33">
        <v>10</v>
      </c>
      <c r="H83" s="82">
        <v>3559</v>
      </c>
      <c r="I83" s="529">
        <f t="shared" si="17"/>
        <v>46391.565000000002</v>
      </c>
      <c r="J83" s="3">
        <f t="shared" si="18"/>
        <v>4639.1565000000001</v>
      </c>
      <c r="K83" s="4"/>
      <c r="L83" s="4"/>
      <c r="M83" s="4"/>
    </row>
    <row r="84" spans="1:13" ht="15.75" customHeight="1" x14ac:dyDescent="0.25">
      <c r="A84" s="74">
        <v>44</v>
      </c>
      <c r="B84" s="330">
        <v>6257</v>
      </c>
      <c r="C84" s="75" t="s">
        <v>151</v>
      </c>
      <c r="D84" s="33" t="s">
        <v>135</v>
      </c>
      <c r="E84" s="80" t="s">
        <v>140</v>
      </c>
      <c r="F84" s="81" t="s">
        <v>23</v>
      </c>
      <c r="G84" s="33">
        <v>10</v>
      </c>
      <c r="H84" s="82">
        <v>19650</v>
      </c>
      <c r="I84" s="529">
        <f t="shared" si="17"/>
        <v>256137.75</v>
      </c>
      <c r="J84" s="3">
        <f t="shared" si="18"/>
        <v>25613.775000000001</v>
      </c>
      <c r="K84" s="4"/>
      <c r="L84" s="4"/>
      <c r="M84" s="4"/>
    </row>
    <row r="85" spans="1:13" ht="15.75" customHeight="1" x14ac:dyDescent="0.25">
      <c r="A85" s="74">
        <v>45</v>
      </c>
      <c r="B85" s="330">
        <v>6258</v>
      </c>
      <c r="C85" s="75" t="s">
        <v>151</v>
      </c>
      <c r="D85" s="33" t="s">
        <v>135</v>
      </c>
      <c r="E85" s="80" t="s">
        <v>141</v>
      </c>
      <c r="F85" s="81" t="s">
        <v>23</v>
      </c>
      <c r="G85" s="33">
        <v>10</v>
      </c>
      <c r="H85" s="82">
        <v>29250</v>
      </c>
      <c r="I85" s="529">
        <f t="shared" si="17"/>
        <v>381273.75</v>
      </c>
      <c r="J85" s="3">
        <f t="shared" si="18"/>
        <v>38127.375</v>
      </c>
      <c r="K85" s="4"/>
      <c r="L85" s="4"/>
      <c r="M85" s="4"/>
    </row>
    <row r="86" spans="1:13" ht="15.75" customHeight="1" x14ac:dyDescent="0.25">
      <c r="A86" s="74">
        <v>46</v>
      </c>
      <c r="B86" s="330">
        <v>6259</v>
      </c>
      <c r="C86" s="75" t="s">
        <v>151</v>
      </c>
      <c r="D86" s="33" t="s">
        <v>135</v>
      </c>
      <c r="E86" s="80" t="s">
        <v>142</v>
      </c>
      <c r="F86" s="81" t="s">
        <v>23</v>
      </c>
      <c r="G86" s="33">
        <v>10</v>
      </c>
      <c r="H86" s="82">
        <v>51431</v>
      </c>
      <c r="I86" s="529">
        <f t="shared" si="17"/>
        <v>670403.08499999996</v>
      </c>
      <c r="J86" s="3">
        <f t="shared" si="18"/>
        <v>67040.308499999999</v>
      </c>
      <c r="K86" s="4"/>
      <c r="L86" s="4"/>
      <c r="M86" s="4"/>
    </row>
    <row r="87" spans="1:13" ht="15.75" customHeight="1" x14ac:dyDescent="0.25">
      <c r="A87" s="74">
        <v>47</v>
      </c>
      <c r="B87" s="330">
        <v>6260</v>
      </c>
      <c r="C87" s="75" t="s">
        <v>151</v>
      </c>
      <c r="D87" s="33" t="s">
        <v>135</v>
      </c>
      <c r="E87" s="80" t="s">
        <v>143</v>
      </c>
      <c r="F87" s="81" t="s">
        <v>23</v>
      </c>
      <c r="G87" s="33">
        <v>10</v>
      </c>
      <c r="H87" s="82">
        <v>64984</v>
      </c>
      <c r="I87" s="530">
        <f t="shared" si="17"/>
        <v>847066.44</v>
      </c>
      <c r="J87" s="3">
        <f t="shared" si="18"/>
        <v>84706.644</v>
      </c>
      <c r="K87" s="4"/>
      <c r="L87" s="4"/>
      <c r="M87" s="4"/>
    </row>
    <row r="88" spans="1:13" ht="15.75" customHeight="1" x14ac:dyDescent="0.25">
      <c r="A88" s="74">
        <v>48</v>
      </c>
      <c r="B88" s="330">
        <v>6261</v>
      </c>
      <c r="C88" s="75" t="s">
        <v>151</v>
      </c>
      <c r="D88" s="33" t="s">
        <v>135</v>
      </c>
      <c r="E88" s="80" t="s">
        <v>144</v>
      </c>
      <c r="F88" s="81" t="s">
        <v>23</v>
      </c>
      <c r="G88" s="33">
        <v>10</v>
      </c>
      <c r="H88" s="82">
        <v>133504</v>
      </c>
      <c r="I88" s="530">
        <f t="shared" si="17"/>
        <v>1740224.6400000001</v>
      </c>
      <c r="J88" s="3">
        <f t="shared" si="18"/>
        <v>174022.46400000001</v>
      </c>
      <c r="K88" s="4"/>
      <c r="L88" s="4"/>
      <c r="M88" s="4"/>
    </row>
    <row r="89" spans="1:13" ht="15.75" customHeight="1" x14ac:dyDescent="0.25">
      <c r="A89" s="53" t="s">
        <v>33</v>
      </c>
      <c r="B89" s="54"/>
      <c r="C89" s="55"/>
      <c r="D89" s="55"/>
      <c r="E89" s="56"/>
      <c r="F89" s="54"/>
      <c r="G89" s="55"/>
      <c r="H89" s="57"/>
      <c r="I89" s="73">
        <f>SUM(I81:I88)</f>
        <v>4033641.645</v>
      </c>
      <c r="J89" s="3"/>
      <c r="K89" s="4"/>
      <c r="L89" s="4"/>
      <c r="M89" s="4"/>
    </row>
    <row r="90" spans="1:13" ht="15.75" customHeight="1" x14ac:dyDescent="0.25">
      <c r="A90" s="63"/>
      <c r="B90" s="64" t="s">
        <v>145</v>
      </c>
      <c r="C90" s="65"/>
      <c r="D90" s="65"/>
      <c r="E90" s="66" t="s">
        <v>146</v>
      </c>
      <c r="F90" s="67"/>
      <c r="G90" s="65"/>
      <c r="H90" s="68"/>
      <c r="I90" s="534"/>
      <c r="J90" s="23"/>
      <c r="K90" s="4"/>
      <c r="L90" s="4"/>
      <c r="M90" s="4"/>
    </row>
    <row r="91" spans="1:13" ht="15.75" customHeight="1" x14ac:dyDescent="0.25">
      <c r="A91" s="31">
        <v>49</v>
      </c>
      <c r="B91" s="32" t="s">
        <v>147</v>
      </c>
      <c r="C91" s="33" t="s">
        <v>21</v>
      </c>
      <c r="D91" s="1"/>
      <c r="E91" s="83" t="s">
        <v>148</v>
      </c>
      <c r="F91" s="48" t="s">
        <v>44</v>
      </c>
      <c r="G91" s="49">
        <v>3</v>
      </c>
      <c r="H91" s="59">
        <v>4074</v>
      </c>
      <c r="I91" s="527">
        <f t="shared" ref="I91:I92" si="19">+J91*G91</f>
        <v>15931.377000000002</v>
      </c>
      <c r="J91" s="3">
        <f t="shared" ref="J91:J92" si="20">+H91*$J$9</f>
        <v>5310.4590000000007</v>
      </c>
      <c r="K91" s="4"/>
      <c r="L91" s="4"/>
      <c r="M91" s="4"/>
    </row>
    <row r="92" spans="1:13" ht="15.75" customHeight="1" x14ac:dyDescent="0.25">
      <c r="A92" s="31">
        <v>50</v>
      </c>
      <c r="B92" s="32" t="s">
        <v>149</v>
      </c>
      <c r="C92" s="33" t="s">
        <v>21</v>
      </c>
      <c r="D92" s="1"/>
      <c r="E92" s="84" t="s">
        <v>150</v>
      </c>
      <c r="F92" s="32" t="s">
        <v>44</v>
      </c>
      <c r="G92" s="33">
        <v>3</v>
      </c>
      <c r="H92" s="35">
        <v>4344</v>
      </c>
      <c r="I92" s="527">
        <f t="shared" si="19"/>
        <v>16987.212</v>
      </c>
      <c r="J92" s="3">
        <f t="shared" si="20"/>
        <v>5662.4040000000005</v>
      </c>
      <c r="K92" s="4"/>
      <c r="L92" s="4"/>
      <c r="M92" s="4"/>
    </row>
    <row r="93" spans="1:13" ht="15.75" customHeight="1" x14ac:dyDescent="0.25">
      <c r="A93" s="53" t="s">
        <v>33</v>
      </c>
      <c r="B93" s="54"/>
      <c r="C93" s="55"/>
      <c r="D93" s="55"/>
      <c r="E93" s="56"/>
      <c r="F93" s="54"/>
      <c r="G93" s="55"/>
      <c r="H93" s="57"/>
      <c r="I93" s="73">
        <f>SUM(I91:I92)</f>
        <v>32918.589</v>
      </c>
      <c r="J93" s="3"/>
      <c r="K93" s="4"/>
      <c r="L93" s="4"/>
      <c r="M93" s="4"/>
    </row>
    <row r="94" spans="1:13" ht="15.75" customHeight="1" x14ac:dyDescent="0.25">
      <c r="A94" s="63"/>
      <c r="B94" s="64" t="s">
        <v>152</v>
      </c>
      <c r="C94" s="65"/>
      <c r="D94" s="65"/>
      <c r="E94" s="66" t="s">
        <v>153</v>
      </c>
      <c r="F94" s="67"/>
      <c r="G94" s="65"/>
      <c r="H94" s="68"/>
      <c r="I94" s="534"/>
      <c r="J94" s="23"/>
      <c r="K94" s="4"/>
      <c r="L94" s="4"/>
      <c r="M94" s="4"/>
    </row>
    <row r="95" spans="1:13" ht="15.75" customHeight="1" x14ac:dyDescent="0.25">
      <c r="A95" s="31">
        <v>51</v>
      </c>
      <c r="B95" s="331">
        <v>11903</v>
      </c>
      <c r="C95" s="33" t="s">
        <v>121</v>
      </c>
      <c r="D95" s="1"/>
      <c r="E95" s="34" t="s">
        <v>154</v>
      </c>
      <c r="F95" s="32" t="s">
        <v>44</v>
      </c>
      <c r="G95" s="33">
        <v>2</v>
      </c>
      <c r="H95" s="35">
        <v>1689</v>
      </c>
      <c r="I95" s="525">
        <f t="shared" ref="I95:I98" si="21">+J95*G95</f>
        <v>4403.223</v>
      </c>
      <c r="J95" s="3">
        <f t="shared" ref="J95:J98" si="22">+H95*$J$9</f>
        <v>2201.6115</v>
      </c>
      <c r="K95" s="4"/>
      <c r="L95" s="4"/>
      <c r="M95" s="4"/>
    </row>
    <row r="96" spans="1:13" ht="15.75" customHeight="1" x14ac:dyDescent="0.25">
      <c r="A96" s="31">
        <v>52</v>
      </c>
      <c r="B96" s="331">
        <v>11904</v>
      </c>
      <c r="C96" s="33" t="s">
        <v>121</v>
      </c>
      <c r="D96" s="1"/>
      <c r="E96" s="34" t="s">
        <v>155</v>
      </c>
      <c r="F96" s="32" t="s">
        <v>44</v>
      </c>
      <c r="G96" s="33">
        <v>2</v>
      </c>
      <c r="H96" s="328">
        <v>2493</v>
      </c>
      <c r="I96" s="525">
        <f t="shared" si="21"/>
        <v>6499.2510000000002</v>
      </c>
      <c r="J96" s="3">
        <f t="shared" si="22"/>
        <v>3249.6255000000001</v>
      </c>
      <c r="K96" s="4"/>
      <c r="L96" s="4"/>
      <c r="M96" s="4"/>
    </row>
    <row r="97" spans="1:13" ht="15.75" customHeight="1" x14ac:dyDescent="0.25">
      <c r="A97" s="31">
        <v>53</v>
      </c>
      <c r="B97" s="331">
        <v>11951</v>
      </c>
      <c r="C97" s="33" t="s">
        <v>121</v>
      </c>
      <c r="D97" s="1"/>
      <c r="E97" s="34" t="s">
        <v>157</v>
      </c>
      <c r="F97" s="32" t="s">
        <v>44</v>
      </c>
      <c r="G97" s="33">
        <v>2</v>
      </c>
      <c r="H97" s="35">
        <v>182070</v>
      </c>
      <c r="I97" s="525">
        <f t="shared" si="21"/>
        <v>474656.49000000005</v>
      </c>
      <c r="J97" s="3">
        <f t="shared" si="22"/>
        <v>237328.24500000002</v>
      </c>
      <c r="K97" s="4"/>
      <c r="L97" s="4"/>
      <c r="M97" s="4"/>
    </row>
    <row r="98" spans="1:13" ht="15.75" customHeight="1" x14ac:dyDescent="0.25">
      <c r="A98" s="31">
        <v>54</v>
      </c>
      <c r="B98" s="331">
        <v>11952</v>
      </c>
      <c r="C98" s="33" t="s">
        <v>121</v>
      </c>
      <c r="D98" s="1"/>
      <c r="E98" s="34" t="s">
        <v>158</v>
      </c>
      <c r="F98" s="32" t="s">
        <v>44</v>
      </c>
      <c r="G98" s="33">
        <v>2</v>
      </c>
      <c r="H98" s="35">
        <v>199920</v>
      </c>
      <c r="I98" s="525">
        <f t="shared" si="21"/>
        <v>521191.44000000006</v>
      </c>
      <c r="J98" s="3">
        <f t="shared" si="22"/>
        <v>260595.72000000003</v>
      </c>
      <c r="K98" s="4"/>
      <c r="L98" s="4"/>
      <c r="M98" s="4"/>
    </row>
    <row r="99" spans="1:13" ht="15.75" customHeight="1" x14ac:dyDescent="0.25">
      <c r="A99" s="53" t="s">
        <v>33</v>
      </c>
      <c r="B99" s="54"/>
      <c r="C99" s="55"/>
      <c r="D99" s="55"/>
      <c r="E99" s="56"/>
      <c r="F99" s="54"/>
      <c r="G99" s="55"/>
      <c r="H99" s="57"/>
      <c r="I99" s="73">
        <f>SUM(I95:I98)</f>
        <v>1006750.4040000001</v>
      </c>
      <c r="J99" s="3"/>
      <c r="K99" s="4"/>
      <c r="L99" s="4"/>
      <c r="M99" s="4"/>
    </row>
    <row r="100" spans="1:13" ht="15.75" customHeight="1" x14ac:dyDescent="0.25">
      <c r="A100" s="63"/>
      <c r="B100" s="64" t="s">
        <v>159</v>
      </c>
      <c r="C100" s="65"/>
      <c r="D100" s="65"/>
      <c r="E100" s="66" t="s">
        <v>160</v>
      </c>
      <c r="F100" s="67"/>
      <c r="G100" s="65"/>
      <c r="H100" s="68"/>
      <c r="I100" s="534"/>
      <c r="J100" s="23"/>
      <c r="K100" s="4"/>
      <c r="L100" s="4"/>
      <c r="M100" s="4"/>
    </row>
    <row r="101" spans="1:13" ht="15.75" customHeight="1" x14ac:dyDescent="0.25">
      <c r="A101" s="31">
        <v>55</v>
      </c>
      <c r="B101" s="32" t="s">
        <v>161</v>
      </c>
      <c r="C101" s="33" t="s">
        <v>21</v>
      </c>
      <c r="D101" s="1"/>
      <c r="E101" s="34" t="s">
        <v>162</v>
      </c>
      <c r="F101" s="32" t="s">
        <v>44</v>
      </c>
      <c r="G101" s="33">
        <v>2</v>
      </c>
      <c r="H101" s="35">
        <v>3988</v>
      </c>
      <c r="I101" s="525">
        <f t="shared" ref="I101:I105" si="23">+J101*G101</f>
        <v>10396.716</v>
      </c>
      <c r="J101" s="3">
        <f t="shared" ref="J101:J105" si="24">+H101*$J$9</f>
        <v>5198.3580000000002</v>
      </c>
      <c r="K101" s="4"/>
      <c r="L101" s="4"/>
      <c r="M101" s="4"/>
    </row>
    <row r="102" spans="1:13" ht="15.75" customHeight="1" x14ac:dyDescent="0.25">
      <c r="A102" s="31">
        <v>56</v>
      </c>
      <c r="B102" s="32" t="s">
        <v>163</v>
      </c>
      <c r="C102" s="33" t="s">
        <v>21</v>
      </c>
      <c r="D102" s="1"/>
      <c r="E102" s="34" t="s">
        <v>164</v>
      </c>
      <c r="F102" s="32" t="s">
        <v>44</v>
      </c>
      <c r="G102" s="33">
        <v>2</v>
      </c>
      <c r="H102" s="35">
        <v>3991</v>
      </c>
      <c r="I102" s="525">
        <f t="shared" si="23"/>
        <v>10404.537</v>
      </c>
      <c r="J102" s="3">
        <f t="shared" si="24"/>
        <v>5202.2685000000001</v>
      </c>
      <c r="K102" s="4"/>
      <c r="L102" s="4"/>
      <c r="M102" s="4"/>
    </row>
    <row r="103" spans="1:13" ht="15.75" customHeight="1" x14ac:dyDescent="0.25">
      <c r="A103" s="31">
        <v>57</v>
      </c>
      <c r="B103" s="32" t="s">
        <v>165</v>
      </c>
      <c r="C103" s="33" t="s">
        <v>21</v>
      </c>
      <c r="D103" s="1"/>
      <c r="E103" s="34" t="s">
        <v>166</v>
      </c>
      <c r="F103" s="32" t="s">
        <v>44</v>
      </c>
      <c r="G103" s="33">
        <v>2</v>
      </c>
      <c r="H103" s="35">
        <v>3994</v>
      </c>
      <c r="I103" s="525">
        <f t="shared" si="23"/>
        <v>10412.358</v>
      </c>
      <c r="J103" s="3">
        <f t="shared" si="24"/>
        <v>5206.1790000000001</v>
      </c>
      <c r="K103" s="4"/>
      <c r="L103" s="4"/>
      <c r="M103" s="4"/>
    </row>
    <row r="104" spans="1:13" ht="15.75" customHeight="1" x14ac:dyDescent="0.25">
      <c r="A104" s="31">
        <v>58</v>
      </c>
      <c r="B104" s="32" t="s">
        <v>167</v>
      </c>
      <c r="C104" s="33" t="s">
        <v>21</v>
      </c>
      <c r="D104" s="1"/>
      <c r="E104" s="34" t="s">
        <v>168</v>
      </c>
      <c r="F104" s="32" t="s">
        <v>44</v>
      </c>
      <c r="G104" s="33">
        <v>2</v>
      </c>
      <c r="H104" s="35">
        <v>4013</v>
      </c>
      <c r="I104" s="525">
        <f t="shared" si="23"/>
        <v>10461.891000000001</v>
      </c>
      <c r="J104" s="3">
        <f t="shared" si="24"/>
        <v>5230.9455000000007</v>
      </c>
      <c r="K104" s="4"/>
      <c r="L104" s="4"/>
      <c r="M104" s="4"/>
    </row>
    <row r="105" spans="1:13" ht="15.75" customHeight="1" x14ac:dyDescent="0.25">
      <c r="A105" s="31">
        <v>59</v>
      </c>
      <c r="B105" s="32" t="s">
        <v>169</v>
      </c>
      <c r="C105" s="33" t="s">
        <v>21</v>
      </c>
      <c r="D105" s="1"/>
      <c r="E105" s="34" t="s">
        <v>170</v>
      </c>
      <c r="F105" s="32" t="s">
        <v>44</v>
      </c>
      <c r="G105" s="33">
        <v>2</v>
      </c>
      <c r="H105" s="35">
        <v>4074</v>
      </c>
      <c r="I105" s="525">
        <f t="shared" si="23"/>
        <v>10620.918000000001</v>
      </c>
      <c r="J105" s="3">
        <f t="shared" si="24"/>
        <v>5310.4590000000007</v>
      </c>
      <c r="K105" s="4"/>
      <c r="L105" s="4"/>
      <c r="M105" s="4"/>
    </row>
    <row r="106" spans="1:13" ht="15.75" customHeight="1" x14ac:dyDescent="0.25">
      <c r="A106" s="53" t="s">
        <v>33</v>
      </c>
      <c r="B106" s="54"/>
      <c r="C106" s="55"/>
      <c r="D106" s="55"/>
      <c r="E106" s="56"/>
      <c r="F106" s="54"/>
      <c r="G106" s="55"/>
      <c r="H106" s="57"/>
      <c r="I106" s="73">
        <f>SUM(I101:I105)</f>
        <v>52296.42</v>
      </c>
      <c r="J106" s="3"/>
      <c r="K106" s="4"/>
      <c r="L106" s="4"/>
      <c r="M106" s="4"/>
    </row>
    <row r="107" spans="1:13" ht="15.75" customHeight="1" x14ac:dyDescent="0.25">
      <c r="A107" s="63"/>
      <c r="B107" s="64" t="s">
        <v>171</v>
      </c>
      <c r="C107" s="65"/>
      <c r="D107" s="65"/>
      <c r="E107" s="66" t="s">
        <v>172</v>
      </c>
      <c r="F107" s="67"/>
      <c r="G107" s="65"/>
      <c r="H107" s="68"/>
      <c r="I107" s="534"/>
      <c r="J107" s="23"/>
      <c r="K107" s="4"/>
      <c r="L107" s="4"/>
      <c r="M107" s="4"/>
    </row>
    <row r="108" spans="1:13" ht="15.75" customHeight="1" x14ac:dyDescent="0.25">
      <c r="A108" s="31">
        <v>60</v>
      </c>
      <c r="B108" s="32" t="s">
        <v>173</v>
      </c>
      <c r="C108" s="33" t="s">
        <v>21</v>
      </c>
      <c r="D108" s="1"/>
      <c r="E108" s="34" t="s">
        <v>174</v>
      </c>
      <c r="F108" s="32" t="s">
        <v>44</v>
      </c>
      <c r="G108" s="33">
        <v>1</v>
      </c>
      <c r="H108" s="35">
        <v>290033</v>
      </c>
      <c r="I108" s="525">
        <f t="shared" ref="I108:I115" si="25">+J108*G108</f>
        <v>378058.01550000004</v>
      </c>
      <c r="J108" s="3">
        <f t="shared" ref="J108:J115" si="26">+H108*$J$9</f>
        <v>378058.01550000004</v>
      </c>
      <c r="K108" s="4"/>
      <c r="L108" s="4"/>
      <c r="M108" s="4"/>
    </row>
    <row r="109" spans="1:13" ht="15.75" customHeight="1" x14ac:dyDescent="0.25">
      <c r="A109" s="31">
        <v>61</v>
      </c>
      <c r="B109" s="32" t="s">
        <v>175</v>
      </c>
      <c r="C109" s="33" t="s">
        <v>21</v>
      </c>
      <c r="D109" s="1"/>
      <c r="E109" s="34" t="s">
        <v>176</v>
      </c>
      <c r="F109" s="32" t="s">
        <v>44</v>
      </c>
      <c r="G109" s="33">
        <v>1</v>
      </c>
      <c r="H109" s="35">
        <v>470735</v>
      </c>
      <c r="I109" s="525">
        <f t="shared" si="25"/>
        <v>613603.07250000001</v>
      </c>
      <c r="J109" s="3">
        <f t="shared" si="26"/>
        <v>613603.07250000001</v>
      </c>
      <c r="K109" s="4"/>
      <c r="L109" s="4"/>
      <c r="M109" s="4"/>
    </row>
    <row r="110" spans="1:13" ht="15.75" customHeight="1" x14ac:dyDescent="0.25">
      <c r="A110" s="31">
        <v>62</v>
      </c>
      <c r="B110" s="32" t="s">
        <v>177</v>
      </c>
      <c r="C110" s="33" t="s">
        <v>21</v>
      </c>
      <c r="D110" s="1"/>
      <c r="E110" s="34" t="s">
        <v>178</v>
      </c>
      <c r="F110" s="32" t="s">
        <v>44</v>
      </c>
      <c r="G110" s="33">
        <v>1</v>
      </c>
      <c r="H110" s="35">
        <v>684497</v>
      </c>
      <c r="I110" s="525">
        <f t="shared" si="25"/>
        <v>892241.83950000012</v>
      </c>
      <c r="J110" s="3">
        <f t="shared" si="26"/>
        <v>892241.83950000012</v>
      </c>
      <c r="K110" s="4"/>
      <c r="L110" s="4"/>
      <c r="M110" s="4"/>
    </row>
    <row r="111" spans="1:13" ht="15.75" customHeight="1" x14ac:dyDescent="0.25">
      <c r="A111" s="31">
        <v>63</v>
      </c>
      <c r="B111" s="32" t="s">
        <v>179</v>
      </c>
      <c r="C111" s="33" t="s">
        <v>21</v>
      </c>
      <c r="D111" s="1"/>
      <c r="E111" s="34" t="s">
        <v>180</v>
      </c>
      <c r="F111" s="32" t="s">
        <v>44</v>
      </c>
      <c r="G111" s="33">
        <v>1</v>
      </c>
      <c r="H111" s="35">
        <v>991029</v>
      </c>
      <c r="I111" s="525">
        <f t="shared" si="25"/>
        <v>1291806.3015000001</v>
      </c>
      <c r="J111" s="3">
        <f t="shared" si="26"/>
        <v>1291806.3015000001</v>
      </c>
      <c r="K111" s="4"/>
      <c r="L111" s="4"/>
      <c r="M111" s="4"/>
    </row>
    <row r="112" spans="1:13" ht="15.75" customHeight="1" x14ac:dyDescent="0.25">
      <c r="A112" s="31">
        <v>64</v>
      </c>
      <c r="B112" s="96" t="s">
        <v>553</v>
      </c>
      <c r="C112" s="33" t="s">
        <v>21</v>
      </c>
      <c r="D112" s="1"/>
      <c r="E112" s="34" t="s">
        <v>182</v>
      </c>
      <c r="F112" s="32" t="s">
        <v>44</v>
      </c>
      <c r="G112" s="33">
        <v>1</v>
      </c>
      <c r="H112" s="35">
        <v>444114</v>
      </c>
      <c r="I112" s="525">
        <f t="shared" si="25"/>
        <v>578902.59900000005</v>
      </c>
      <c r="J112" s="3">
        <f t="shared" si="26"/>
        <v>578902.59900000005</v>
      </c>
      <c r="K112" s="4"/>
      <c r="L112" s="4"/>
      <c r="M112" s="4"/>
    </row>
    <row r="113" spans="1:13" ht="15.75" customHeight="1" x14ac:dyDescent="0.25">
      <c r="A113" s="31">
        <v>65</v>
      </c>
      <c r="B113" s="96" t="s">
        <v>181</v>
      </c>
      <c r="C113" s="33" t="s">
        <v>21</v>
      </c>
      <c r="D113" s="1"/>
      <c r="E113" s="34" t="s">
        <v>184</v>
      </c>
      <c r="F113" s="32" t="s">
        <v>44</v>
      </c>
      <c r="G113" s="33">
        <v>1</v>
      </c>
      <c r="H113" s="35">
        <v>710834</v>
      </c>
      <c r="I113" s="525">
        <f t="shared" si="25"/>
        <v>926572.11900000006</v>
      </c>
      <c r="J113" s="3">
        <f t="shared" si="26"/>
        <v>926572.11900000006</v>
      </c>
      <c r="K113" s="4"/>
      <c r="L113" s="4"/>
      <c r="M113" s="4"/>
    </row>
    <row r="114" spans="1:13" ht="15.75" customHeight="1" x14ac:dyDescent="0.25">
      <c r="A114" s="31">
        <v>66</v>
      </c>
      <c r="B114" s="96" t="s">
        <v>183</v>
      </c>
      <c r="C114" s="33" t="s">
        <v>21</v>
      </c>
      <c r="D114" s="1"/>
      <c r="E114" s="34" t="s">
        <v>186</v>
      </c>
      <c r="F114" s="32" t="s">
        <v>44</v>
      </c>
      <c r="G114" s="33">
        <v>1</v>
      </c>
      <c r="H114" s="35">
        <v>988604</v>
      </c>
      <c r="I114" s="525">
        <f t="shared" si="25"/>
        <v>1288645.314</v>
      </c>
      <c r="J114" s="3">
        <f t="shared" si="26"/>
        <v>1288645.314</v>
      </c>
      <c r="K114" s="4"/>
      <c r="L114" s="4"/>
      <c r="M114" s="4"/>
    </row>
    <row r="115" spans="1:13" ht="15.75" customHeight="1" x14ac:dyDescent="0.25">
      <c r="A115" s="31">
        <v>67</v>
      </c>
      <c r="B115" s="96" t="s">
        <v>185</v>
      </c>
      <c r="C115" s="33" t="s">
        <v>21</v>
      </c>
      <c r="D115" s="1"/>
      <c r="E115" s="50" t="s">
        <v>187</v>
      </c>
      <c r="F115" s="51" t="s">
        <v>44</v>
      </c>
      <c r="G115" s="33">
        <v>1</v>
      </c>
      <c r="H115" s="60">
        <v>1462162</v>
      </c>
      <c r="I115" s="525">
        <f t="shared" si="25"/>
        <v>1905928.1670000001</v>
      </c>
      <c r="J115" s="3">
        <f t="shared" si="26"/>
        <v>1905928.1670000001</v>
      </c>
      <c r="K115" s="4"/>
      <c r="L115" s="4"/>
      <c r="M115" s="4"/>
    </row>
    <row r="116" spans="1:13" ht="15.75" customHeight="1" x14ac:dyDescent="0.25">
      <c r="A116" s="53" t="s">
        <v>33</v>
      </c>
      <c r="B116" s="54"/>
      <c r="C116" s="55"/>
      <c r="D116" s="55"/>
      <c r="E116" s="56"/>
      <c r="F116" s="54"/>
      <c r="G116" s="55"/>
      <c r="H116" s="57"/>
      <c r="I116" s="73">
        <f>SUM(I108:I115)</f>
        <v>7875757.4280000012</v>
      </c>
      <c r="J116" s="3"/>
      <c r="K116" s="4"/>
      <c r="L116" s="4"/>
      <c r="M116" s="4"/>
    </row>
    <row r="117" spans="1:13" ht="32.25" customHeight="1" x14ac:dyDescent="0.25">
      <c r="A117" s="63"/>
      <c r="B117" s="64" t="s">
        <v>188</v>
      </c>
      <c r="C117" s="65"/>
      <c r="D117" s="65"/>
      <c r="E117" s="66" t="s">
        <v>189</v>
      </c>
      <c r="F117" s="67"/>
      <c r="G117" s="65"/>
      <c r="H117" s="68"/>
      <c r="I117" s="534"/>
      <c r="J117" s="23"/>
      <c r="K117" s="4"/>
      <c r="L117" s="4"/>
      <c r="M117" s="4"/>
    </row>
    <row r="118" spans="1:13" ht="15.75" customHeight="1" x14ac:dyDescent="0.25">
      <c r="A118" s="31">
        <v>68</v>
      </c>
      <c r="B118" s="32" t="s">
        <v>190</v>
      </c>
      <c r="C118" s="33" t="s">
        <v>21</v>
      </c>
      <c r="D118" s="1"/>
      <c r="E118" s="47" t="s">
        <v>191</v>
      </c>
      <c r="F118" s="48" t="s">
        <v>44</v>
      </c>
      <c r="G118" s="49">
        <v>1</v>
      </c>
      <c r="H118" s="59">
        <v>1020975</v>
      </c>
      <c r="I118" s="527">
        <f t="shared" ref="I118:I121" si="27">+J118*G118</f>
        <v>1330840.9125000001</v>
      </c>
      <c r="J118" s="3">
        <f t="shared" ref="J118:J121" si="28">+H118*$J$9</f>
        <v>1330840.9125000001</v>
      </c>
      <c r="K118" s="4"/>
      <c r="L118" s="4"/>
      <c r="M118" s="4"/>
    </row>
    <row r="119" spans="1:13" ht="15.75" customHeight="1" x14ac:dyDescent="0.25">
      <c r="A119" s="31">
        <v>69</v>
      </c>
      <c r="B119" s="32" t="s">
        <v>192</v>
      </c>
      <c r="C119" s="33" t="s">
        <v>21</v>
      </c>
      <c r="D119" s="1"/>
      <c r="E119" s="34" t="s">
        <v>193</v>
      </c>
      <c r="F119" s="32" t="s">
        <v>44</v>
      </c>
      <c r="G119" s="49">
        <v>1</v>
      </c>
      <c r="H119" s="35">
        <v>1492674</v>
      </c>
      <c r="I119" s="527">
        <f t="shared" si="27"/>
        <v>1945700.5590000001</v>
      </c>
      <c r="J119" s="3">
        <f t="shared" si="28"/>
        <v>1945700.5590000001</v>
      </c>
      <c r="K119" s="4"/>
      <c r="L119" s="4"/>
      <c r="M119" s="4"/>
    </row>
    <row r="120" spans="1:13" ht="15.75" customHeight="1" x14ac:dyDescent="0.25">
      <c r="A120" s="31">
        <v>70</v>
      </c>
      <c r="B120" s="32" t="s">
        <v>194</v>
      </c>
      <c r="C120" s="33" t="s">
        <v>21</v>
      </c>
      <c r="D120" s="1"/>
      <c r="E120" s="34" t="s">
        <v>195</v>
      </c>
      <c r="F120" s="32" t="s">
        <v>44</v>
      </c>
      <c r="G120" s="49">
        <v>1</v>
      </c>
      <c r="H120" s="35">
        <v>1818565</v>
      </c>
      <c r="I120" s="527">
        <f t="shared" si="27"/>
        <v>2370499.4775</v>
      </c>
      <c r="J120" s="3">
        <f t="shared" si="28"/>
        <v>2370499.4775</v>
      </c>
      <c r="K120" s="4"/>
      <c r="L120" s="4"/>
      <c r="M120" s="4"/>
    </row>
    <row r="121" spans="1:13" ht="15.75" customHeight="1" x14ac:dyDescent="0.25">
      <c r="A121" s="31">
        <v>71</v>
      </c>
      <c r="B121" s="32" t="s">
        <v>196</v>
      </c>
      <c r="C121" s="33" t="s">
        <v>21</v>
      </c>
      <c r="D121" s="1"/>
      <c r="E121" s="34" t="s">
        <v>197</v>
      </c>
      <c r="F121" s="32" t="s">
        <v>44</v>
      </c>
      <c r="G121" s="33">
        <v>1</v>
      </c>
      <c r="H121" s="35">
        <v>3022810</v>
      </c>
      <c r="I121" s="527">
        <f t="shared" si="27"/>
        <v>3940232.8350000004</v>
      </c>
      <c r="J121" s="3">
        <f t="shared" si="28"/>
        <v>3940232.8350000004</v>
      </c>
      <c r="K121" s="4"/>
      <c r="L121" s="4"/>
      <c r="M121" s="4"/>
    </row>
    <row r="122" spans="1:13" ht="15.75" customHeight="1" x14ac:dyDescent="0.25">
      <c r="A122" s="53" t="s">
        <v>33</v>
      </c>
      <c r="B122" s="54"/>
      <c r="C122" s="55"/>
      <c r="D122" s="55"/>
      <c r="E122" s="56"/>
      <c r="F122" s="54"/>
      <c r="G122" s="55"/>
      <c r="H122" s="57"/>
      <c r="I122" s="73">
        <f>SUM(I118:I121)</f>
        <v>9587273.784</v>
      </c>
      <c r="J122" s="3"/>
      <c r="K122" s="4"/>
      <c r="L122" s="4"/>
      <c r="M122" s="4"/>
    </row>
    <row r="123" spans="1:13" ht="15.75" customHeight="1" x14ac:dyDescent="0.25">
      <c r="A123" s="63"/>
      <c r="B123" s="64" t="s">
        <v>198</v>
      </c>
      <c r="C123" s="65"/>
      <c r="D123" s="65"/>
      <c r="E123" s="66" t="s">
        <v>199</v>
      </c>
      <c r="F123" s="67"/>
      <c r="G123" s="65"/>
      <c r="H123" s="68"/>
      <c r="I123" s="534"/>
      <c r="J123" s="23"/>
      <c r="K123" s="4"/>
      <c r="L123" s="4"/>
      <c r="M123" s="4"/>
    </row>
    <row r="124" spans="1:13" ht="15.75" customHeight="1" x14ac:dyDescent="0.25">
      <c r="A124" s="31">
        <v>72</v>
      </c>
      <c r="B124" s="32" t="s">
        <v>200</v>
      </c>
      <c r="C124" s="33" t="s">
        <v>21</v>
      </c>
      <c r="D124" s="1"/>
      <c r="E124" s="34" t="s">
        <v>201</v>
      </c>
      <c r="F124" s="32" t="s">
        <v>44</v>
      </c>
      <c r="G124" s="33">
        <v>3</v>
      </c>
      <c r="H124" s="35">
        <v>17708</v>
      </c>
      <c r="I124" s="525">
        <f t="shared" ref="I124:I129" si="29">+J124*G124</f>
        <v>69247.134000000005</v>
      </c>
      <c r="J124" s="3">
        <f t="shared" ref="J124:J129" si="30">+H124*$J$9</f>
        <v>23082.378000000001</v>
      </c>
      <c r="K124" s="4"/>
      <c r="L124" s="4"/>
      <c r="M124" s="4"/>
    </row>
    <row r="125" spans="1:13" ht="15.75" customHeight="1" x14ac:dyDescent="0.25">
      <c r="A125" s="31">
        <v>73</v>
      </c>
      <c r="B125" s="32" t="s">
        <v>202</v>
      </c>
      <c r="C125" s="33" t="s">
        <v>21</v>
      </c>
      <c r="D125" s="1"/>
      <c r="E125" s="34" t="s">
        <v>203</v>
      </c>
      <c r="F125" s="32" t="s">
        <v>44</v>
      </c>
      <c r="G125" s="33">
        <v>3</v>
      </c>
      <c r="H125" s="35">
        <v>22635</v>
      </c>
      <c r="I125" s="525">
        <f t="shared" si="29"/>
        <v>88514.16750000001</v>
      </c>
      <c r="J125" s="3">
        <f t="shared" si="30"/>
        <v>29504.722500000003</v>
      </c>
      <c r="K125" s="4"/>
      <c r="L125" s="4"/>
      <c r="M125" s="4"/>
    </row>
    <row r="126" spans="1:13" ht="15.75" customHeight="1" x14ac:dyDescent="0.25">
      <c r="A126" s="31">
        <v>74</v>
      </c>
      <c r="B126" s="32" t="s">
        <v>204</v>
      </c>
      <c r="C126" s="33" t="s">
        <v>21</v>
      </c>
      <c r="D126" s="1"/>
      <c r="E126" s="346" t="s">
        <v>205</v>
      </c>
      <c r="F126" s="347" t="s">
        <v>44</v>
      </c>
      <c r="G126" s="348">
        <v>10</v>
      </c>
      <c r="H126" s="345">
        <v>29689</v>
      </c>
      <c r="I126" s="525">
        <f t="shared" si="29"/>
        <v>386996.11500000005</v>
      </c>
      <c r="J126" s="3">
        <f t="shared" si="30"/>
        <v>38699.611500000006</v>
      </c>
      <c r="K126" s="4"/>
      <c r="L126" s="4"/>
      <c r="M126" s="4"/>
    </row>
    <row r="127" spans="1:13" ht="15.75" customHeight="1" x14ac:dyDescent="0.25">
      <c r="A127" s="31">
        <v>75</v>
      </c>
      <c r="B127" s="32" t="s">
        <v>206</v>
      </c>
      <c r="C127" s="33" t="s">
        <v>21</v>
      </c>
      <c r="D127" s="1"/>
      <c r="E127" s="346" t="s">
        <v>207</v>
      </c>
      <c r="F127" s="347" t="s">
        <v>44</v>
      </c>
      <c r="G127" s="348">
        <v>10</v>
      </c>
      <c r="H127" s="345">
        <v>38537</v>
      </c>
      <c r="I127" s="525">
        <f t="shared" si="29"/>
        <v>502329.79500000004</v>
      </c>
      <c r="J127" s="3">
        <f t="shared" si="30"/>
        <v>50232.979500000001</v>
      </c>
      <c r="K127" s="4"/>
      <c r="L127" s="4"/>
      <c r="M127" s="4"/>
    </row>
    <row r="128" spans="1:13" ht="15.75" customHeight="1" x14ac:dyDescent="0.25">
      <c r="A128" s="31">
        <v>76</v>
      </c>
      <c r="B128" s="32" t="s">
        <v>208</v>
      </c>
      <c r="C128" s="33" t="s">
        <v>21</v>
      </c>
      <c r="D128" s="1"/>
      <c r="E128" s="34" t="s">
        <v>209</v>
      </c>
      <c r="F128" s="32" t="s">
        <v>44</v>
      </c>
      <c r="G128" s="33">
        <v>3</v>
      </c>
      <c r="H128" s="35">
        <v>49750</v>
      </c>
      <c r="I128" s="525">
        <f t="shared" si="29"/>
        <v>194547.37500000003</v>
      </c>
      <c r="J128" s="3">
        <f t="shared" si="30"/>
        <v>64849.125000000007</v>
      </c>
      <c r="K128" s="4"/>
      <c r="L128" s="4"/>
      <c r="M128" s="4"/>
    </row>
    <row r="129" spans="1:13" ht="15.75" customHeight="1" x14ac:dyDescent="0.25">
      <c r="A129" s="31">
        <v>77</v>
      </c>
      <c r="B129" s="32" t="s">
        <v>210</v>
      </c>
      <c r="C129" s="33" t="s">
        <v>21</v>
      </c>
      <c r="D129" s="1"/>
      <c r="E129" s="34" t="s">
        <v>211</v>
      </c>
      <c r="F129" s="32" t="s">
        <v>44</v>
      </c>
      <c r="G129" s="33">
        <v>3</v>
      </c>
      <c r="H129" s="35">
        <v>75445</v>
      </c>
      <c r="I129" s="525">
        <f t="shared" si="29"/>
        <v>295027.67250000004</v>
      </c>
      <c r="J129" s="3">
        <f t="shared" si="30"/>
        <v>98342.55750000001</v>
      </c>
      <c r="K129" s="4"/>
      <c r="L129" s="4"/>
      <c r="M129" s="4"/>
    </row>
    <row r="130" spans="1:13" ht="15.75" customHeight="1" x14ac:dyDescent="0.25">
      <c r="A130" s="53" t="s">
        <v>33</v>
      </c>
      <c r="B130" s="54"/>
      <c r="C130" s="55"/>
      <c r="D130" s="55"/>
      <c r="E130" s="56"/>
      <c r="F130" s="54"/>
      <c r="G130" s="55"/>
      <c r="H130" s="57"/>
      <c r="I130" s="73">
        <f>SUM(I124:I129)</f>
        <v>1536662.2590000003</v>
      </c>
      <c r="J130" s="3"/>
      <c r="K130" s="4"/>
      <c r="L130" s="4"/>
      <c r="M130" s="4"/>
    </row>
    <row r="131" spans="1:13" ht="15.75" customHeight="1" x14ac:dyDescent="0.25">
      <c r="A131" s="63"/>
      <c r="B131" s="64" t="s">
        <v>212</v>
      </c>
      <c r="C131" s="65"/>
      <c r="D131" s="65"/>
      <c r="E131" s="66" t="s">
        <v>213</v>
      </c>
      <c r="F131" s="67"/>
      <c r="G131" s="65"/>
      <c r="H131" s="68"/>
      <c r="I131" s="534"/>
      <c r="J131" s="23"/>
      <c r="K131" s="4"/>
      <c r="L131" s="4"/>
      <c r="M131" s="4"/>
    </row>
    <row r="132" spans="1:13" ht="15.75" customHeight="1" x14ac:dyDescent="0.25">
      <c r="A132" s="31">
        <v>78</v>
      </c>
      <c r="B132" s="32" t="s">
        <v>214</v>
      </c>
      <c r="C132" s="33" t="s">
        <v>21</v>
      </c>
      <c r="D132" s="1"/>
      <c r="E132" s="34" t="s">
        <v>215</v>
      </c>
      <c r="F132" s="32" t="s">
        <v>44</v>
      </c>
      <c r="G132" s="33">
        <v>2</v>
      </c>
      <c r="H132" s="35">
        <v>134298</v>
      </c>
      <c r="I132" s="525">
        <f t="shared" ref="I132:I138" si="31">+J132*G132</f>
        <v>350114.886</v>
      </c>
      <c r="J132" s="3">
        <f t="shared" ref="J132:J138" si="32">+H132*$J$9</f>
        <v>175057.443</v>
      </c>
      <c r="K132" s="4"/>
      <c r="L132" s="4"/>
      <c r="M132" s="4"/>
    </row>
    <row r="133" spans="1:13" ht="15.75" customHeight="1" x14ac:dyDescent="0.25">
      <c r="A133" s="31">
        <v>79</v>
      </c>
      <c r="B133" s="32" t="s">
        <v>216</v>
      </c>
      <c r="C133" s="33" t="s">
        <v>21</v>
      </c>
      <c r="D133" s="1"/>
      <c r="E133" s="34" t="s">
        <v>217</v>
      </c>
      <c r="F133" s="32" t="s">
        <v>44</v>
      </c>
      <c r="G133" s="33">
        <v>2</v>
      </c>
      <c r="H133" s="35">
        <v>156007</v>
      </c>
      <c r="I133" s="525">
        <f t="shared" si="31"/>
        <v>406710.24900000001</v>
      </c>
      <c r="J133" s="3">
        <f t="shared" si="32"/>
        <v>203355.12450000001</v>
      </c>
      <c r="K133" s="4"/>
      <c r="L133" s="4"/>
      <c r="M133" s="4"/>
    </row>
    <row r="134" spans="1:13" ht="15.75" customHeight="1" x14ac:dyDescent="0.25">
      <c r="A134" s="31">
        <v>80</v>
      </c>
      <c r="B134" s="32" t="s">
        <v>218</v>
      </c>
      <c r="C134" s="33" t="s">
        <v>21</v>
      </c>
      <c r="D134" s="1"/>
      <c r="E134" s="34" t="s">
        <v>219</v>
      </c>
      <c r="F134" s="32" t="s">
        <v>44</v>
      </c>
      <c r="G134" s="33">
        <v>2</v>
      </c>
      <c r="H134" s="35">
        <v>235369</v>
      </c>
      <c r="I134" s="525">
        <f t="shared" si="31"/>
        <v>613606.98300000001</v>
      </c>
      <c r="J134" s="3">
        <f t="shared" si="32"/>
        <v>306803.4915</v>
      </c>
      <c r="K134" s="4"/>
      <c r="L134" s="4"/>
      <c r="M134" s="4"/>
    </row>
    <row r="135" spans="1:13" ht="15.75" customHeight="1" x14ac:dyDescent="0.25">
      <c r="A135" s="31">
        <v>81</v>
      </c>
      <c r="B135" s="32" t="s">
        <v>220</v>
      </c>
      <c r="C135" s="33" t="s">
        <v>21</v>
      </c>
      <c r="D135" s="1"/>
      <c r="E135" s="346" t="s">
        <v>221</v>
      </c>
      <c r="F135" s="347" t="s">
        <v>44</v>
      </c>
      <c r="G135" s="348">
        <v>1</v>
      </c>
      <c r="H135" s="345">
        <v>266474</v>
      </c>
      <c r="I135" s="525">
        <f t="shared" si="31"/>
        <v>347348.85900000005</v>
      </c>
      <c r="J135" s="3">
        <f t="shared" si="32"/>
        <v>347348.85900000005</v>
      </c>
      <c r="K135" s="4"/>
      <c r="L135" s="4"/>
      <c r="M135" s="4"/>
    </row>
    <row r="136" spans="1:13" ht="15.75" customHeight="1" x14ac:dyDescent="0.25">
      <c r="A136" s="31">
        <v>82</v>
      </c>
      <c r="B136" s="32" t="s">
        <v>222</v>
      </c>
      <c r="C136" s="33" t="s">
        <v>21</v>
      </c>
      <c r="D136" s="1"/>
      <c r="E136" s="34" t="s">
        <v>223</v>
      </c>
      <c r="F136" s="32" t="s">
        <v>44</v>
      </c>
      <c r="G136" s="33">
        <v>2</v>
      </c>
      <c r="H136" s="35">
        <v>429084</v>
      </c>
      <c r="I136" s="525">
        <f t="shared" si="31"/>
        <v>1118621.9880000001</v>
      </c>
      <c r="J136" s="3">
        <f t="shared" si="32"/>
        <v>559310.99400000006</v>
      </c>
      <c r="K136" s="4"/>
      <c r="L136" s="4"/>
      <c r="M136" s="4"/>
    </row>
    <row r="137" spans="1:13" ht="15.75" customHeight="1" x14ac:dyDescent="0.25">
      <c r="A137" s="31">
        <v>83</v>
      </c>
      <c r="B137" s="32" t="s">
        <v>224</v>
      </c>
      <c r="C137" s="33" t="s">
        <v>21</v>
      </c>
      <c r="D137" s="1"/>
      <c r="E137" s="34" t="s">
        <v>225</v>
      </c>
      <c r="F137" s="32" t="s">
        <v>44</v>
      </c>
      <c r="G137" s="33">
        <v>2</v>
      </c>
      <c r="H137" s="35">
        <v>591510</v>
      </c>
      <c r="I137" s="525">
        <f t="shared" si="31"/>
        <v>1542066.57</v>
      </c>
      <c r="J137" s="3">
        <f t="shared" si="32"/>
        <v>771033.28500000003</v>
      </c>
      <c r="K137" s="4"/>
      <c r="L137" s="4"/>
      <c r="M137" s="4"/>
    </row>
    <row r="138" spans="1:13" ht="15.75" customHeight="1" x14ac:dyDescent="0.25">
      <c r="A138" s="31">
        <v>84</v>
      </c>
      <c r="B138" s="32" t="s">
        <v>226</v>
      </c>
      <c r="C138" s="33" t="s">
        <v>21</v>
      </c>
      <c r="D138" s="1"/>
      <c r="E138" s="34" t="s">
        <v>227</v>
      </c>
      <c r="F138" s="32" t="s">
        <v>44</v>
      </c>
      <c r="G138" s="33">
        <v>2</v>
      </c>
      <c r="H138" s="35">
        <v>947816</v>
      </c>
      <c r="I138" s="525">
        <f t="shared" si="31"/>
        <v>2470956.3120000004</v>
      </c>
      <c r="J138" s="3">
        <f t="shared" si="32"/>
        <v>1235478.1560000002</v>
      </c>
      <c r="K138" s="4"/>
      <c r="L138" s="4"/>
      <c r="M138" s="4"/>
    </row>
    <row r="139" spans="1:13" ht="15.75" customHeight="1" x14ac:dyDescent="0.25">
      <c r="A139" s="53" t="s">
        <v>33</v>
      </c>
      <c r="B139" s="54"/>
      <c r="C139" s="55"/>
      <c r="D139" s="55"/>
      <c r="E139" s="56"/>
      <c r="F139" s="54"/>
      <c r="G139" s="55"/>
      <c r="H139" s="57"/>
      <c r="I139" s="73">
        <f>SUM(I132:I138)</f>
        <v>6849425.847000001</v>
      </c>
      <c r="J139" s="3"/>
      <c r="K139" s="4"/>
      <c r="L139" s="4"/>
      <c r="M139" s="4"/>
    </row>
    <row r="140" spans="1:13" ht="15.75" customHeight="1" x14ac:dyDescent="0.25">
      <c r="A140" s="63"/>
      <c r="B140" s="64" t="s">
        <v>228</v>
      </c>
      <c r="C140" s="65"/>
      <c r="D140" s="65"/>
      <c r="E140" s="66" t="s">
        <v>229</v>
      </c>
      <c r="F140" s="67"/>
      <c r="G140" s="65"/>
      <c r="H140" s="68"/>
      <c r="I140" s="534"/>
      <c r="J140" s="23"/>
      <c r="K140" s="4"/>
      <c r="L140" s="4"/>
      <c r="M140" s="4"/>
    </row>
    <row r="141" spans="1:13" ht="45" x14ac:dyDescent="0.25">
      <c r="A141" s="31">
        <v>85</v>
      </c>
      <c r="B141" s="32" t="s">
        <v>230</v>
      </c>
      <c r="C141" s="33" t="s">
        <v>21</v>
      </c>
      <c r="D141" s="1"/>
      <c r="E141" s="34" t="s">
        <v>231</v>
      </c>
      <c r="F141" s="32" t="s">
        <v>44</v>
      </c>
      <c r="G141" s="33">
        <v>1</v>
      </c>
      <c r="H141" s="35">
        <v>6120063</v>
      </c>
      <c r="I141" s="525">
        <f t="shared" ref="I141:I142" si="33">+J141*G141</f>
        <v>7977502.1205000002</v>
      </c>
      <c r="J141" s="3">
        <f t="shared" ref="J141:J142" si="34">+H141*$J$9</f>
        <v>7977502.1205000002</v>
      </c>
      <c r="K141" s="4"/>
      <c r="L141" s="4"/>
      <c r="M141" s="4"/>
    </row>
    <row r="142" spans="1:13" ht="45" x14ac:dyDescent="0.25">
      <c r="A142" s="31">
        <v>86</v>
      </c>
      <c r="B142" s="32" t="s">
        <v>232</v>
      </c>
      <c r="C142" s="33" t="s">
        <v>21</v>
      </c>
      <c r="D142" s="1"/>
      <c r="E142" s="84" t="s">
        <v>233</v>
      </c>
      <c r="F142" s="32" t="s">
        <v>44</v>
      </c>
      <c r="G142" s="33">
        <v>1</v>
      </c>
      <c r="H142" s="35">
        <v>6664550</v>
      </c>
      <c r="I142" s="525">
        <f t="shared" si="33"/>
        <v>8687240.9250000007</v>
      </c>
      <c r="J142" s="3">
        <f t="shared" si="34"/>
        <v>8687240.9250000007</v>
      </c>
      <c r="K142" s="4"/>
      <c r="L142" s="4"/>
      <c r="M142" s="4"/>
    </row>
    <row r="143" spans="1:13" ht="15.75" customHeight="1" x14ac:dyDescent="0.25">
      <c r="A143" s="53" t="s">
        <v>33</v>
      </c>
      <c r="B143" s="54"/>
      <c r="C143" s="55"/>
      <c r="D143" s="55"/>
      <c r="E143" s="56"/>
      <c r="F143" s="54"/>
      <c r="G143" s="55"/>
      <c r="H143" s="57"/>
      <c r="I143" s="73">
        <f>SUM(I141:I142)</f>
        <v>16664743.045500001</v>
      </c>
      <c r="J143" s="3"/>
      <c r="K143" s="4"/>
      <c r="L143" s="4"/>
      <c r="M143" s="4"/>
    </row>
    <row r="144" spans="1:13" ht="15.75" customHeight="1" x14ac:dyDescent="0.25">
      <c r="A144" s="63"/>
      <c r="B144" s="64" t="s">
        <v>234</v>
      </c>
      <c r="C144" s="65"/>
      <c r="D144" s="65"/>
      <c r="E144" s="66" t="s">
        <v>235</v>
      </c>
      <c r="F144" s="67"/>
      <c r="G144" s="65"/>
      <c r="H144" s="68"/>
      <c r="I144" s="534"/>
      <c r="J144" s="23"/>
      <c r="K144" s="4"/>
      <c r="L144" s="4"/>
      <c r="M144" s="4"/>
    </row>
    <row r="145" spans="1:13" ht="15.75" customHeight="1" x14ac:dyDescent="0.25">
      <c r="A145" s="31">
        <v>87</v>
      </c>
      <c r="B145" s="32" t="s">
        <v>236</v>
      </c>
      <c r="C145" s="33" t="s">
        <v>21</v>
      </c>
      <c r="D145" s="1"/>
      <c r="E145" s="34" t="s">
        <v>237</v>
      </c>
      <c r="F145" s="32" t="s">
        <v>44</v>
      </c>
      <c r="G145" s="33">
        <v>1</v>
      </c>
      <c r="H145" s="35">
        <v>497287</v>
      </c>
      <c r="I145" s="525">
        <f t="shared" ref="I145:I146" si="35">+J145*G145</f>
        <v>648213.60450000002</v>
      </c>
      <c r="J145" s="3">
        <f t="shared" ref="J145:J146" si="36">+H145*$J$9</f>
        <v>648213.60450000002</v>
      </c>
      <c r="K145" s="4"/>
      <c r="L145" s="4"/>
      <c r="M145" s="4"/>
    </row>
    <row r="146" spans="1:13" ht="15.75" customHeight="1" x14ac:dyDescent="0.25">
      <c r="A146" s="31">
        <v>88</v>
      </c>
      <c r="B146" s="32" t="s">
        <v>238</v>
      </c>
      <c r="C146" s="33" t="s">
        <v>21</v>
      </c>
      <c r="D146" s="1"/>
      <c r="E146" s="34" t="s">
        <v>239</v>
      </c>
      <c r="F146" s="32" t="s">
        <v>44</v>
      </c>
      <c r="G146" s="33">
        <v>1</v>
      </c>
      <c r="H146" s="35">
        <v>692319</v>
      </c>
      <c r="I146" s="525">
        <f t="shared" si="35"/>
        <v>902437.81650000007</v>
      </c>
      <c r="J146" s="3">
        <f t="shared" si="36"/>
        <v>902437.81650000007</v>
      </c>
      <c r="K146" s="4"/>
      <c r="L146" s="4"/>
      <c r="M146" s="4"/>
    </row>
    <row r="147" spans="1:13" ht="15.75" customHeight="1" x14ac:dyDescent="0.25">
      <c r="A147" s="53" t="s">
        <v>33</v>
      </c>
      <c r="B147" s="54"/>
      <c r="C147" s="55"/>
      <c r="D147" s="55"/>
      <c r="E147" s="56"/>
      <c r="F147" s="54"/>
      <c r="G147" s="55"/>
      <c r="H147" s="57"/>
      <c r="I147" s="73">
        <f>SUM(I145:I146)</f>
        <v>1550651.4210000001</v>
      </c>
      <c r="J147" s="3"/>
      <c r="K147" s="4"/>
      <c r="L147" s="4"/>
      <c r="M147" s="4"/>
    </row>
    <row r="148" spans="1:13" ht="15.75" customHeight="1" x14ac:dyDescent="0.25">
      <c r="A148" s="63"/>
      <c r="B148" s="64" t="s">
        <v>240</v>
      </c>
      <c r="C148" s="65"/>
      <c r="D148" s="65"/>
      <c r="E148" s="66" t="s">
        <v>241</v>
      </c>
      <c r="F148" s="67"/>
      <c r="G148" s="65"/>
      <c r="H148" s="68"/>
      <c r="I148" s="534"/>
      <c r="J148" s="23"/>
      <c r="K148" s="4"/>
      <c r="L148" s="4"/>
      <c r="M148" s="4"/>
    </row>
    <row r="149" spans="1:13" ht="15.75" customHeight="1" x14ac:dyDescent="0.25">
      <c r="A149" s="31">
        <v>89</v>
      </c>
      <c r="B149" s="32" t="s">
        <v>242</v>
      </c>
      <c r="C149" s="33" t="s">
        <v>21</v>
      </c>
      <c r="D149" s="1"/>
      <c r="E149" s="34" t="s">
        <v>243</v>
      </c>
      <c r="F149" s="32" t="s">
        <v>44</v>
      </c>
      <c r="G149" s="33">
        <v>2</v>
      </c>
      <c r="H149" s="85">
        <v>3738584</v>
      </c>
      <c r="I149" s="85">
        <f t="shared" ref="I149:I150" si="37">+J149*G149</f>
        <v>9746488.4879999999</v>
      </c>
      <c r="J149" s="3">
        <f t="shared" ref="J149:J150" si="38">+H149*$J$9</f>
        <v>4873244.2439999999</v>
      </c>
      <c r="K149" s="4"/>
      <c r="L149" s="4"/>
      <c r="M149" s="4"/>
    </row>
    <row r="150" spans="1:13" ht="15.75" customHeight="1" x14ac:dyDescent="0.25">
      <c r="A150" s="31">
        <v>90</v>
      </c>
      <c r="B150" s="32" t="s">
        <v>244</v>
      </c>
      <c r="C150" s="33" t="s">
        <v>21</v>
      </c>
      <c r="D150" s="1"/>
      <c r="E150" s="34" t="s">
        <v>245</v>
      </c>
      <c r="F150" s="32" t="s">
        <v>44</v>
      </c>
      <c r="G150" s="33">
        <v>2</v>
      </c>
      <c r="H150" s="85">
        <v>4882459</v>
      </c>
      <c r="I150" s="85">
        <f t="shared" si="37"/>
        <v>12728570.613000002</v>
      </c>
      <c r="J150" s="3">
        <f t="shared" si="38"/>
        <v>6364285.3065000009</v>
      </c>
      <c r="K150" s="4"/>
      <c r="L150" s="4"/>
      <c r="M150" s="4"/>
    </row>
    <row r="151" spans="1:13" ht="15.75" customHeight="1" x14ac:dyDescent="0.25">
      <c r="A151" s="53" t="s">
        <v>33</v>
      </c>
      <c r="B151" s="54"/>
      <c r="C151" s="55"/>
      <c r="D151" s="55"/>
      <c r="E151" s="56"/>
      <c r="F151" s="54"/>
      <c r="G151" s="55"/>
      <c r="H151" s="57"/>
      <c r="I151" s="73">
        <f>SUM(I149:I150)</f>
        <v>22475059.101000004</v>
      </c>
      <c r="J151" s="3"/>
      <c r="K151" s="4"/>
      <c r="L151" s="4"/>
      <c r="M151" s="4"/>
    </row>
    <row r="152" spans="1:13" ht="15.75" customHeight="1" x14ac:dyDescent="0.25">
      <c r="A152" s="63"/>
      <c r="B152" s="64" t="s">
        <v>246</v>
      </c>
      <c r="C152" s="65"/>
      <c r="D152" s="65"/>
      <c r="E152" s="66" t="s">
        <v>247</v>
      </c>
      <c r="F152" s="67"/>
      <c r="G152" s="65"/>
      <c r="H152" s="68"/>
      <c r="I152" s="534"/>
      <c r="J152" s="23"/>
      <c r="K152" s="4"/>
      <c r="L152" s="4"/>
      <c r="M152" s="4"/>
    </row>
    <row r="153" spans="1:13" s="326" customFormat="1" ht="30.75" customHeight="1" x14ac:dyDescent="0.25">
      <c r="A153" s="321">
        <v>91</v>
      </c>
      <c r="B153" s="32" t="s">
        <v>248</v>
      </c>
      <c r="C153" s="96" t="s">
        <v>21</v>
      </c>
      <c r="D153" s="322"/>
      <c r="E153" s="34" t="s">
        <v>249</v>
      </c>
      <c r="F153" s="32" t="s">
        <v>44</v>
      </c>
      <c r="G153" s="96">
        <v>3</v>
      </c>
      <c r="H153" s="323">
        <v>351144</v>
      </c>
      <c r="I153" s="532">
        <f t="shared" ref="I153:I154" si="39">+J153*G153</f>
        <v>1373148.6120000002</v>
      </c>
      <c r="J153" s="324">
        <f t="shared" ref="J153:J154" si="40">+H153*$J$9</f>
        <v>457716.20400000003</v>
      </c>
      <c r="K153" s="325"/>
      <c r="L153" s="325"/>
      <c r="M153" s="325"/>
    </row>
    <row r="154" spans="1:13" s="326" customFormat="1" ht="30.75" customHeight="1" x14ac:dyDescent="0.25">
      <c r="A154" s="321">
        <v>92</v>
      </c>
      <c r="B154" s="32" t="s">
        <v>250</v>
      </c>
      <c r="C154" s="96" t="s">
        <v>21</v>
      </c>
      <c r="D154" s="322"/>
      <c r="E154" s="34" t="s">
        <v>251</v>
      </c>
      <c r="F154" s="32" t="s">
        <v>44</v>
      </c>
      <c r="G154" s="96">
        <v>3</v>
      </c>
      <c r="H154" s="323">
        <v>912697</v>
      </c>
      <c r="I154" s="532">
        <f t="shared" si="39"/>
        <v>3569101.6185000008</v>
      </c>
      <c r="J154" s="324">
        <f t="shared" si="40"/>
        <v>1189700.5395000002</v>
      </c>
      <c r="K154" s="325"/>
      <c r="L154" s="325"/>
      <c r="M154" s="325"/>
    </row>
    <row r="155" spans="1:13" ht="15.75" customHeight="1" x14ac:dyDescent="0.25">
      <c r="A155" s="53" t="s">
        <v>33</v>
      </c>
      <c r="B155" s="54"/>
      <c r="C155" s="55"/>
      <c r="D155" s="55"/>
      <c r="E155" s="56"/>
      <c r="F155" s="54"/>
      <c r="G155" s="55"/>
      <c r="H155" s="57"/>
      <c r="I155" s="73">
        <f>SUM(I153:I154)</f>
        <v>4942250.2305000015</v>
      </c>
      <c r="J155" s="3"/>
      <c r="K155" s="4"/>
      <c r="L155" s="4"/>
      <c r="M155" s="4"/>
    </row>
    <row r="156" spans="1:13" ht="15.75" customHeight="1" x14ac:dyDescent="0.25">
      <c r="A156" s="63"/>
      <c r="B156" s="64" t="s">
        <v>252</v>
      </c>
      <c r="C156" s="65"/>
      <c r="D156" s="65"/>
      <c r="E156" s="66" t="s">
        <v>253</v>
      </c>
      <c r="F156" s="67"/>
      <c r="G156" s="65"/>
      <c r="H156" s="68"/>
      <c r="I156" s="534"/>
      <c r="J156" s="23"/>
      <c r="K156" s="4"/>
      <c r="L156" s="4"/>
      <c r="M156" s="4"/>
    </row>
    <row r="157" spans="1:13" ht="15.75" customHeight="1" x14ac:dyDescent="0.25">
      <c r="A157" s="31">
        <v>93</v>
      </c>
      <c r="B157" s="32" t="s">
        <v>254</v>
      </c>
      <c r="C157" s="33" t="s">
        <v>21</v>
      </c>
      <c r="D157" s="1"/>
      <c r="E157" s="34" t="s">
        <v>255</v>
      </c>
      <c r="F157" s="32" t="s">
        <v>39</v>
      </c>
      <c r="G157" s="33">
        <v>7</v>
      </c>
      <c r="H157" s="35">
        <v>579452</v>
      </c>
      <c r="I157" s="525">
        <f>+J157*G157</f>
        <v>5287209.7740000002</v>
      </c>
      <c r="J157" s="3">
        <f>+H157*$J$9</f>
        <v>755315.68200000003</v>
      </c>
      <c r="K157" s="4"/>
      <c r="L157" s="4"/>
      <c r="M157" s="4"/>
    </row>
    <row r="158" spans="1:13" ht="15.75" customHeight="1" x14ac:dyDescent="0.25">
      <c r="A158" s="53" t="s">
        <v>33</v>
      </c>
      <c r="B158" s="54"/>
      <c r="C158" s="55"/>
      <c r="D158" s="55"/>
      <c r="E158" s="56"/>
      <c r="F158" s="54"/>
      <c r="G158" s="55"/>
      <c r="H158" s="57"/>
      <c r="I158" s="73">
        <f>SUM(I157)</f>
        <v>5287209.7740000002</v>
      </c>
      <c r="J158" s="3"/>
      <c r="K158" s="4"/>
      <c r="L158" s="4"/>
      <c r="M158" s="4"/>
    </row>
    <row r="159" spans="1:13" ht="15.75" customHeight="1" x14ac:dyDescent="0.25">
      <c r="A159" s="63"/>
      <c r="B159" s="64" t="s">
        <v>256</v>
      </c>
      <c r="C159" s="65"/>
      <c r="D159" s="65"/>
      <c r="E159" s="66" t="s">
        <v>257</v>
      </c>
      <c r="F159" s="67"/>
      <c r="G159" s="65"/>
      <c r="H159" s="68"/>
      <c r="I159" s="534"/>
      <c r="J159" s="23"/>
      <c r="K159" s="4"/>
      <c r="L159" s="4"/>
      <c r="M159" s="4"/>
    </row>
    <row r="160" spans="1:13" ht="15.75" customHeight="1" x14ac:dyDescent="0.25">
      <c r="A160" s="31">
        <v>94</v>
      </c>
      <c r="B160" s="32" t="s">
        <v>258</v>
      </c>
      <c r="C160" s="33" t="s">
        <v>21</v>
      </c>
      <c r="D160" s="1"/>
      <c r="E160" s="34" t="s">
        <v>259</v>
      </c>
      <c r="F160" s="32" t="s">
        <v>44</v>
      </c>
      <c r="G160" s="33">
        <v>5</v>
      </c>
      <c r="H160" s="35">
        <v>239922</v>
      </c>
      <c r="I160" s="525">
        <f t="shared" ref="I160:I164" si="41">+J160*G160</f>
        <v>1563691.6350000002</v>
      </c>
      <c r="J160" s="3">
        <f t="shared" ref="J160:J164" si="42">+H160*$J$9</f>
        <v>312738.32700000005</v>
      </c>
      <c r="K160" s="4"/>
      <c r="L160" s="4"/>
      <c r="M160" s="4"/>
    </row>
    <row r="161" spans="1:13" ht="15.75" customHeight="1" x14ac:dyDescent="0.25">
      <c r="A161" s="31">
        <v>95</v>
      </c>
      <c r="B161" s="32" t="s">
        <v>260</v>
      </c>
      <c r="C161" s="33" t="s">
        <v>21</v>
      </c>
      <c r="D161" s="1"/>
      <c r="E161" s="34" t="s">
        <v>261</v>
      </c>
      <c r="F161" s="32" t="s">
        <v>44</v>
      </c>
      <c r="G161" s="33">
        <v>5</v>
      </c>
      <c r="H161" s="35">
        <v>359991</v>
      </c>
      <c r="I161" s="525">
        <f t="shared" si="41"/>
        <v>2346241.3425000003</v>
      </c>
      <c r="J161" s="3">
        <f t="shared" si="42"/>
        <v>469248.26850000006</v>
      </c>
      <c r="K161" s="4"/>
      <c r="L161" s="4"/>
      <c r="M161" s="4"/>
    </row>
    <row r="162" spans="1:13" ht="15.75" customHeight="1" x14ac:dyDescent="0.25">
      <c r="A162" s="31">
        <v>96</v>
      </c>
      <c r="B162" s="32" t="s">
        <v>262</v>
      </c>
      <c r="C162" s="33" t="s">
        <v>21</v>
      </c>
      <c r="D162" s="1"/>
      <c r="E162" s="34" t="s">
        <v>263</v>
      </c>
      <c r="F162" s="32" t="s">
        <v>44</v>
      </c>
      <c r="G162" s="33">
        <v>5</v>
      </c>
      <c r="H162" s="35">
        <v>567098</v>
      </c>
      <c r="I162" s="525">
        <f t="shared" si="41"/>
        <v>3696061.2149999999</v>
      </c>
      <c r="J162" s="3">
        <f t="shared" si="42"/>
        <v>739212.24300000002</v>
      </c>
      <c r="K162" s="4"/>
      <c r="L162" s="4"/>
      <c r="M162" s="4"/>
    </row>
    <row r="163" spans="1:13" ht="15.75" customHeight="1" x14ac:dyDescent="0.25">
      <c r="A163" s="31">
        <v>97</v>
      </c>
      <c r="B163" s="32" t="s">
        <v>264</v>
      </c>
      <c r="C163" s="33" t="s">
        <v>21</v>
      </c>
      <c r="D163" s="1"/>
      <c r="E163" s="346" t="s">
        <v>265</v>
      </c>
      <c r="F163" s="347" t="s">
        <v>23</v>
      </c>
      <c r="G163" s="348">
        <v>30</v>
      </c>
      <c r="H163" s="345">
        <v>5947</v>
      </c>
      <c r="I163" s="525">
        <f t="shared" si="41"/>
        <v>232557.43500000003</v>
      </c>
      <c r="J163" s="3">
        <f t="shared" si="42"/>
        <v>7751.9145000000008</v>
      </c>
      <c r="K163" s="4"/>
      <c r="L163" s="4"/>
      <c r="M163" s="4"/>
    </row>
    <row r="164" spans="1:13" ht="15.75" customHeight="1" x14ac:dyDescent="0.25">
      <c r="A164" s="31">
        <v>98</v>
      </c>
      <c r="B164" s="32" t="s">
        <v>266</v>
      </c>
      <c r="C164" s="33" t="s">
        <v>21</v>
      </c>
      <c r="D164" s="1"/>
      <c r="E164" s="346" t="s">
        <v>267</v>
      </c>
      <c r="F164" s="347" t="s">
        <v>23</v>
      </c>
      <c r="G164" s="348">
        <v>30</v>
      </c>
      <c r="H164" s="345">
        <v>8443</v>
      </c>
      <c r="I164" s="525">
        <f t="shared" si="41"/>
        <v>330163.51500000001</v>
      </c>
      <c r="J164" s="3">
        <f t="shared" si="42"/>
        <v>11005.450500000001</v>
      </c>
      <c r="K164" s="4"/>
      <c r="L164" s="4"/>
      <c r="M164" s="4"/>
    </row>
    <row r="165" spans="1:13" ht="15.75" customHeight="1" x14ac:dyDescent="0.25">
      <c r="A165" s="53" t="s">
        <v>33</v>
      </c>
      <c r="B165" s="54"/>
      <c r="C165" s="55"/>
      <c r="D165" s="55"/>
      <c r="E165" s="56"/>
      <c r="F165" s="54"/>
      <c r="G165" s="55"/>
      <c r="H165" s="57"/>
      <c r="I165" s="73">
        <f>SUM(I160:I164)</f>
        <v>8168715.1425000001</v>
      </c>
      <c r="J165" s="3"/>
      <c r="K165" s="4"/>
      <c r="L165" s="4"/>
      <c r="M165" s="4"/>
    </row>
    <row r="166" spans="1:13" ht="15.75" customHeight="1" x14ac:dyDescent="0.25">
      <c r="A166" s="63"/>
      <c r="B166" s="64" t="s">
        <v>268</v>
      </c>
      <c r="C166" s="65"/>
      <c r="D166" s="65"/>
      <c r="E166" s="66" t="s">
        <v>269</v>
      </c>
      <c r="F166" s="67"/>
      <c r="G166" s="65"/>
      <c r="H166" s="68"/>
      <c r="I166" s="534"/>
      <c r="J166" s="23"/>
      <c r="K166" s="4"/>
      <c r="L166" s="4"/>
      <c r="M166" s="4"/>
    </row>
    <row r="167" spans="1:13" ht="15.75" customHeight="1" x14ac:dyDescent="0.25">
      <c r="A167" s="31">
        <v>99</v>
      </c>
      <c r="B167" s="32" t="s">
        <v>270</v>
      </c>
      <c r="C167" s="33" t="s">
        <v>21</v>
      </c>
      <c r="D167" s="1"/>
      <c r="E167" s="34" t="s">
        <v>271</v>
      </c>
      <c r="F167" s="32" t="s">
        <v>44</v>
      </c>
      <c r="G167" s="33">
        <v>2</v>
      </c>
      <c r="H167" s="35">
        <v>2171588</v>
      </c>
      <c r="I167" s="525">
        <f t="shared" ref="I167:I169" si="43">+J167*G167</f>
        <v>5661329.9160000002</v>
      </c>
      <c r="J167" s="3">
        <f t="shared" ref="J167:J169" si="44">+H167*$J$9</f>
        <v>2830664.9580000001</v>
      </c>
      <c r="K167" s="4"/>
      <c r="L167" s="4"/>
      <c r="M167" s="4"/>
    </row>
    <row r="168" spans="1:13" ht="15.75" customHeight="1" x14ac:dyDescent="0.25">
      <c r="A168" s="31">
        <v>100</v>
      </c>
      <c r="B168" s="32" t="s">
        <v>272</v>
      </c>
      <c r="C168" s="33" t="s">
        <v>21</v>
      </c>
      <c r="D168" s="1"/>
      <c r="E168" s="34" t="s">
        <v>273</v>
      </c>
      <c r="F168" s="32" t="s">
        <v>44</v>
      </c>
      <c r="G168" s="33">
        <v>2</v>
      </c>
      <c r="H168" s="35">
        <v>2718289</v>
      </c>
      <c r="I168" s="525">
        <f t="shared" si="43"/>
        <v>7086579.4230000004</v>
      </c>
      <c r="J168" s="3">
        <f t="shared" si="44"/>
        <v>3543289.7115000002</v>
      </c>
      <c r="K168" s="4"/>
      <c r="L168" s="4"/>
      <c r="M168" s="4"/>
    </row>
    <row r="169" spans="1:13" ht="15.75" customHeight="1" x14ac:dyDescent="0.25">
      <c r="A169" s="31">
        <v>101</v>
      </c>
      <c r="B169" s="32" t="s">
        <v>274</v>
      </c>
      <c r="C169" s="33" t="s">
        <v>21</v>
      </c>
      <c r="D169" s="1"/>
      <c r="E169" s="34" t="s">
        <v>275</v>
      </c>
      <c r="F169" s="32" t="s">
        <v>44</v>
      </c>
      <c r="G169" s="33">
        <v>2</v>
      </c>
      <c r="H169" s="35">
        <v>3104538</v>
      </c>
      <c r="I169" s="525">
        <f t="shared" si="43"/>
        <v>8093530.5660000006</v>
      </c>
      <c r="J169" s="3">
        <f t="shared" si="44"/>
        <v>4046765.2830000003</v>
      </c>
      <c r="K169" s="4"/>
      <c r="L169" s="4"/>
      <c r="M169" s="4"/>
    </row>
    <row r="170" spans="1:13" ht="15.75" customHeight="1" x14ac:dyDescent="0.25">
      <c r="A170" s="53" t="s">
        <v>33</v>
      </c>
      <c r="B170" s="54"/>
      <c r="C170" s="55"/>
      <c r="D170" s="55"/>
      <c r="E170" s="56"/>
      <c r="F170" s="54"/>
      <c r="G170" s="55"/>
      <c r="H170" s="57"/>
      <c r="I170" s="73">
        <f>SUM(I167:I169)</f>
        <v>20841439.905000001</v>
      </c>
      <c r="J170" s="3"/>
      <c r="K170" s="4"/>
      <c r="L170" s="4"/>
      <c r="M170" s="4"/>
    </row>
    <row r="171" spans="1:13" ht="15.75" customHeight="1" x14ac:dyDescent="0.25">
      <c r="A171" s="63"/>
      <c r="B171" s="64" t="s">
        <v>276</v>
      </c>
      <c r="C171" s="65"/>
      <c r="D171" s="65"/>
      <c r="E171" s="66" t="s">
        <v>277</v>
      </c>
      <c r="F171" s="67"/>
      <c r="G171" s="65"/>
      <c r="H171" s="68"/>
      <c r="I171" s="534"/>
      <c r="J171" s="23"/>
      <c r="K171" s="4"/>
      <c r="L171" s="4"/>
      <c r="M171" s="4"/>
    </row>
    <row r="172" spans="1:13" ht="15.75" customHeight="1" x14ac:dyDescent="0.25">
      <c r="A172" s="31">
        <v>102</v>
      </c>
      <c r="B172" s="32" t="s">
        <v>278</v>
      </c>
      <c r="C172" s="33" t="s">
        <v>21</v>
      </c>
      <c r="D172" s="1"/>
      <c r="E172" s="34" t="s">
        <v>279</v>
      </c>
      <c r="F172" s="32" t="s">
        <v>44</v>
      </c>
      <c r="G172" s="33">
        <v>2</v>
      </c>
      <c r="H172" s="35">
        <v>294350</v>
      </c>
      <c r="I172" s="525">
        <f>+J172*G172</f>
        <v>767370.45000000007</v>
      </c>
      <c r="J172" s="3">
        <f>+H172*$J$9</f>
        <v>383685.22500000003</v>
      </c>
      <c r="K172" s="4"/>
      <c r="L172" s="4"/>
      <c r="M172" s="4"/>
    </row>
    <row r="173" spans="1:13" ht="15.75" customHeight="1" x14ac:dyDescent="0.25">
      <c r="A173" s="53" t="s">
        <v>33</v>
      </c>
      <c r="B173" s="54"/>
      <c r="C173" s="55"/>
      <c r="D173" s="55"/>
      <c r="E173" s="56"/>
      <c r="F173" s="54"/>
      <c r="G173" s="55"/>
      <c r="H173" s="57"/>
      <c r="I173" s="73">
        <f>SUM(I172)</f>
        <v>767370.45000000007</v>
      </c>
      <c r="J173" s="3"/>
      <c r="K173" s="4"/>
      <c r="L173" s="4"/>
      <c r="M173" s="4"/>
    </row>
    <row r="174" spans="1:13" ht="15.75" customHeight="1" x14ac:dyDescent="0.25">
      <c r="A174" s="63"/>
      <c r="B174" s="64" t="s">
        <v>280</v>
      </c>
      <c r="C174" s="65"/>
      <c r="D174" s="65"/>
      <c r="E174" s="66" t="s">
        <v>281</v>
      </c>
      <c r="F174" s="67"/>
      <c r="G174" s="65"/>
      <c r="H174" s="68"/>
      <c r="I174" s="534"/>
      <c r="J174" s="23"/>
      <c r="K174" s="4"/>
      <c r="L174" s="4"/>
      <c r="M174" s="4"/>
    </row>
    <row r="175" spans="1:13" ht="30" customHeight="1" x14ac:dyDescent="0.25">
      <c r="A175" s="31">
        <v>103</v>
      </c>
      <c r="B175" s="32" t="s">
        <v>282</v>
      </c>
      <c r="C175" s="33" t="s">
        <v>21</v>
      </c>
      <c r="D175" s="1"/>
      <c r="E175" s="377" t="s">
        <v>283</v>
      </c>
      <c r="F175" s="347" t="s">
        <v>44</v>
      </c>
      <c r="G175" s="348">
        <v>1</v>
      </c>
      <c r="H175" s="345">
        <v>450347</v>
      </c>
      <c r="I175" s="525">
        <f t="shared" ref="I175:I179" si="45">+J175*G175</f>
        <v>587027.31450000009</v>
      </c>
      <c r="J175" s="3">
        <f t="shared" ref="J175:J179" si="46">+H175*$J$9</f>
        <v>587027.31450000009</v>
      </c>
      <c r="K175" s="4"/>
      <c r="L175" s="4"/>
      <c r="M175" s="4"/>
    </row>
    <row r="176" spans="1:13" ht="31.5" customHeight="1" x14ac:dyDescent="0.25">
      <c r="A176" s="31">
        <v>104</v>
      </c>
      <c r="B176" s="32" t="s">
        <v>284</v>
      </c>
      <c r="C176" s="33" t="s">
        <v>21</v>
      </c>
      <c r="D176" s="1"/>
      <c r="E176" s="377" t="s">
        <v>285</v>
      </c>
      <c r="F176" s="347" t="s">
        <v>44</v>
      </c>
      <c r="G176" s="348">
        <v>1</v>
      </c>
      <c r="H176" s="345">
        <v>511050</v>
      </c>
      <c r="I176" s="525">
        <f t="shared" si="45"/>
        <v>666153.67500000005</v>
      </c>
      <c r="J176" s="3">
        <f t="shared" si="46"/>
        <v>666153.67500000005</v>
      </c>
      <c r="K176" s="4"/>
      <c r="L176" s="4"/>
      <c r="M176" s="4"/>
    </row>
    <row r="177" spans="1:13" ht="36.75" customHeight="1" x14ac:dyDescent="0.25">
      <c r="A177" s="31">
        <v>105</v>
      </c>
      <c r="B177" s="32" t="s">
        <v>286</v>
      </c>
      <c r="C177" s="33" t="s">
        <v>21</v>
      </c>
      <c r="D177" s="1"/>
      <c r="E177" s="377" t="s">
        <v>287</v>
      </c>
      <c r="F177" s="347" t="s">
        <v>44</v>
      </c>
      <c r="G177" s="348">
        <v>1</v>
      </c>
      <c r="H177" s="345">
        <v>816047</v>
      </c>
      <c r="I177" s="525">
        <f t="shared" si="45"/>
        <v>1063717.2645</v>
      </c>
      <c r="J177" s="3">
        <f t="shared" si="46"/>
        <v>1063717.2645</v>
      </c>
      <c r="K177" s="4"/>
      <c r="L177" s="4"/>
      <c r="M177" s="4"/>
    </row>
    <row r="178" spans="1:13" ht="36" customHeight="1" x14ac:dyDescent="0.25">
      <c r="A178" s="31">
        <v>106</v>
      </c>
      <c r="B178" s="32" t="s">
        <v>288</v>
      </c>
      <c r="C178" s="33" t="s">
        <v>21</v>
      </c>
      <c r="D178" s="1"/>
      <c r="E178" s="377" t="s">
        <v>289</v>
      </c>
      <c r="F178" s="347" t="s">
        <v>44</v>
      </c>
      <c r="G178" s="348">
        <v>1</v>
      </c>
      <c r="H178" s="345">
        <v>538711</v>
      </c>
      <c r="I178" s="525">
        <f t="shared" si="45"/>
        <v>702209.78850000002</v>
      </c>
      <c r="J178" s="3">
        <f t="shared" si="46"/>
        <v>702209.78850000002</v>
      </c>
      <c r="K178" s="4"/>
      <c r="L178" s="4"/>
      <c r="M178" s="4"/>
    </row>
    <row r="179" spans="1:13" ht="45.75" customHeight="1" x14ac:dyDescent="0.25">
      <c r="A179" s="31">
        <v>107</v>
      </c>
      <c r="B179" s="32" t="s">
        <v>290</v>
      </c>
      <c r="C179" s="33" t="s">
        <v>21</v>
      </c>
      <c r="D179" s="1"/>
      <c r="E179" s="378" t="s">
        <v>291</v>
      </c>
      <c r="F179" s="350" t="s">
        <v>44</v>
      </c>
      <c r="G179" s="348">
        <v>1</v>
      </c>
      <c r="H179" s="345">
        <v>914342</v>
      </c>
      <c r="I179" s="525">
        <f t="shared" si="45"/>
        <v>1191844.797</v>
      </c>
      <c r="J179" s="86">
        <f t="shared" si="46"/>
        <v>1191844.797</v>
      </c>
      <c r="K179" s="4"/>
      <c r="L179" s="4"/>
      <c r="M179" s="4"/>
    </row>
    <row r="180" spans="1:13" ht="15.75" customHeight="1" x14ac:dyDescent="0.25">
      <c r="A180" s="53" t="s">
        <v>33</v>
      </c>
      <c r="B180" s="87"/>
      <c r="C180" s="55"/>
      <c r="D180" s="55"/>
      <c r="E180" s="88"/>
      <c r="F180" s="54"/>
      <c r="G180" s="55"/>
      <c r="H180" s="57"/>
      <c r="I180" s="533">
        <f>SUM(I175:I179)</f>
        <v>4210952.8395000007</v>
      </c>
      <c r="J180" s="86"/>
      <c r="K180" s="4"/>
      <c r="L180" s="4"/>
      <c r="M180" s="4"/>
    </row>
    <row r="181" spans="1:13" ht="15.75" customHeight="1" x14ac:dyDescent="0.25">
      <c r="A181" s="16"/>
      <c r="B181" s="89">
        <v>8</v>
      </c>
      <c r="C181" s="19"/>
      <c r="D181" s="19"/>
      <c r="E181" s="90" t="s">
        <v>292</v>
      </c>
      <c r="F181" s="91"/>
      <c r="G181" s="19"/>
      <c r="H181" s="43"/>
      <c r="I181" s="535"/>
      <c r="J181" s="92"/>
      <c r="K181" s="4"/>
      <c r="L181" s="4"/>
      <c r="M181" s="4"/>
    </row>
    <row r="182" spans="1:13" ht="15.75" customHeight="1" x14ac:dyDescent="0.25">
      <c r="A182" s="24"/>
      <c r="B182" s="25" t="s">
        <v>293</v>
      </c>
      <c r="C182" s="27"/>
      <c r="D182" s="27"/>
      <c r="E182" s="28" t="s">
        <v>294</v>
      </c>
      <c r="F182" s="29"/>
      <c r="G182" s="27"/>
      <c r="H182" s="58"/>
      <c r="I182" s="536"/>
      <c r="J182" s="92"/>
      <c r="K182" s="4"/>
      <c r="L182" s="4"/>
      <c r="M182" s="4"/>
    </row>
    <row r="183" spans="1:13" ht="15.75" customHeight="1" x14ac:dyDescent="0.25">
      <c r="A183" s="31">
        <v>108</v>
      </c>
      <c r="B183" s="32" t="s">
        <v>295</v>
      </c>
      <c r="C183" s="33" t="s">
        <v>21</v>
      </c>
      <c r="D183" s="1"/>
      <c r="E183" s="47" t="s">
        <v>296</v>
      </c>
      <c r="F183" s="48" t="s">
        <v>23</v>
      </c>
      <c r="G183" s="49">
        <v>2</v>
      </c>
      <c r="H183" s="59">
        <v>849237</v>
      </c>
      <c r="I183" s="525">
        <f t="shared" ref="I183:I184" si="47">+J183*G183</f>
        <v>2213960.8590000002</v>
      </c>
      <c r="J183" s="86">
        <f t="shared" ref="J183:J184" si="48">+H183*$J$9</f>
        <v>1106980.4295000001</v>
      </c>
      <c r="K183" s="4"/>
      <c r="L183" s="4"/>
      <c r="M183" s="4"/>
    </row>
    <row r="184" spans="1:13" ht="15.75" customHeight="1" x14ac:dyDescent="0.25">
      <c r="A184" s="31">
        <v>109</v>
      </c>
      <c r="B184" s="32" t="s">
        <v>297</v>
      </c>
      <c r="C184" s="33" t="s">
        <v>21</v>
      </c>
      <c r="D184" s="1"/>
      <c r="E184" s="50" t="s">
        <v>298</v>
      </c>
      <c r="F184" s="51" t="s">
        <v>23</v>
      </c>
      <c r="G184" s="52">
        <v>2</v>
      </c>
      <c r="H184" s="60">
        <v>2012020</v>
      </c>
      <c r="I184" s="525">
        <f t="shared" si="47"/>
        <v>5245336.1400000006</v>
      </c>
      <c r="J184" s="86">
        <f t="shared" si="48"/>
        <v>2622668.0700000003</v>
      </c>
      <c r="K184" s="4"/>
      <c r="L184" s="4"/>
      <c r="M184" s="4"/>
    </row>
    <row r="185" spans="1:13" ht="15.75" customHeight="1" x14ac:dyDescent="0.25">
      <c r="A185" s="53" t="s">
        <v>33</v>
      </c>
      <c r="B185" s="87"/>
      <c r="C185" s="55"/>
      <c r="D185" s="55"/>
      <c r="E185" s="88"/>
      <c r="F185" s="54"/>
      <c r="G185" s="55"/>
      <c r="H185" s="57"/>
      <c r="I185" s="533">
        <f>SUM(I183:I184)</f>
        <v>7459296.9990000008</v>
      </c>
      <c r="J185" s="86"/>
      <c r="K185" s="4"/>
      <c r="L185" s="4"/>
      <c r="M185" s="4"/>
    </row>
    <row r="186" spans="1:13" ht="15.75" customHeight="1" x14ac:dyDescent="0.25">
      <c r="A186" s="63"/>
      <c r="B186" s="64" t="s">
        <v>299</v>
      </c>
      <c r="C186" s="65"/>
      <c r="D186" s="65"/>
      <c r="E186" s="66" t="s">
        <v>300</v>
      </c>
      <c r="F186" s="67"/>
      <c r="G186" s="65"/>
      <c r="H186" s="68"/>
      <c r="I186" s="534"/>
      <c r="J186" s="92"/>
      <c r="K186" s="4"/>
      <c r="L186" s="4"/>
      <c r="M186" s="4"/>
    </row>
    <row r="187" spans="1:13" ht="58.5" customHeight="1" x14ac:dyDescent="0.25">
      <c r="A187" s="31">
        <v>110</v>
      </c>
      <c r="B187" s="32" t="s">
        <v>301</v>
      </c>
      <c r="C187" s="33" t="s">
        <v>21</v>
      </c>
      <c r="D187" s="1"/>
      <c r="E187" s="47" t="s">
        <v>302</v>
      </c>
      <c r="F187" s="48" t="s">
        <v>44</v>
      </c>
      <c r="G187" s="49">
        <v>1</v>
      </c>
      <c r="H187" s="59">
        <v>569763</v>
      </c>
      <c r="I187" s="525">
        <f t="shared" ref="I187:I189" si="49">+J187*G187</f>
        <v>742686.07050000003</v>
      </c>
      <c r="J187" s="86">
        <f t="shared" ref="J187:J189" si="50">+H187*$J$9</f>
        <v>742686.07050000003</v>
      </c>
      <c r="K187" s="4"/>
      <c r="L187" s="4"/>
      <c r="M187" s="4"/>
    </row>
    <row r="188" spans="1:13" ht="56.25" customHeight="1" x14ac:dyDescent="0.25">
      <c r="A188" s="31">
        <v>111</v>
      </c>
      <c r="B188" s="32" t="s">
        <v>303</v>
      </c>
      <c r="C188" s="33" t="s">
        <v>21</v>
      </c>
      <c r="D188" s="1"/>
      <c r="E188" s="34" t="s">
        <v>304</v>
      </c>
      <c r="F188" s="32" t="s">
        <v>44</v>
      </c>
      <c r="G188" s="33">
        <v>1</v>
      </c>
      <c r="H188" s="35">
        <v>626626</v>
      </c>
      <c r="I188" s="525">
        <f t="shared" si="49"/>
        <v>816806.99100000004</v>
      </c>
      <c r="J188" s="86">
        <f t="shared" si="50"/>
        <v>816806.99100000004</v>
      </c>
      <c r="K188" s="4"/>
      <c r="L188" s="4"/>
      <c r="M188" s="4"/>
    </row>
    <row r="189" spans="1:13" ht="45.75" customHeight="1" x14ac:dyDescent="0.25">
      <c r="A189" s="31">
        <v>112</v>
      </c>
      <c r="B189" s="32" t="s">
        <v>305</v>
      </c>
      <c r="C189" s="33" t="s">
        <v>21</v>
      </c>
      <c r="D189" s="1"/>
      <c r="E189" s="50" t="s">
        <v>306</v>
      </c>
      <c r="F189" s="51" t="s">
        <v>44</v>
      </c>
      <c r="G189" s="52">
        <v>1</v>
      </c>
      <c r="H189" s="60">
        <v>805970</v>
      </c>
      <c r="I189" s="525">
        <f t="shared" si="49"/>
        <v>1050581.895</v>
      </c>
      <c r="J189" s="86">
        <f t="shared" si="50"/>
        <v>1050581.895</v>
      </c>
      <c r="K189" s="4"/>
      <c r="L189" s="4"/>
      <c r="M189" s="4"/>
    </row>
    <row r="190" spans="1:13" ht="15.75" customHeight="1" x14ac:dyDescent="0.25">
      <c r="A190" s="53" t="s">
        <v>33</v>
      </c>
      <c r="B190" s="87"/>
      <c r="C190" s="55"/>
      <c r="D190" s="55"/>
      <c r="E190" s="88"/>
      <c r="F190" s="54"/>
      <c r="G190" s="55"/>
      <c r="H190" s="57"/>
      <c r="I190" s="533">
        <f>SUM(I187:I189)</f>
        <v>2610074.9565000003</v>
      </c>
      <c r="J190" s="86"/>
      <c r="K190" s="4"/>
      <c r="L190" s="4"/>
      <c r="M190" s="4"/>
    </row>
    <row r="191" spans="1:13" ht="15.75" customHeight="1" x14ac:dyDescent="0.25">
      <c r="A191" s="63"/>
      <c r="B191" s="64" t="s">
        <v>307</v>
      </c>
      <c r="C191" s="65"/>
      <c r="D191" s="65"/>
      <c r="E191" s="66" t="s">
        <v>308</v>
      </c>
      <c r="F191" s="67"/>
      <c r="G191" s="65"/>
      <c r="H191" s="68"/>
      <c r="I191" s="534"/>
      <c r="J191" s="92"/>
      <c r="K191" s="4"/>
      <c r="L191" s="4"/>
      <c r="M191" s="4"/>
    </row>
    <row r="192" spans="1:13" ht="15.75" customHeight="1" x14ac:dyDescent="0.25">
      <c r="A192" s="31">
        <v>113</v>
      </c>
      <c r="B192" s="32" t="s">
        <v>309</v>
      </c>
      <c r="C192" s="33" t="s">
        <v>21</v>
      </c>
      <c r="D192" s="1"/>
      <c r="E192" s="47" t="s">
        <v>310</v>
      </c>
      <c r="F192" s="48" t="s">
        <v>23</v>
      </c>
      <c r="G192" s="49">
        <v>20</v>
      </c>
      <c r="H192" s="59">
        <v>4426</v>
      </c>
      <c r="I192" s="525">
        <f t="shared" ref="I192:I195" si="51">+J192*G192</f>
        <v>115385.82</v>
      </c>
      <c r="J192" s="86">
        <f t="shared" ref="J192:J196" si="52">+H192*$J$9</f>
        <v>5769.2910000000002</v>
      </c>
      <c r="K192" s="4"/>
      <c r="L192" s="4"/>
      <c r="M192" s="4"/>
    </row>
    <row r="193" spans="1:13" ht="15.75" customHeight="1" x14ac:dyDescent="0.25">
      <c r="A193" s="31">
        <v>114</v>
      </c>
      <c r="B193" s="32" t="s">
        <v>311</v>
      </c>
      <c r="C193" s="33" t="s">
        <v>21</v>
      </c>
      <c r="D193" s="1"/>
      <c r="E193" s="34" t="s">
        <v>312</v>
      </c>
      <c r="F193" s="32" t="s">
        <v>23</v>
      </c>
      <c r="G193" s="33">
        <v>20</v>
      </c>
      <c r="H193" s="35">
        <v>4796</v>
      </c>
      <c r="I193" s="525">
        <f t="shared" si="51"/>
        <v>125031.72</v>
      </c>
      <c r="J193" s="86">
        <f t="shared" si="52"/>
        <v>6251.5860000000002</v>
      </c>
      <c r="K193" s="4"/>
      <c r="L193" s="4"/>
      <c r="M193" s="4"/>
    </row>
    <row r="194" spans="1:13" ht="15.75" customHeight="1" x14ac:dyDescent="0.25">
      <c r="A194" s="31">
        <v>115</v>
      </c>
      <c r="B194" s="32" t="s">
        <v>313</v>
      </c>
      <c r="C194" s="33" t="s">
        <v>21</v>
      </c>
      <c r="D194" s="1"/>
      <c r="E194" s="34" t="s">
        <v>314</v>
      </c>
      <c r="F194" s="32" t="s">
        <v>23</v>
      </c>
      <c r="G194" s="33">
        <v>20</v>
      </c>
      <c r="H194" s="35">
        <v>5815</v>
      </c>
      <c r="I194" s="525">
        <f t="shared" si="51"/>
        <v>151597.05000000002</v>
      </c>
      <c r="J194" s="86">
        <f t="shared" si="52"/>
        <v>7579.8525000000009</v>
      </c>
      <c r="K194" s="4"/>
      <c r="L194" s="4"/>
      <c r="M194" s="4"/>
    </row>
    <row r="195" spans="1:13" ht="15.75" customHeight="1" x14ac:dyDescent="0.25">
      <c r="A195" s="31">
        <v>116</v>
      </c>
      <c r="B195" s="32" t="s">
        <v>315</v>
      </c>
      <c r="C195" s="33" t="s">
        <v>21</v>
      </c>
      <c r="D195" s="1"/>
      <c r="E195" s="34" t="s">
        <v>316</v>
      </c>
      <c r="F195" s="32" t="s">
        <v>23</v>
      </c>
      <c r="G195" s="33">
        <v>20</v>
      </c>
      <c r="H195" s="35">
        <v>8028</v>
      </c>
      <c r="I195" s="525">
        <f t="shared" si="51"/>
        <v>209289.96000000002</v>
      </c>
      <c r="J195" s="86">
        <f t="shared" si="52"/>
        <v>10464.498000000001</v>
      </c>
      <c r="K195" s="4"/>
      <c r="L195" s="4"/>
      <c r="M195" s="4"/>
    </row>
    <row r="196" spans="1:13" ht="15.75" customHeight="1" x14ac:dyDescent="0.25">
      <c r="A196" s="93" t="s">
        <v>33</v>
      </c>
      <c r="B196" s="54"/>
      <c r="C196" s="55"/>
      <c r="D196" s="55"/>
      <c r="E196" s="88"/>
      <c r="F196" s="54"/>
      <c r="G196" s="55"/>
      <c r="H196" s="57"/>
      <c r="I196" s="533">
        <f>SUM(I192:I195)</f>
        <v>601304.55000000005</v>
      </c>
      <c r="J196" s="86">
        <f t="shared" si="52"/>
        <v>0</v>
      </c>
      <c r="K196" s="4"/>
      <c r="L196" s="4"/>
      <c r="M196" s="4"/>
    </row>
    <row r="197" spans="1:13" ht="15.75" customHeight="1" x14ac:dyDescent="0.25">
      <c r="A197" s="16"/>
      <c r="B197" s="17">
        <v>9</v>
      </c>
      <c r="C197" s="19"/>
      <c r="D197" s="19"/>
      <c r="E197" s="20" t="s">
        <v>317</v>
      </c>
      <c r="F197" s="21"/>
      <c r="G197" s="19"/>
      <c r="H197" s="43"/>
      <c r="I197" s="535"/>
      <c r="J197" s="92"/>
      <c r="K197" s="4"/>
      <c r="L197" s="4"/>
      <c r="M197" s="4"/>
    </row>
    <row r="198" spans="1:13" ht="15.75" customHeight="1" x14ac:dyDescent="0.25">
      <c r="A198" s="24"/>
      <c r="B198" s="25" t="s">
        <v>318</v>
      </c>
      <c r="C198" s="27"/>
      <c r="D198" s="27"/>
      <c r="E198" s="28" t="s">
        <v>319</v>
      </c>
      <c r="F198" s="29"/>
      <c r="G198" s="27"/>
      <c r="H198" s="58"/>
      <c r="I198" s="536"/>
      <c r="J198" s="92"/>
      <c r="K198" s="4"/>
      <c r="L198" s="4"/>
      <c r="M198" s="4"/>
    </row>
    <row r="199" spans="1:13" ht="15.75" customHeight="1" x14ac:dyDescent="0.25">
      <c r="A199" s="31">
        <v>121</v>
      </c>
      <c r="B199" s="32" t="s">
        <v>320</v>
      </c>
      <c r="C199" s="33" t="s">
        <v>21</v>
      </c>
      <c r="D199" s="1"/>
      <c r="E199" s="346" t="s">
        <v>321</v>
      </c>
      <c r="F199" s="347" t="s">
        <v>39</v>
      </c>
      <c r="G199" s="348">
        <v>5</v>
      </c>
      <c r="H199" s="345">
        <v>582591</v>
      </c>
      <c r="I199" s="525">
        <f t="shared" ref="I199" si="53">+J199*G199</f>
        <v>3797036.8425000003</v>
      </c>
      <c r="J199" s="86">
        <f t="shared" ref="J199" si="54">+H199*$J$9</f>
        <v>759407.3685000001</v>
      </c>
      <c r="K199" s="4"/>
      <c r="L199" s="4"/>
      <c r="M199" s="4"/>
    </row>
    <row r="200" spans="1:13" ht="15.75" customHeight="1" x14ac:dyDescent="0.25">
      <c r="A200" s="93" t="s">
        <v>33</v>
      </c>
      <c r="B200" s="54"/>
      <c r="C200" s="55"/>
      <c r="D200" s="55"/>
      <c r="E200" s="88"/>
      <c r="F200" s="54"/>
      <c r="G200" s="55"/>
      <c r="H200" s="57"/>
      <c r="I200" s="533">
        <f>SUM(I199:I199)</f>
        <v>3797036.8425000003</v>
      </c>
      <c r="J200" s="86"/>
      <c r="K200" s="4"/>
      <c r="L200" s="4"/>
      <c r="M200" s="4"/>
    </row>
    <row r="201" spans="1:13" ht="15.75" customHeight="1" x14ac:dyDescent="0.25">
      <c r="A201" s="63"/>
      <c r="B201" s="64" t="s">
        <v>322</v>
      </c>
      <c r="C201" s="65"/>
      <c r="D201" s="65"/>
      <c r="E201" s="66" t="s">
        <v>323</v>
      </c>
      <c r="F201" s="67"/>
      <c r="G201" s="65"/>
      <c r="H201" s="68"/>
      <c r="I201" s="534"/>
      <c r="J201" s="95"/>
      <c r="K201" s="4"/>
      <c r="L201" s="4"/>
      <c r="M201" s="4"/>
    </row>
    <row r="202" spans="1:13" ht="15.75" customHeight="1" x14ac:dyDescent="0.25">
      <c r="A202" s="31">
        <v>111</v>
      </c>
      <c r="B202" s="94" t="s">
        <v>324</v>
      </c>
      <c r="C202" s="33" t="s">
        <v>21</v>
      </c>
      <c r="D202" s="1"/>
      <c r="E202" s="346" t="s">
        <v>326</v>
      </c>
      <c r="F202" s="347" t="s">
        <v>39</v>
      </c>
      <c r="G202" s="344">
        <f>+(5*0.9*0.9)+(5*0.4*0.9)</f>
        <v>5.85</v>
      </c>
      <c r="H202" s="345">
        <v>951441</v>
      </c>
      <c r="I202" s="525">
        <f t="shared" ref="I202" si="55">+J202*G202</f>
        <v>7255189.5594750009</v>
      </c>
      <c r="J202" s="86">
        <f t="shared" ref="J202" si="56">+H202*$J$9</f>
        <v>1240203.3435000002</v>
      </c>
      <c r="K202" s="4"/>
      <c r="L202" s="4"/>
      <c r="M202" s="4"/>
    </row>
    <row r="203" spans="1:13" ht="15.75" customHeight="1" x14ac:dyDescent="0.25">
      <c r="A203" s="93" t="s">
        <v>33</v>
      </c>
      <c r="B203" s="54"/>
      <c r="C203" s="55"/>
      <c r="D203" s="55"/>
      <c r="E203" s="88"/>
      <c r="F203" s="54"/>
      <c r="G203" s="55"/>
      <c r="H203" s="57"/>
      <c r="I203" s="533">
        <f>SUM(I202:I202)</f>
        <v>7255189.5594750009</v>
      </c>
      <c r="J203" s="86"/>
      <c r="K203" s="4"/>
      <c r="L203" s="4"/>
      <c r="M203" s="4"/>
    </row>
    <row r="204" spans="1:13" ht="15.75" customHeight="1" x14ac:dyDescent="0.25">
      <c r="A204" s="63"/>
      <c r="B204" s="64" t="s">
        <v>327</v>
      </c>
      <c r="C204" s="65"/>
      <c r="D204" s="65"/>
      <c r="E204" s="66" t="s">
        <v>328</v>
      </c>
      <c r="F204" s="67"/>
      <c r="G204" s="65"/>
      <c r="H204" s="68"/>
      <c r="I204" s="534"/>
      <c r="J204" s="92"/>
      <c r="K204" s="4"/>
      <c r="L204" s="4"/>
      <c r="M204" s="4"/>
    </row>
    <row r="205" spans="1:13" ht="15.75" customHeight="1" x14ac:dyDescent="0.25">
      <c r="A205" s="31">
        <v>123</v>
      </c>
      <c r="B205" s="32" t="s">
        <v>329</v>
      </c>
      <c r="C205" s="33" t="s">
        <v>21</v>
      </c>
      <c r="D205" s="1"/>
      <c r="E205" s="342" t="s">
        <v>330</v>
      </c>
      <c r="F205" s="343" t="s">
        <v>39</v>
      </c>
      <c r="G205" s="344">
        <v>3</v>
      </c>
      <c r="H205" s="388">
        <v>459952</v>
      </c>
      <c r="I205" s="525">
        <f t="shared" ref="I205:I207" si="57">+J205*G205</f>
        <v>1798642.2960000001</v>
      </c>
      <c r="J205" s="86">
        <f t="shared" ref="J205:J207" si="58">+H205*$J$9</f>
        <v>599547.43200000003</v>
      </c>
      <c r="K205" s="4"/>
      <c r="L205" s="4"/>
      <c r="M205" s="4"/>
    </row>
    <row r="206" spans="1:13" ht="15.75" customHeight="1" x14ac:dyDescent="0.25">
      <c r="A206" s="31">
        <v>124</v>
      </c>
      <c r="B206" s="32" t="s">
        <v>331</v>
      </c>
      <c r="C206" s="33" t="s">
        <v>21</v>
      </c>
      <c r="D206" s="1"/>
      <c r="E206" s="34" t="s">
        <v>332</v>
      </c>
      <c r="F206" s="32" t="s">
        <v>39</v>
      </c>
      <c r="G206" s="33">
        <v>2</v>
      </c>
      <c r="H206" s="35">
        <v>478003</v>
      </c>
      <c r="I206" s="525">
        <f t="shared" si="57"/>
        <v>1246153.821</v>
      </c>
      <c r="J206" s="86">
        <f t="shared" si="58"/>
        <v>623076.9105</v>
      </c>
      <c r="K206" s="4"/>
      <c r="L206" s="4"/>
      <c r="M206" s="4"/>
    </row>
    <row r="207" spans="1:13" ht="15.75" customHeight="1" x14ac:dyDescent="0.25">
      <c r="A207" s="31">
        <v>125</v>
      </c>
      <c r="B207" s="32">
        <v>6.5</v>
      </c>
      <c r="C207" s="33" t="s">
        <v>333</v>
      </c>
      <c r="D207" s="1"/>
      <c r="E207" s="346" t="s">
        <v>334</v>
      </c>
      <c r="F207" s="347" t="s">
        <v>26</v>
      </c>
      <c r="G207" s="348">
        <v>182</v>
      </c>
      <c r="H207" s="345">
        <v>10224</v>
      </c>
      <c r="I207" s="525">
        <f t="shared" si="57"/>
        <v>2425511.088</v>
      </c>
      <c r="J207" s="86">
        <f t="shared" si="58"/>
        <v>13326.984</v>
      </c>
      <c r="K207" s="4"/>
      <c r="L207" s="4"/>
      <c r="M207" s="4"/>
    </row>
    <row r="208" spans="1:13" ht="15.75" customHeight="1" x14ac:dyDescent="0.25">
      <c r="A208" s="93" t="s">
        <v>33</v>
      </c>
      <c r="B208" s="54"/>
      <c r="C208" s="55"/>
      <c r="D208" s="55"/>
      <c r="E208" s="88"/>
      <c r="F208" s="54"/>
      <c r="G208" s="55"/>
      <c r="H208" s="57"/>
      <c r="I208" s="533">
        <f>SUM(I205:I207)</f>
        <v>5470307.2050000001</v>
      </c>
      <c r="J208" s="86"/>
      <c r="K208" s="4"/>
      <c r="L208" s="4"/>
      <c r="M208" s="4"/>
    </row>
    <row r="209" spans="1:13" ht="15.75" customHeight="1" x14ac:dyDescent="0.25">
      <c r="A209" s="63"/>
      <c r="B209" s="64" t="s">
        <v>335</v>
      </c>
      <c r="C209" s="65"/>
      <c r="D209" s="65"/>
      <c r="E209" s="66" t="s">
        <v>336</v>
      </c>
      <c r="F209" s="67"/>
      <c r="G209" s="65"/>
      <c r="H209" s="68"/>
      <c r="I209" s="534"/>
      <c r="J209" s="92"/>
      <c r="K209" s="4"/>
      <c r="L209" s="4"/>
      <c r="M209" s="4"/>
    </row>
    <row r="210" spans="1:13" ht="15.75" customHeight="1" x14ac:dyDescent="0.25">
      <c r="A210" s="31">
        <v>126</v>
      </c>
      <c r="B210" s="32">
        <v>11774</v>
      </c>
      <c r="C210" s="327" t="s">
        <v>151</v>
      </c>
      <c r="D210" s="1"/>
      <c r="E210" s="346" t="s">
        <v>337</v>
      </c>
      <c r="F210" s="347" t="s">
        <v>338</v>
      </c>
      <c r="G210" s="348">
        <f>+(G202)*100</f>
        <v>585</v>
      </c>
      <c r="H210" s="345">
        <v>6157</v>
      </c>
      <c r="I210" s="525">
        <f t="shared" ref="I210:I212" si="59">+J210*G210</f>
        <v>4695004.9575000005</v>
      </c>
      <c r="J210" s="86">
        <f t="shared" ref="J210:J212" si="60">+H210*$J$9</f>
        <v>8025.6495000000004</v>
      </c>
      <c r="K210" s="4"/>
      <c r="L210" s="4"/>
      <c r="M210" s="4"/>
    </row>
    <row r="211" spans="1:13" ht="15.75" customHeight="1" x14ac:dyDescent="0.25">
      <c r="A211" s="31">
        <v>177</v>
      </c>
      <c r="B211" s="32" t="s">
        <v>339</v>
      </c>
      <c r="C211" s="33" t="s">
        <v>21</v>
      </c>
      <c r="D211" s="1"/>
      <c r="E211" s="346" t="s">
        <v>340</v>
      </c>
      <c r="F211" s="347" t="s">
        <v>338</v>
      </c>
      <c r="G211" s="348">
        <f>+G210*0.3</f>
        <v>175.5</v>
      </c>
      <c r="H211" s="345">
        <v>6554</v>
      </c>
      <c r="I211" s="525">
        <f t="shared" si="59"/>
        <v>1499320.8945000002</v>
      </c>
      <c r="J211" s="86">
        <f t="shared" si="60"/>
        <v>8543.139000000001</v>
      </c>
      <c r="K211" s="4"/>
      <c r="L211" s="4"/>
      <c r="M211" s="4"/>
    </row>
    <row r="212" spans="1:13" ht="15.75" customHeight="1" x14ac:dyDescent="0.25">
      <c r="A212" s="31">
        <v>178</v>
      </c>
      <c r="B212" s="32" t="s">
        <v>341</v>
      </c>
      <c r="C212" s="33" t="s">
        <v>21</v>
      </c>
      <c r="D212" s="1"/>
      <c r="E212" s="34" t="s">
        <v>342</v>
      </c>
      <c r="F212" s="32" t="s">
        <v>338</v>
      </c>
      <c r="G212" s="33">
        <v>30</v>
      </c>
      <c r="H212" s="35">
        <v>10021</v>
      </c>
      <c r="I212" s="525">
        <f t="shared" si="59"/>
        <v>391871.20500000007</v>
      </c>
      <c r="J212" s="86">
        <f t="shared" si="60"/>
        <v>13062.373500000002</v>
      </c>
      <c r="K212" s="4"/>
      <c r="L212" s="4"/>
      <c r="M212" s="4"/>
    </row>
    <row r="213" spans="1:13" ht="15.75" customHeight="1" x14ac:dyDescent="0.25">
      <c r="A213" s="93" t="s">
        <v>33</v>
      </c>
      <c r="B213" s="54"/>
      <c r="C213" s="55"/>
      <c r="D213" s="55"/>
      <c r="E213" s="88"/>
      <c r="F213" s="54"/>
      <c r="G213" s="55"/>
      <c r="H213" s="57"/>
      <c r="I213" s="533">
        <f>SUM(I210:I212)</f>
        <v>6586197.057000001</v>
      </c>
      <c r="J213" s="86"/>
      <c r="K213" s="4"/>
      <c r="L213" s="4"/>
      <c r="M213" s="4"/>
    </row>
    <row r="214" spans="1:13" ht="15.75" customHeight="1" x14ac:dyDescent="0.25">
      <c r="A214" s="63"/>
      <c r="B214" s="64" t="s">
        <v>343</v>
      </c>
      <c r="C214" s="65"/>
      <c r="D214" s="65"/>
      <c r="E214" s="66" t="s">
        <v>344</v>
      </c>
      <c r="F214" s="67"/>
      <c r="G214" s="65"/>
      <c r="H214" s="68"/>
      <c r="I214" s="534"/>
      <c r="J214" s="92"/>
      <c r="K214" s="4"/>
      <c r="L214" s="4"/>
      <c r="M214" s="4"/>
    </row>
    <row r="215" spans="1:13" ht="15.75" customHeight="1" x14ac:dyDescent="0.25">
      <c r="A215" s="31">
        <v>179</v>
      </c>
      <c r="B215" s="32" t="s">
        <v>345</v>
      </c>
      <c r="C215" s="33" t="s">
        <v>21</v>
      </c>
      <c r="D215" s="1"/>
      <c r="E215" s="34" t="s">
        <v>346</v>
      </c>
      <c r="F215" s="32" t="s">
        <v>338</v>
      </c>
      <c r="G215" s="33">
        <v>25</v>
      </c>
      <c r="H215" s="35">
        <v>204365</v>
      </c>
      <c r="I215" s="525">
        <f t="shared" ref="I215:I217" si="61">+J215*G215</f>
        <v>6659744.4375000009</v>
      </c>
      <c r="J215" s="86">
        <f t="shared" ref="J215:J217" si="62">+H215*$J$9</f>
        <v>266389.77750000003</v>
      </c>
      <c r="K215" s="4"/>
      <c r="L215" s="4"/>
      <c r="M215" s="4"/>
    </row>
    <row r="216" spans="1:13" ht="15.75" customHeight="1" x14ac:dyDescent="0.25">
      <c r="A216" s="31">
        <v>127</v>
      </c>
      <c r="B216" s="32" t="s">
        <v>347</v>
      </c>
      <c r="C216" s="33" t="s">
        <v>21</v>
      </c>
      <c r="D216" s="1"/>
      <c r="E216" s="346" t="s">
        <v>348</v>
      </c>
      <c r="F216" s="347" t="s">
        <v>338</v>
      </c>
      <c r="G216" s="390">
        <v>20</v>
      </c>
      <c r="H216" s="345">
        <v>26669</v>
      </c>
      <c r="I216" s="525">
        <f t="shared" si="61"/>
        <v>695260.83</v>
      </c>
      <c r="J216" s="86">
        <f t="shared" si="62"/>
        <v>34763.041499999999</v>
      </c>
      <c r="K216" s="4"/>
      <c r="L216" s="4"/>
      <c r="M216" s="4"/>
    </row>
    <row r="217" spans="1:13" ht="15.75" customHeight="1" x14ac:dyDescent="0.25">
      <c r="A217" s="31">
        <v>181</v>
      </c>
      <c r="B217" s="32" t="s">
        <v>349</v>
      </c>
      <c r="C217" s="33" t="s">
        <v>21</v>
      </c>
      <c r="D217" s="1"/>
      <c r="E217" s="346" t="s">
        <v>350</v>
      </c>
      <c r="F217" s="347" t="s">
        <v>338</v>
      </c>
      <c r="G217" s="348">
        <v>25</v>
      </c>
      <c r="H217" s="345">
        <v>20295</v>
      </c>
      <c r="I217" s="525">
        <f t="shared" si="61"/>
        <v>661363.3125</v>
      </c>
      <c r="J217" s="86">
        <f t="shared" si="62"/>
        <v>26454.532500000001</v>
      </c>
      <c r="K217" s="4"/>
      <c r="L217" s="4"/>
      <c r="M217" s="4"/>
    </row>
    <row r="218" spans="1:13" ht="15.75" customHeight="1" x14ac:dyDescent="0.25">
      <c r="A218" s="93" t="s">
        <v>33</v>
      </c>
      <c r="B218" s="54"/>
      <c r="C218" s="55"/>
      <c r="D218" s="55"/>
      <c r="E218" s="88"/>
      <c r="F218" s="54"/>
      <c r="G218" s="55"/>
      <c r="H218" s="57"/>
      <c r="I218" s="533">
        <f>SUM(I215:I217)</f>
        <v>8016368.580000001</v>
      </c>
      <c r="J218" s="86"/>
      <c r="K218" s="4"/>
      <c r="L218" s="4"/>
      <c r="M218" s="4"/>
    </row>
    <row r="219" spans="1:13" ht="15.75" customHeight="1" x14ac:dyDescent="0.25">
      <c r="A219" s="63"/>
      <c r="B219" s="64" t="s">
        <v>351</v>
      </c>
      <c r="C219" s="65"/>
      <c r="D219" s="65"/>
      <c r="E219" s="66" t="s">
        <v>352</v>
      </c>
      <c r="F219" s="67"/>
      <c r="G219" s="65"/>
      <c r="H219" s="68"/>
      <c r="I219" s="534"/>
      <c r="J219" s="92"/>
      <c r="K219" s="4"/>
      <c r="L219" s="4"/>
      <c r="M219" s="4"/>
    </row>
    <row r="220" spans="1:13" ht="15.75" customHeight="1" x14ac:dyDescent="0.25">
      <c r="A220" s="31">
        <v>128</v>
      </c>
      <c r="B220" s="32" t="s">
        <v>353</v>
      </c>
      <c r="C220" s="33" t="s">
        <v>21</v>
      </c>
      <c r="D220" s="1"/>
      <c r="E220" s="346" t="s">
        <v>354</v>
      </c>
      <c r="F220" s="347" t="s">
        <v>23</v>
      </c>
      <c r="G220" s="348">
        <v>10</v>
      </c>
      <c r="H220" s="345">
        <v>62604</v>
      </c>
      <c r="I220" s="525">
        <f t="shared" ref="I220:I221" si="63">+J220*G220</f>
        <v>816043.14000000013</v>
      </c>
      <c r="J220" s="86">
        <f t="shared" ref="J220:J221" si="64">+H220*$J$9</f>
        <v>81604.314000000013</v>
      </c>
      <c r="K220" s="4"/>
      <c r="L220" s="4"/>
      <c r="M220" s="4"/>
    </row>
    <row r="221" spans="1:13" ht="15.75" customHeight="1" x14ac:dyDescent="0.25">
      <c r="A221" s="31">
        <v>129</v>
      </c>
      <c r="B221" s="32" t="s">
        <v>355</v>
      </c>
      <c r="C221" s="33" t="s">
        <v>21</v>
      </c>
      <c r="D221" s="1"/>
      <c r="E221" s="50" t="s">
        <v>356</v>
      </c>
      <c r="F221" s="51" t="s">
        <v>23</v>
      </c>
      <c r="G221" s="52">
        <v>10</v>
      </c>
      <c r="H221" s="35">
        <v>110863</v>
      </c>
      <c r="I221" s="525">
        <f t="shared" si="63"/>
        <v>1445099.2050000001</v>
      </c>
      <c r="J221" s="86">
        <f t="shared" si="64"/>
        <v>144509.92050000001</v>
      </c>
      <c r="K221" s="4"/>
      <c r="L221" s="4"/>
      <c r="M221" s="4"/>
    </row>
    <row r="222" spans="1:13" ht="15.75" customHeight="1" x14ac:dyDescent="0.25">
      <c r="A222" s="93" t="s">
        <v>33</v>
      </c>
      <c r="B222" s="54"/>
      <c r="C222" s="55"/>
      <c r="D222" s="55"/>
      <c r="E222" s="88"/>
      <c r="F222" s="54"/>
      <c r="G222" s="55"/>
      <c r="H222" s="57"/>
      <c r="I222" s="533">
        <f>SUM(I220:I221)</f>
        <v>2261142.3450000002</v>
      </c>
      <c r="J222" s="86"/>
      <c r="K222" s="4"/>
      <c r="L222" s="4"/>
      <c r="M222" s="4"/>
    </row>
    <row r="223" spans="1:13" ht="15.75" customHeight="1" x14ac:dyDescent="0.25">
      <c r="A223" s="63"/>
      <c r="B223" s="65" t="s">
        <v>357</v>
      </c>
      <c r="C223" s="65"/>
      <c r="D223" s="65"/>
      <c r="E223" s="66" t="s">
        <v>358</v>
      </c>
      <c r="F223" s="65"/>
      <c r="G223" s="65"/>
      <c r="H223" s="68"/>
      <c r="I223" s="534"/>
      <c r="J223" s="92"/>
      <c r="K223" s="4"/>
      <c r="L223" s="4"/>
      <c r="M223" s="4"/>
    </row>
    <row r="224" spans="1:13" ht="15.75" customHeight="1" x14ac:dyDescent="0.25">
      <c r="A224" s="31">
        <v>130</v>
      </c>
      <c r="B224" s="32" t="s">
        <v>359</v>
      </c>
      <c r="C224" s="33" t="s">
        <v>21</v>
      </c>
      <c r="D224" s="1"/>
      <c r="E224" s="346" t="s">
        <v>360</v>
      </c>
      <c r="F224" s="347" t="s">
        <v>26</v>
      </c>
      <c r="G224" s="348">
        <v>5</v>
      </c>
      <c r="H224" s="345">
        <v>78962</v>
      </c>
      <c r="I224" s="525">
        <f t="shared" ref="I224:I228" si="65">+J224*G224</f>
        <v>514634.83500000002</v>
      </c>
      <c r="J224" s="86">
        <f t="shared" ref="J224:J228" si="66">+H224*$J$9</f>
        <v>102926.967</v>
      </c>
      <c r="K224" s="4"/>
      <c r="L224" s="4"/>
      <c r="M224" s="4"/>
    </row>
    <row r="225" spans="1:13" ht="15.75" customHeight="1" x14ac:dyDescent="0.25">
      <c r="A225" s="31">
        <v>131</v>
      </c>
      <c r="B225" s="32" t="s">
        <v>361</v>
      </c>
      <c r="C225" s="33" t="s">
        <v>21</v>
      </c>
      <c r="D225" s="1"/>
      <c r="E225" s="346" t="s">
        <v>362</v>
      </c>
      <c r="F225" s="347" t="s">
        <v>26</v>
      </c>
      <c r="G225" s="348">
        <v>5</v>
      </c>
      <c r="H225" s="345">
        <v>103322</v>
      </c>
      <c r="I225" s="525">
        <f t="shared" si="65"/>
        <v>673401.13500000001</v>
      </c>
      <c r="J225" s="86">
        <f t="shared" si="66"/>
        <v>134680.22700000001</v>
      </c>
      <c r="K225" s="4"/>
      <c r="L225" s="4"/>
      <c r="M225" s="4"/>
    </row>
    <row r="226" spans="1:13" ht="15.75" customHeight="1" x14ac:dyDescent="0.25">
      <c r="A226" s="31">
        <v>132</v>
      </c>
      <c r="B226" s="32" t="s">
        <v>363</v>
      </c>
      <c r="C226" s="33" t="s">
        <v>21</v>
      </c>
      <c r="D226" s="1"/>
      <c r="E226" s="346" t="s">
        <v>364</v>
      </c>
      <c r="F226" s="347" t="s">
        <v>26</v>
      </c>
      <c r="G226" s="348">
        <v>5</v>
      </c>
      <c r="H226" s="345">
        <v>25782</v>
      </c>
      <c r="I226" s="525">
        <f t="shared" si="65"/>
        <v>168034.185</v>
      </c>
      <c r="J226" s="86">
        <f t="shared" si="66"/>
        <v>33606.837</v>
      </c>
      <c r="K226" s="4"/>
      <c r="L226" s="4"/>
      <c r="M226" s="4"/>
    </row>
    <row r="227" spans="1:13" ht="15.75" customHeight="1" x14ac:dyDescent="0.25">
      <c r="A227" s="31">
        <v>133</v>
      </c>
      <c r="B227" s="32" t="s">
        <v>365</v>
      </c>
      <c r="C227" s="33" t="s">
        <v>21</v>
      </c>
      <c r="D227" s="1"/>
      <c r="E227" s="346" t="s">
        <v>366</v>
      </c>
      <c r="F227" s="347" t="s">
        <v>26</v>
      </c>
      <c r="G227" s="348">
        <v>5</v>
      </c>
      <c r="H227" s="345">
        <v>35703</v>
      </c>
      <c r="I227" s="525">
        <f t="shared" si="65"/>
        <v>232694.30250000002</v>
      </c>
      <c r="J227" s="86">
        <f t="shared" si="66"/>
        <v>46538.860500000003</v>
      </c>
      <c r="K227" s="4"/>
      <c r="L227" s="4"/>
      <c r="M227" s="4"/>
    </row>
    <row r="228" spans="1:13" ht="15.75" customHeight="1" x14ac:dyDescent="0.25">
      <c r="A228" s="31">
        <v>134</v>
      </c>
      <c r="B228" s="32" t="s">
        <v>367</v>
      </c>
      <c r="C228" s="33" t="s">
        <v>21</v>
      </c>
      <c r="D228" s="1"/>
      <c r="E228" s="346" t="s">
        <v>368</v>
      </c>
      <c r="F228" s="347" t="s">
        <v>26</v>
      </c>
      <c r="G228" s="348">
        <v>5</v>
      </c>
      <c r="H228" s="345">
        <v>40830</v>
      </c>
      <c r="I228" s="525">
        <f t="shared" si="65"/>
        <v>266109.52500000002</v>
      </c>
      <c r="J228" s="86">
        <f t="shared" si="66"/>
        <v>53221.905000000006</v>
      </c>
      <c r="K228" s="4"/>
      <c r="L228" s="4"/>
      <c r="M228" s="4"/>
    </row>
    <row r="229" spans="1:13" ht="15.75" customHeight="1" x14ac:dyDescent="0.25">
      <c r="A229" s="93" t="s">
        <v>33</v>
      </c>
      <c r="B229" s="54"/>
      <c r="C229" s="55"/>
      <c r="D229" s="55"/>
      <c r="E229" s="88"/>
      <c r="F229" s="54"/>
      <c r="G229" s="55"/>
      <c r="H229" s="57"/>
      <c r="I229" s="533">
        <f>SUM(I224:I228)</f>
        <v>1854873.9824999999</v>
      </c>
      <c r="J229" s="3"/>
      <c r="K229" s="4"/>
      <c r="L229" s="4"/>
      <c r="M229" s="4"/>
    </row>
    <row r="230" spans="1:13" ht="15.75" customHeight="1" x14ac:dyDescent="0.25">
      <c r="A230" s="63"/>
      <c r="B230" s="65" t="s">
        <v>369</v>
      </c>
      <c r="C230" s="65"/>
      <c r="D230" s="65"/>
      <c r="E230" s="66" t="s">
        <v>370</v>
      </c>
      <c r="F230" s="65"/>
      <c r="G230" s="65"/>
      <c r="H230" s="68"/>
      <c r="I230" s="534"/>
      <c r="J230" s="92"/>
      <c r="K230" s="4"/>
      <c r="L230" s="4"/>
      <c r="M230" s="4"/>
    </row>
    <row r="231" spans="1:13" ht="15.75" customHeight="1" x14ac:dyDescent="0.25">
      <c r="A231" s="31">
        <v>135</v>
      </c>
      <c r="B231" s="32" t="s">
        <v>371</v>
      </c>
      <c r="C231" s="33" t="s">
        <v>21</v>
      </c>
      <c r="D231" s="1"/>
      <c r="E231" s="34" t="s">
        <v>372</v>
      </c>
      <c r="F231" s="32" t="s">
        <v>26</v>
      </c>
      <c r="G231" s="33">
        <v>10</v>
      </c>
      <c r="H231" s="35">
        <v>45399</v>
      </c>
      <c r="I231" s="525">
        <f t="shared" ref="I231:I234" si="67">+J231*G231</f>
        <v>591775.96500000008</v>
      </c>
      <c r="J231" s="86">
        <f t="shared" ref="J231:J234" si="68">+H231*$J$9</f>
        <v>59177.596500000007</v>
      </c>
      <c r="K231" s="4"/>
      <c r="L231" s="4"/>
      <c r="M231" s="4"/>
    </row>
    <row r="232" spans="1:13" ht="15.75" customHeight="1" x14ac:dyDescent="0.25">
      <c r="A232" s="31">
        <v>137</v>
      </c>
      <c r="B232" s="32" t="s">
        <v>375</v>
      </c>
      <c r="C232" s="33" t="s">
        <v>21</v>
      </c>
      <c r="D232" s="1"/>
      <c r="E232" s="34" t="s">
        <v>376</v>
      </c>
      <c r="F232" s="32" t="s">
        <v>26</v>
      </c>
      <c r="G232" s="33">
        <v>10</v>
      </c>
      <c r="H232" s="35">
        <v>52173</v>
      </c>
      <c r="I232" s="525">
        <f t="shared" si="67"/>
        <v>680075.05499999993</v>
      </c>
      <c r="J232" s="86">
        <f t="shared" si="68"/>
        <v>68007.505499999999</v>
      </c>
      <c r="K232" s="4"/>
      <c r="L232" s="4"/>
      <c r="M232" s="4"/>
    </row>
    <row r="233" spans="1:13" ht="15.75" customHeight="1" x14ac:dyDescent="0.25">
      <c r="A233" s="31">
        <v>136</v>
      </c>
      <c r="B233" s="32" t="s">
        <v>373</v>
      </c>
      <c r="C233" s="33" t="s">
        <v>21</v>
      </c>
      <c r="D233" s="1"/>
      <c r="E233" s="34" t="s">
        <v>374</v>
      </c>
      <c r="F233" s="32" t="s">
        <v>26</v>
      </c>
      <c r="G233" s="33">
        <v>10</v>
      </c>
      <c r="H233" s="35">
        <v>104969</v>
      </c>
      <c r="I233" s="525">
        <f>+J233*G233</f>
        <v>1368270.915</v>
      </c>
      <c r="J233" s="86">
        <f>+H233*$J$9</f>
        <v>136827.09150000001</v>
      </c>
      <c r="K233" s="4"/>
      <c r="L233" s="4"/>
      <c r="M233" s="4"/>
    </row>
    <row r="234" spans="1:13" ht="15.75" customHeight="1" x14ac:dyDescent="0.25">
      <c r="A234" s="31">
        <v>138</v>
      </c>
      <c r="B234" s="32">
        <v>7.12</v>
      </c>
      <c r="C234" s="33" t="s">
        <v>333</v>
      </c>
      <c r="D234" s="1"/>
      <c r="E234" s="34" t="s">
        <v>377</v>
      </c>
      <c r="F234" s="32" t="s">
        <v>23</v>
      </c>
      <c r="G234" s="33">
        <v>10</v>
      </c>
      <c r="H234" s="35">
        <v>84588</v>
      </c>
      <c r="I234" s="525">
        <f t="shared" si="67"/>
        <v>1102604.58</v>
      </c>
      <c r="J234" s="86">
        <f t="shared" si="68"/>
        <v>110260.45800000001</v>
      </c>
      <c r="K234" s="4"/>
      <c r="L234" s="4"/>
      <c r="M234" s="4"/>
    </row>
    <row r="235" spans="1:13" ht="15.75" customHeight="1" x14ac:dyDescent="0.25">
      <c r="A235" s="93" t="s">
        <v>33</v>
      </c>
      <c r="B235" s="54"/>
      <c r="C235" s="55"/>
      <c r="D235" s="55"/>
      <c r="E235" s="88"/>
      <c r="F235" s="54"/>
      <c r="G235" s="55"/>
      <c r="H235" s="57"/>
      <c r="I235" s="533">
        <f>SUM(I231:I234)</f>
        <v>3742726.5150000001</v>
      </c>
      <c r="J235" s="3"/>
      <c r="K235" s="4"/>
      <c r="L235" s="4"/>
      <c r="M235" s="4"/>
    </row>
    <row r="236" spans="1:13" ht="15.75" customHeight="1" x14ac:dyDescent="0.25">
      <c r="A236" s="63"/>
      <c r="B236" s="65" t="s">
        <v>378</v>
      </c>
      <c r="C236" s="65"/>
      <c r="D236" s="65"/>
      <c r="E236" s="66" t="s">
        <v>379</v>
      </c>
      <c r="F236" s="65"/>
      <c r="G236" s="65"/>
      <c r="H236" s="68"/>
      <c r="I236" s="534"/>
      <c r="J236" s="92"/>
      <c r="K236" s="4"/>
      <c r="L236" s="4"/>
      <c r="M236" s="4"/>
    </row>
    <row r="237" spans="1:13" ht="15.75" customHeight="1" x14ac:dyDescent="0.25">
      <c r="A237" s="31">
        <v>196</v>
      </c>
      <c r="B237" s="32" t="s">
        <v>380</v>
      </c>
      <c r="C237" s="33" t="s">
        <v>21</v>
      </c>
      <c r="D237" s="1"/>
      <c r="E237" s="34" t="s">
        <v>381</v>
      </c>
      <c r="F237" s="32" t="s">
        <v>44</v>
      </c>
      <c r="G237" s="33">
        <v>5</v>
      </c>
      <c r="H237" s="35">
        <v>40646</v>
      </c>
      <c r="I237" s="525">
        <f t="shared" ref="I237:I240" si="69">+J237*G237</f>
        <v>264910.30499999999</v>
      </c>
      <c r="J237" s="86">
        <f t="shared" ref="J237:J240" si="70">+H237*$J$9</f>
        <v>52982.061000000002</v>
      </c>
      <c r="K237" s="4"/>
      <c r="L237" s="4"/>
      <c r="M237" s="4"/>
    </row>
    <row r="238" spans="1:13" ht="15.75" customHeight="1" x14ac:dyDescent="0.25">
      <c r="A238" s="31">
        <v>197</v>
      </c>
      <c r="B238" s="32" t="s">
        <v>382</v>
      </c>
      <c r="C238" s="33" t="s">
        <v>21</v>
      </c>
      <c r="D238" s="1"/>
      <c r="E238" s="34" t="s">
        <v>383</v>
      </c>
      <c r="F238" s="32" t="s">
        <v>44</v>
      </c>
      <c r="G238" s="33">
        <v>2</v>
      </c>
      <c r="H238" s="35">
        <v>92860</v>
      </c>
      <c r="I238" s="525">
        <f t="shared" si="69"/>
        <v>242086.02000000002</v>
      </c>
      <c r="J238" s="86">
        <f t="shared" si="70"/>
        <v>121043.01000000001</v>
      </c>
      <c r="K238" s="4"/>
      <c r="L238" s="4"/>
      <c r="M238" s="4"/>
    </row>
    <row r="239" spans="1:13" ht="15.75" customHeight="1" x14ac:dyDescent="0.25">
      <c r="A239" s="31">
        <v>198</v>
      </c>
      <c r="B239" s="32" t="s">
        <v>384</v>
      </c>
      <c r="C239" s="33" t="s">
        <v>21</v>
      </c>
      <c r="D239" s="1"/>
      <c r="E239" s="34" t="s">
        <v>385</v>
      </c>
      <c r="F239" s="32" t="s">
        <v>44</v>
      </c>
      <c r="G239" s="33">
        <v>1</v>
      </c>
      <c r="H239" s="35">
        <v>130605</v>
      </c>
      <c r="I239" s="525">
        <f t="shared" si="69"/>
        <v>170243.61750000002</v>
      </c>
      <c r="J239" s="86">
        <f t="shared" si="70"/>
        <v>170243.61750000002</v>
      </c>
      <c r="K239" s="4"/>
      <c r="L239" s="4"/>
      <c r="M239" s="4"/>
    </row>
    <row r="240" spans="1:13" ht="15.75" customHeight="1" x14ac:dyDescent="0.25">
      <c r="A240" s="31">
        <v>139</v>
      </c>
      <c r="B240" s="96" t="s">
        <v>384</v>
      </c>
      <c r="C240" s="33" t="s">
        <v>156</v>
      </c>
      <c r="D240" s="1"/>
      <c r="E240" s="391" t="s">
        <v>552</v>
      </c>
      <c r="F240" s="347" t="s">
        <v>44</v>
      </c>
      <c r="G240" s="348">
        <v>6</v>
      </c>
      <c r="H240" s="345">
        <f>+'PRESUPUESTO FINAL FDLU'!H240</f>
        <v>1004556</v>
      </c>
      <c r="I240" s="525">
        <f t="shared" si="69"/>
        <v>7856632.4759999998</v>
      </c>
      <c r="J240" s="86">
        <f t="shared" si="70"/>
        <v>1309438.746</v>
      </c>
      <c r="K240" s="4"/>
      <c r="L240" s="4"/>
      <c r="M240" s="4"/>
    </row>
    <row r="241" spans="1:13" ht="15.75" customHeight="1" x14ac:dyDescent="0.25">
      <c r="A241" s="93" t="s">
        <v>33</v>
      </c>
      <c r="B241" s="54"/>
      <c r="C241" s="55"/>
      <c r="D241" s="55"/>
      <c r="E241" s="88"/>
      <c r="F241" s="54"/>
      <c r="G241" s="55"/>
      <c r="H241" s="57"/>
      <c r="I241" s="533">
        <f>SUM(I237:I240)</f>
        <v>8533872.4185000006</v>
      </c>
      <c r="J241" s="3"/>
      <c r="K241" s="4"/>
      <c r="L241" s="4"/>
      <c r="M241" s="4"/>
    </row>
    <row r="242" spans="1:13" ht="15.75" customHeight="1" x14ac:dyDescent="0.25">
      <c r="A242" s="63"/>
      <c r="B242" s="65" t="s">
        <v>386</v>
      </c>
      <c r="C242" s="65"/>
      <c r="D242" s="65"/>
      <c r="E242" s="66" t="s">
        <v>387</v>
      </c>
      <c r="F242" s="65"/>
      <c r="G242" s="65"/>
      <c r="H242" s="68"/>
      <c r="I242" s="534"/>
      <c r="J242" s="92"/>
      <c r="K242" s="4"/>
      <c r="L242" s="4"/>
      <c r="M242" s="4"/>
    </row>
    <row r="243" spans="1:13" ht="18.75" customHeight="1" x14ac:dyDescent="0.25">
      <c r="A243" s="31">
        <v>199</v>
      </c>
      <c r="B243" s="32" t="s">
        <v>388</v>
      </c>
      <c r="C243" s="33" t="s">
        <v>21</v>
      </c>
      <c r="D243" s="1"/>
      <c r="E243" s="34" t="s">
        <v>389</v>
      </c>
      <c r="F243" s="32" t="s">
        <v>26</v>
      </c>
      <c r="G243" s="33">
        <v>5</v>
      </c>
      <c r="H243" s="35">
        <v>51012</v>
      </c>
      <c r="I243" s="525">
        <f t="shared" ref="I243:I246" si="71">+J243*G243</f>
        <v>332470.71000000002</v>
      </c>
      <c r="J243" s="86">
        <f t="shared" ref="J243:J246" si="72">+H243*$J$9</f>
        <v>66494.142000000007</v>
      </c>
      <c r="K243" s="4"/>
      <c r="L243" s="4"/>
      <c r="M243" s="4"/>
    </row>
    <row r="244" spans="1:13" ht="18.75" customHeight="1" x14ac:dyDescent="0.25">
      <c r="A244" s="31">
        <v>200</v>
      </c>
      <c r="B244" s="32" t="s">
        <v>390</v>
      </c>
      <c r="C244" s="33" t="s">
        <v>21</v>
      </c>
      <c r="D244" s="1"/>
      <c r="E244" s="34" t="s">
        <v>391</v>
      </c>
      <c r="F244" s="32" t="s">
        <v>26</v>
      </c>
      <c r="G244" s="33">
        <v>5</v>
      </c>
      <c r="H244" s="35">
        <v>75393</v>
      </c>
      <c r="I244" s="525">
        <f t="shared" si="71"/>
        <v>491373.8775</v>
      </c>
      <c r="J244" s="86">
        <f t="shared" si="72"/>
        <v>98274.775500000003</v>
      </c>
      <c r="K244" s="4"/>
      <c r="L244" s="4"/>
      <c r="M244" s="4"/>
    </row>
    <row r="245" spans="1:13" ht="18.75" customHeight="1" x14ac:dyDescent="0.25">
      <c r="A245" s="31">
        <v>201</v>
      </c>
      <c r="B245" s="32" t="s">
        <v>392</v>
      </c>
      <c r="C245" s="33" t="s">
        <v>21</v>
      </c>
      <c r="D245" s="1"/>
      <c r="E245" s="34" t="s">
        <v>393</v>
      </c>
      <c r="F245" s="32" t="s">
        <v>23</v>
      </c>
      <c r="G245" s="33">
        <v>10</v>
      </c>
      <c r="H245" s="35">
        <v>14550</v>
      </c>
      <c r="I245" s="525">
        <f t="shared" si="71"/>
        <v>189659.25000000003</v>
      </c>
      <c r="J245" s="86">
        <f t="shared" si="72"/>
        <v>18965.925000000003</v>
      </c>
      <c r="K245" s="4"/>
      <c r="L245" s="4"/>
      <c r="M245" s="4"/>
    </row>
    <row r="246" spans="1:13" ht="15.75" customHeight="1" x14ac:dyDescent="0.25">
      <c r="A246" s="31">
        <v>202</v>
      </c>
      <c r="B246" s="32" t="s">
        <v>394</v>
      </c>
      <c r="C246" s="33" t="s">
        <v>333</v>
      </c>
      <c r="D246" s="1"/>
      <c r="E246" s="34" t="s">
        <v>395</v>
      </c>
      <c r="F246" s="32" t="s">
        <v>26</v>
      </c>
      <c r="G246" s="33">
        <v>5</v>
      </c>
      <c r="H246" s="35">
        <v>198500</v>
      </c>
      <c r="I246" s="525">
        <f t="shared" si="71"/>
        <v>1293723.7500000002</v>
      </c>
      <c r="J246" s="86">
        <f t="shared" si="72"/>
        <v>258744.75000000003</v>
      </c>
      <c r="K246" s="4"/>
      <c r="L246" s="4"/>
      <c r="M246" s="4"/>
    </row>
    <row r="247" spans="1:13" ht="15.75" customHeight="1" x14ac:dyDescent="0.25">
      <c r="A247" s="93" t="s">
        <v>33</v>
      </c>
      <c r="B247" s="54"/>
      <c r="C247" s="55"/>
      <c r="D247" s="55"/>
      <c r="E247" s="88"/>
      <c r="F247" s="54"/>
      <c r="G247" s="55"/>
      <c r="H247" s="57"/>
      <c r="I247" s="533">
        <f>SUM(I243:I246)</f>
        <v>2307227.5875000004</v>
      </c>
      <c r="J247" s="4"/>
      <c r="K247" s="4"/>
      <c r="L247" s="4"/>
      <c r="M247" s="4"/>
    </row>
    <row r="248" spans="1:13" ht="15.75" customHeight="1" x14ac:dyDescent="0.25">
      <c r="A248" s="63"/>
      <c r="B248" s="65" t="s">
        <v>396</v>
      </c>
      <c r="C248" s="65"/>
      <c r="D248" s="65"/>
      <c r="E248" s="66" t="s">
        <v>397</v>
      </c>
      <c r="F248" s="65"/>
      <c r="G248" s="65"/>
      <c r="H248" s="68"/>
      <c r="I248" s="534"/>
      <c r="J248" s="92"/>
      <c r="K248" s="4"/>
      <c r="L248" s="4"/>
      <c r="M248" s="4"/>
    </row>
    <row r="249" spans="1:13" ht="33" customHeight="1" x14ac:dyDescent="0.25">
      <c r="A249" s="31">
        <v>140</v>
      </c>
      <c r="B249" s="32" t="s">
        <v>398</v>
      </c>
      <c r="C249" s="33" t="s">
        <v>21</v>
      </c>
      <c r="D249" s="1"/>
      <c r="E249" s="34" t="s">
        <v>399</v>
      </c>
      <c r="F249" s="32" t="s">
        <v>23</v>
      </c>
      <c r="G249" s="33">
        <v>12</v>
      </c>
      <c r="H249" s="35">
        <v>248626</v>
      </c>
      <c r="I249" s="525">
        <f t="shared" ref="I249:I258" si="73">+J249*G249</f>
        <v>3889007.8920000005</v>
      </c>
      <c r="J249" s="86">
        <f t="shared" ref="J249:J258" si="74">+H249*$J$9</f>
        <v>324083.99100000004</v>
      </c>
      <c r="K249" s="4"/>
      <c r="L249" s="4"/>
      <c r="M249" s="4"/>
    </row>
    <row r="250" spans="1:13" ht="45" x14ac:dyDescent="0.25">
      <c r="A250" s="31">
        <v>141</v>
      </c>
      <c r="B250" s="32" t="s">
        <v>400</v>
      </c>
      <c r="C250" s="33" t="s">
        <v>21</v>
      </c>
      <c r="D250" s="1"/>
      <c r="E250" s="84" t="s">
        <v>401</v>
      </c>
      <c r="F250" s="32" t="s">
        <v>23</v>
      </c>
      <c r="G250" s="33">
        <v>12</v>
      </c>
      <c r="H250" s="35">
        <v>272119</v>
      </c>
      <c r="I250" s="525">
        <f t="shared" si="73"/>
        <v>4256485.398</v>
      </c>
      <c r="J250" s="86">
        <f t="shared" si="74"/>
        <v>354707.1165</v>
      </c>
      <c r="K250" s="4"/>
      <c r="L250" s="4"/>
      <c r="M250" s="4"/>
    </row>
    <row r="251" spans="1:13" ht="45" x14ac:dyDescent="0.25">
      <c r="A251" s="31">
        <v>142</v>
      </c>
      <c r="B251" s="32" t="s">
        <v>402</v>
      </c>
      <c r="C251" s="33" t="s">
        <v>21</v>
      </c>
      <c r="D251" s="1"/>
      <c r="E251" s="84" t="s">
        <v>403</v>
      </c>
      <c r="F251" s="32" t="s">
        <v>23</v>
      </c>
      <c r="G251" s="33">
        <v>24</v>
      </c>
      <c r="H251" s="35">
        <v>328855</v>
      </c>
      <c r="I251" s="525">
        <f t="shared" si="73"/>
        <v>10287899.82</v>
      </c>
      <c r="J251" s="86">
        <f t="shared" si="74"/>
        <v>428662.49250000005</v>
      </c>
      <c r="K251" s="4"/>
      <c r="L251" s="4"/>
      <c r="M251" s="4"/>
    </row>
    <row r="252" spans="1:13" ht="45" x14ac:dyDescent="0.25">
      <c r="A252" s="31">
        <v>143</v>
      </c>
      <c r="B252" s="32" t="s">
        <v>404</v>
      </c>
      <c r="C252" s="33" t="s">
        <v>21</v>
      </c>
      <c r="D252" s="1"/>
      <c r="E252" s="84" t="s">
        <v>405</v>
      </c>
      <c r="F252" s="32" t="s">
        <v>23</v>
      </c>
      <c r="G252" s="33">
        <v>12</v>
      </c>
      <c r="H252" s="35">
        <v>448368</v>
      </c>
      <c r="I252" s="525">
        <f t="shared" si="73"/>
        <v>7013372.256000001</v>
      </c>
      <c r="J252" s="86">
        <f t="shared" si="74"/>
        <v>584447.68800000008</v>
      </c>
      <c r="K252" s="4"/>
      <c r="L252" s="4"/>
      <c r="M252" s="4"/>
    </row>
    <row r="253" spans="1:13" ht="45" x14ac:dyDescent="0.25">
      <c r="A253" s="31">
        <v>144</v>
      </c>
      <c r="B253" s="32" t="s">
        <v>406</v>
      </c>
      <c r="C253" s="33" t="s">
        <v>21</v>
      </c>
      <c r="D253" s="1"/>
      <c r="E253" s="34" t="s">
        <v>407</v>
      </c>
      <c r="F253" s="32" t="s">
        <v>23</v>
      </c>
      <c r="G253" s="33">
        <v>20</v>
      </c>
      <c r="H253" s="35">
        <v>247804</v>
      </c>
      <c r="I253" s="525">
        <f t="shared" si="73"/>
        <v>6460250.2800000003</v>
      </c>
      <c r="J253" s="86">
        <f t="shared" si="74"/>
        <v>323012.51400000002</v>
      </c>
      <c r="K253" s="4"/>
      <c r="L253" s="4"/>
      <c r="M253" s="4"/>
    </row>
    <row r="254" spans="1:13" ht="45" x14ac:dyDescent="0.25">
      <c r="A254" s="31">
        <v>145</v>
      </c>
      <c r="B254" s="32" t="s">
        <v>408</v>
      </c>
      <c r="C254" s="33" t="s">
        <v>21</v>
      </c>
      <c r="D254" s="1"/>
      <c r="E254" s="34" t="s">
        <v>409</v>
      </c>
      <c r="F254" s="32" t="s">
        <v>23</v>
      </c>
      <c r="G254" s="33">
        <v>20</v>
      </c>
      <c r="H254" s="35">
        <v>176401</v>
      </c>
      <c r="I254" s="525">
        <f t="shared" si="73"/>
        <v>4598774.07</v>
      </c>
      <c r="J254" s="86">
        <f t="shared" si="74"/>
        <v>229938.70350000003</v>
      </c>
      <c r="K254" s="4"/>
      <c r="L254" s="4"/>
      <c r="M254" s="4"/>
    </row>
    <row r="255" spans="1:13" ht="45" x14ac:dyDescent="0.25">
      <c r="A255" s="31">
        <v>146</v>
      </c>
      <c r="B255" s="32" t="s">
        <v>410</v>
      </c>
      <c r="C255" s="33" t="s">
        <v>21</v>
      </c>
      <c r="D255" s="1"/>
      <c r="E255" s="84" t="s">
        <v>411</v>
      </c>
      <c r="F255" s="32" t="s">
        <v>44</v>
      </c>
      <c r="G255" s="33">
        <v>3</v>
      </c>
      <c r="H255" s="35">
        <v>237042</v>
      </c>
      <c r="I255" s="525">
        <f t="shared" si="73"/>
        <v>926952.74100000015</v>
      </c>
      <c r="J255" s="86">
        <f t="shared" si="74"/>
        <v>308984.24700000003</v>
      </c>
      <c r="K255" s="4"/>
      <c r="L255" s="4"/>
      <c r="M255" s="4"/>
    </row>
    <row r="256" spans="1:13" ht="15.75" customHeight="1" x14ac:dyDescent="0.25">
      <c r="A256" s="31">
        <v>147</v>
      </c>
      <c r="B256" s="32" t="s">
        <v>412</v>
      </c>
      <c r="C256" s="33" t="s">
        <v>21</v>
      </c>
      <c r="D256" s="1"/>
      <c r="E256" s="34" t="s">
        <v>413</v>
      </c>
      <c r="F256" s="32" t="s">
        <v>26</v>
      </c>
      <c r="G256" s="33">
        <v>10</v>
      </c>
      <c r="H256" s="35">
        <v>390280</v>
      </c>
      <c r="I256" s="525">
        <f t="shared" si="73"/>
        <v>5087299.8000000007</v>
      </c>
      <c r="J256" s="86">
        <f t="shared" si="74"/>
        <v>508729.98000000004</v>
      </c>
      <c r="K256" s="4"/>
      <c r="L256" s="4"/>
      <c r="M256" s="4"/>
    </row>
    <row r="257" spans="1:13" ht="45" x14ac:dyDescent="0.25">
      <c r="A257" s="31">
        <v>148</v>
      </c>
      <c r="B257" s="32" t="s">
        <v>414</v>
      </c>
      <c r="C257" s="33" t="s">
        <v>21</v>
      </c>
      <c r="D257" s="1"/>
      <c r="E257" s="84" t="s">
        <v>415</v>
      </c>
      <c r="F257" s="32" t="s">
        <v>26</v>
      </c>
      <c r="G257" s="33">
        <v>15</v>
      </c>
      <c r="H257" s="35">
        <v>231634</v>
      </c>
      <c r="I257" s="525">
        <f t="shared" si="73"/>
        <v>4529023.7850000011</v>
      </c>
      <c r="J257" s="86">
        <f t="shared" si="74"/>
        <v>301934.91900000005</v>
      </c>
      <c r="K257" s="4"/>
      <c r="L257" s="4"/>
      <c r="M257" s="4"/>
    </row>
    <row r="258" spans="1:13" ht="45" x14ac:dyDescent="0.25">
      <c r="A258" s="31">
        <v>149</v>
      </c>
      <c r="B258" s="96" t="s">
        <v>412</v>
      </c>
      <c r="C258" s="33" t="s">
        <v>21</v>
      </c>
      <c r="D258" s="1"/>
      <c r="E258" s="84" t="s">
        <v>416</v>
      </c>
      <c r="F258" s="32" t="s">
        <v>44</v>
      </c>
      <c r="G258" s="33">
        <v>15</v>
      </c>
      <c r="H258" s="35">
        <v>1271142</v>
      </c>
      <c r="I258" s="525">
        <f t="shared" si="73"/>
        <v>24854003.955000002</v>
      </c>
      <c r="J258" s="86">
        <f t="shared" si="74"/>
        <v>1656933.5970000001</v>
      </c>
      <c r="K258" s="4"/>
      <c r="L258" s="4"/>
      <c r="M258" s="4"/>
    </row>
    <row r="259" spans="1:13" ht="15.75" customHeight="1" x14ac:dyDescent="0.25">
      <c r="A259" s="93" t="s">
        <v>33</v>
      </c>
      <c r="B259" s="54"/>
      <c r="C259" s="55"/>
      <c r="D259" s="55"/>
      <c r="E259" s="88"/>
      <c r="F259" s="54"/>
      <c r="G259" s="55"/>
      <c r="H259" s="57"/>
      <c r="I259" s="533">
        <f>SUM(I249:I258)</f>
        <v>71903069.997000009</v>
      </c>
      <c r="J259" s="4"/>
      <c r="K259" s="4"/>
      <c r="L259" s="4"/>
      <c r="M259" s="4"/>
    </row>
    <row r="260" spans="1:13" ht="15.75" customHeight="1" x14ac:dyDescent="0.25">
      <c r="A260" s="63"/>
      <c r="B260" s="65" t="s">
        <v>417</v>
      </c>
      <c r="C260" s="65"/>
      <c r="D260" s="65"/>
      <c r="E260" s="66" t="s">
        <v>418</v>
      </c>
      <c r="F260" s="65"/>
      <c r="G260" s="65"/>
      <c r="H260" s="68"/>
      <c r="I260" s="534"/>
      <c r="J260" s="92"/>
      <c r="K260" s="4"/>
      <c r="L260" s="4"/>
      <c r="M260" s="4"/>
    </row>
    <row r="261" spans="1:13" ht="15.75" customHeight="1" x14ac:dyDescent="0.25">
      <c r="A261" s="31">
        <v>220</v>
      </c>
      <c r="B261" s="32" t="s">
        <v>419</v>
      </c>
      <c r="C261" s="33" t="s">
        <v>21</v>
      </c>
      <c r="D261" s="1"/>
      <c r="E261" s="34" t="s">
        <v>420</v>
      </c>
      <c r="F261" s="32" t="s">
        <v>26</v>
      </c>
      <c r="G261" s="33">
        <v>30</v>
      </c>
      <c r="H261" s="35">
        <v>11589</v>
      </c>
      <c r="I261" s="525">
        <f t="shared" ref="I261:I263" si="75">+J261*G261</f>
        <v>453187.84500000003</v>
      </c>
      <c r="J261" s="86">
        <f t="shared" ref="J261:J263" si="76">+H261*$J$9</f>
        <v>15106.261500000001</v>
      </c>
      <c r="K261" s="4"/>
      <c r="L261" s="4"/>
      <c r="M261" s="4"/>
    </row>
    <row r="262" spans="1:13" ht="15.75" customHeight="1" x14ac:dyDescent="0.25">
      <c r="A262" s="31">
        <v>150</v>
      </c>
      <c r="B262" s="32" t="s">
        <v>421</v>
      </c>
      <c r="C262" s="33" t="s">
        <v>21</v>
      </c>
      <c r="D262" s="1"/>
      <c r="E262" s="34" t="s">
        <v>422</v>
      </c>
      <c r="F262" s="32" t="s">
        <v>23</v>
      </c>
      <c r="G262" s="33">
        <f>+G254*3</f>
        <v>60</v>
      </c>
      <c r="H262" s="35">
        <v>5848</v>
      </c>
      <c r="I262" s="525">
        <f t="shared" si="75"/>
        <v>457372.08</v>
      </c>
      <c r="J262" s="86">
        <f t="shared" si="76"/>
        <v>7622.8680000000004</v>
      </c>
      <c r="K262" s="4"/>
      <c r="L262" s="4"/>
      <c r="M262" s="4"/>
    </row>
    <row r="263" spans="1:13" ht="15.75" customHeight="1" x14ac:dyDescent="0.25">
      <c r="A263" s="31">
        <v>151</v>
      </c>
      <c r="B263" s="32" t="s">
        <v>423</v>
      </c>
      <c r="C263" s="33" t="s">
        <v>21</v>
      </c>
      <c r="D263" s="1"/>
      <c r="E263" s="34" t="s">
        <v>424</v>
      </c>
      <c r="F263" s="32" t="s">
        <v>26</v>
      </c>
      <c r="G263" s="33">
        <v>20</v>
      </c>
      <c r="H263" s="35">
        <v>19025</v>
      </c>
      <c r="I263" s="525">
        <f t="shared" si="75"/>
        <v>495981.75</v>
      </c>
      <c r="J263" s="86">
        <f t="shared" si="76"/>
        <v>24799.087500000001</v>
      </c>
      <c r="K263" s="4"/>
      <c r="L263" s="4"/>
      <c r="M263" s="4"/>
    </row>
    <row r="264" spans="1:13" ht="15.75" customHeight="1" x14ac:dyDescent="0.25">
      <c r="A264" s="93" t="s">
        <v>33</v>
      </c>
      <c r="B264" s="54"/>
      <c r="C264" s="55"/>
      <c r="D264" s="55"/>
      <c r="E264" s="88"/>
      <c r="F264" s="54"/>
      <c r="G264" s="55"/>
      <c r="H264" s="57"/>
      <c r="I264" s="533">
        <f>SUM(I261:I263)</f>
        <v>1406541.675</v>
      </c>
      <c r="J264" s="4"/>
      <c r="K264" s="4"/>
      <c r="L264" s="4"/>
      <c r="M264" s="4"/>
    </row>
    <row r="265" spans="1:13" ht="15.75" customHeight="1" x14ac:dyDescent="0.25">
      <c r="A265" s="63"/>
      <c r="B265" s="65" t="s">
        <v>425</v>
      </c>
      <c r="C265" s="65"/>
      <c r="D265" s="65"/>
      <c r="E265" s="66" t="s">
        <v>426</v>
      </c>
      <c r="F265" s="65"/>
      <c r="G265" s="65"/>
      <c r="H265" s="68"/>
      <c r="I265" s="534"/>
      <c r="J265" s="92"/>
      <c r="K265" s="4"/>
      <c r="L265" s="4"/>
      <c r="M265" s="4"/>
    </row>
    <row r="266" spans="1:13" ht="15.75" customHeight="1" x14ac:dyDescent="0.25">
      <c r="A266" s="31">
        <v>152</v>
      </c>
      <c r="B266" s="32" t="s">
        <v>427</v>
      </c>
      <c r="C266" s="33" t="s">
        <v>21</v>
      </c>
      <c r="D266" s="1"/>
      <c r="E266" s="34" t="s">
        <v>428</v>
      </c>
      <c r="F266" s="32" t="s">
        <v>26</v>
      </c>
      <c r="G266" s="33">
        <v>20</v>
      </c>
      <c r="H266" s="35">
        <v>799537</v>
      </c>
      <c r="I266" s="525">
        <f t="shared" ref="I266:I268" si="77">+J266*G266</f>
        <v>20843929.590000004</v>
      </c>
      <c r="J266" s="86">
        <f t="shared" ref="J266:J268" si="78">+H266*$J$9</f>
        <v>1042196.4795000001</v>
      </c>
      <c r="K266" s="4"/>
      <c r="L266" s="4"/>
      <c r="M266" s="4"/>
    </row>
    <row r="267" spans="1:13" ht="15.75" customHeight="1" x14ac:dyDescent="0.25">
      <c r="A267" s="31">
        <v>153</v>
      </c>
      <c r="B267" s="32" t="s">
        <v>429</v>
      </c>
      <c r="C267" s="33" t="s">
        <v>21</v>
      </c>
      <c r="D267" s="1"/>
      <c r="E267" s="34" t="s">
        <v>430</v>
      </c>
      <c r="F267" s="32" t="s">
        <v>44</v>
      </c>
      <c r="G267" s="33">
        <v>1</v>
      </c>
      <c r="H267" s="35">
        <v>787233</v>
      </c>
      <c r="I267" s="525">
        <f t="shared" si="77"/>
        <v>1026158.2155</v>
      </c>
      <c r="J267" s="86">
        <f t="shared" si="78"/>
        <v>1026158.2155</v>
      </c>
      <c r="K267" s="4"/>
      <c r="L267" s="4"/>
      <c r="M267" s="4"/>
    </row>
    <row r="268" spans="1:13" ht="15.75" customHeight="1" x14ac:dyDescent="0.25">
      <c r="A268" s="31">
        <v>154</v>
      </c>
      <c r="B268" s="32" t="s">
        <v>431</v>
      </c>
      <c r="C268" s="33" t="s">
        <v>21</v>
      </c>
      <c r="D268" s="1"/>
      <c r="E268" s="34" t="s">
        <v>432</v>
      </c>
      <c r="F268" s="32" t="s">
        <v>44</v>
      </c>
      <c r="G268" s="33">
        <v>1</v>
      </c>
      <c r="H268" s="35">
        <v>434696</v>
      </c>
      <c r="I268" s="525">
        <f t="shared" si="77"/>
        <v>566626.23600000003</v>
      </c>
      <c r="J268" s="86">
        <f t="shared" si="78"/>
        <v>566626.23600000003</v>
      </c>
      <c r="K268" s="4"/>
      <c r="L268" s="4"/>
      <c r="M268" s="4"/>
    </row>
    <row r="269" spans="1:13" ht="15.75" customHeight="1" x14ac:dyDescent="0.25">
      <c r="A269" s="93" t="s">
        <v>33</v>
      </c>
      <c r="B269" s="54"/>
      <c r="C269" s="55"/>
      <c r="D269" s="55"/>
      <c r="E269" s="88"/>
      <c r="F269" s="54"/>
      <c r="G269" s="55"/>
      <c r="H269" s="57"/>
      <c r="I269" s="533">
        <f>SUM(I266:I268)</f>
        <v>22436714.041500006</v>
      </c>
      <c r="J269" s="4"/>
      <c r="K269" s="4"/>
      <c r="L269" s="4"/>
      <c r="M269" s="4"/>
    </row>
    <row r="270" spans="1:13" ht="15.75" customHeight="1" x14ac:dyDescent="0.25">
      <c r="A270" s="63"/>
      <c r="B270" s="65" t="s">
        <v>433</v>
      </c>
      <c r="C270" s="65"/>
      <c r="D270" s="65"/>
      <c r="E270" s="66" t="s">
        <v>434</v>
      </c>
      <c r="F270" s="65"/>
      <c r="G270" s="65"/>
      <c r="H270" s="68"/>
      <c r="I270" s="534"/>
      <c r="J270" s="92"/>
      <c r="K270" s="4"/>
      <c r="L270" s="4"/>
      <c r="M270" s="4"/>
    </row>
    <row r="271" spans="1:13" ht="15.75" customHeight="1" x14ac:dyDescent="0.25">
      <c r="A271" s="31">
        <v>155</v>
      </c>
      <c r="B271" s="32" t="s">
        <v>435</v>
      </c>
      <c r="C271" s="33" t="s">
        <v>21</v>
      </c>
      <c r="D271" s="1"/>
      <c r="E271" s="34" t="s">
        <v>436</v>
      </c>
      <c r="F271" s="32" t="s">
        <v>23</v>
      </c>
      <c r="G271" s="33">
        <v>50</v>
      </c>
      <c r="H271" s="35">
        <v>68168</v>
      </c>
      <c r="I271" s="525">
        <f t="shared" ref="I271:I274" si="79">+J271*G271</f>
        <v>4442849.4000000004</v>
      </c>
      <c r="J271" s="86">
        <f t="shared" ref="J271:J274" si="80">+H271*$J$9</f>
        <v>88856.988000000012</v>
      </c>
      <c r="K271" s="4"/>
      <c r="L271" s="4"/>
      <c r="M271" s="4"/>
    </row>
    <row r="272" spans="1:13" ht="15.75" customHeight="1" x14ac:dyDescent="0.25">
      <c r="A272" s="31">
        <v>156</v>
      </c>
      <c r="B272" s="32" t="s">
        <v>437</v>
      </c>
      <c r="C272" s="33" t="s">
        <v>21</v>
      </c>
      <c r="D272" s="1"/>
      <c r="E272" s="34" t="s">
        <v>438</v>
      </c>
      <c r="F272" s="32" t="s">
        <v>23</v>
      </c>
      <c r="G272" s="33">
        <v>10</v>
      </c>
      <c r="H272" s="35">
        <v>4200</v>
      </c>
      <c r="I272" s="525">
        <f t="shared" si="79"/>
        <v>54747.000000000007</v>
      </c>
      <c r="J272" s="86">
        <f t="shared" si="80"/>
        <v>5474.7000000000007</v>
      </c>
      <c r="K272" s="4"/>
      <c r="L272" s="4"/>
      <c r="M272" s="4"/>
    </row>
    <row r="273" spans="1:13" ht="30" customHeight="1" x14ac:dyDescent="0.25">
      <c r="A273" s="31">
        <v>157</v>
      </c>
      <c r="B273" s="32" t="s">
        <v>439</v>
      </c>
      <c r="C273" s="33" t="s">
        <v>21</v>
      </c>
      <c r="D273" s="1"/>
      <c r="E273" s="84" t="s">
        <v>440</v>
      </c>
      <c r="F273" s="32" t="s">
        <v>26</v>
      </c>
      <c r="G273" s="33">
        <v>20</v>
      </c>
      <c r="H273" s="35">
        <v>149789</v>
      </c>
      <c r="I273" s="525">
        <f t="shared" si="79"/>
        <v>3904999.23</v>
      </c>
      <c r="J273" s="86">
        <f t="shared" si="80"/>
        <v>195249.9615</v>
      </c>
      <c r="K273" s="4"/>
      <c r="L273" s="4"/>
      <c r="M273" s="4"/>
    </row>
    <row r="274" spans="1:13" ht="15.75" customHeight="1" x14ac:dyDescent="0.25">
      <c r="A274" s="71">
        <v>158</v>
      </c>
      <c r="B274" s="32" t="s">
        <v>441</v>
      </c>
      <c r="C274" s="33" t="s">
        <v>21</v>
      </c>
      <c r="D274" s="1"/>
      <c r="E274" s="34" t="s">
        <v>442</v>
      </c>
      <c r="F274" s="32" t="s">
        <v>44</v>
      </c>
      <c r="G274" s="33">
        <v>1</v>
      </c>
      <c r="H274" s="35">
        <v>364475</v>
      </c>
      <c r="I274" s="525">
        <f t="shared" si="79"/>
        <v>475093.16250000003</v>
      </c>
      <c r="J274" s="86">
        <f t="shared" si="80"/>
        <v>475093.16250000003</v>
      </c>
      <c r="K274" s="4"/>
      <c r="L274" s="4"/>
      <c r="M274" s="4"/>
    </row>
    <row r="275" spans="1:13" ht="15.75" customHeight="1" x14ac:dyDescent="0.25">
      <c r="A275" s="93" t="s">
        <v>33</v>
      </c>
      <c r="B275" s="54"/>
      <c r="C275" s="55"/>
      <c r="D275" s="55"/>
      <c r="E275" s="88"/>
      <c r="F275" s="54"/>
      <c r="G275" s="55"/>
      <c r="H275" s="57"/>
      <c r="I275" s="533">
        <f>SUM(I271:I274)</f>
        <v>8877688.7925000004</v>
      </c>
      <c r="J275" s="4"/>
      <c r="K275" s="4"/>
      <c r="L275" s="4"/>
      <c r="M275" s="4"/>
    </row>
    <row r="276" spans="1:13" ht="15.75" customHeight="1" x14ac:dyDescent="0.25">
      <c r="A276" s="63"/>
      <c r="B276" s="65"/>
      <c r="C276" s="65"/>
      <c r="D276" s="65"/>
      <c r="E276" s="66" t="s">
        <v>443</v>
      </c>
      <c r="F276" s="65"/>
      <c r="G276" s="65"/>
      <c r="H276" s="68"/>
      <c r="I276" s="534"/>
      <c r="J276" s="92"/>
      <c r="K276" s="4"/>
      <c r="L276" s="4"/>
      <c r="M276" s="4"/>
    </row>
    <row r="277" spans="1:13" ht="15.75" customHeight="1" x14ac:dyDescent="0.25">
      <c r="A277" s="31">
        <v>159</v>
      </c>
      <c r="B277" s="329">
        <v>6404</v>
      </c>
      <c r="C277" s="96" t="s">
        <v>444</v>
      </c>
      <c r="D277" s="1"/>
      <c r="E277" s="84" t="s">
        <v>445</v>
      </c>
      <c r="F277" s="96" t="s">
        <v>44</v>
      </c>
      <c r="G277" s="33">
        <v>1</v>
      </c>
      <c r="H277" s="35">
        <v>115430</v>
      </c>
      <c r="I277" s="525">
        <f t="shared" ref="I277:I293" si="81">+J277*G277</f>
        <v>150463.005</v>
      </c>
      <c r="J277" s="86">
        <f t="shared" ref="J277:J293" si="82">+H277*$J$9</f>
        <v>150463.005</v>
      </c>
      <c r="K277" s="4"/>
      <c r="L277" s="4"/>
      <c r="M277" s="4"/>
    </row>
    <row r="278" spans="1:13" ht="15.75" customHeight="1" x14ac:dyDescent="0.25">
      <c r="A278" s="31">
        <v>160</v>
      </c>
      <c r="B278" s="329">
        <v>6405</v>
      </c>
      <c r="C278" s="96" t="s">
        <v>444</v>
      </c>
      <c r="D278" s="1"/>
      <c r="E278" s="84" t="s">
        <v>446</v>
      </c>
      <c r="F278" s="96" t="s">
        <v>44</v>
      </c>
      <c r="G278" s="33">
        <v>1</v>
      </c>
      <c r="H278" s="35">
        <v>198057</v>
      </c>
      <c r="I278" s="525">
        <f t="shared" si="81"/>
        <v>258167.29950000002</v>
      </c>
      <c r="J278" s="86">
        <f t="shared" si="82"/>
        <v>258167.29950000002</v>
      </c>
      <c r="K278" s="4"/>
      <c r="L278" s="4"/>
      <c r="M278" s="4"/>
    </row>
    <row r="279" spans="1:13" ht="15.75" customHeight="1" x14ac:dyDescent="0.25">
      <c r="A279" s="31">
        <v>161</v>
      </c>
      <c r="B279" s="329">
        <v>6406</v>
      </c>
      <c r="C279" s="96" t="s">
        <v>444</v>
      </c>
      <c r="D279" s="1"/>
      <c r="E279" s="84" t="s">
        <v>447</v>
      </c>
      <c r="F279" s="96" t="s">
        <v>44</v>
      </c>
      <c r="G279" s="33">
        <v>1</v>
      </c>
      <c r="H279" s="35">
        <v>262523</v>
      </c>
      <c r="I279" s="525">
        <f t="shared" si="81"/>
        <v>342198.73050000001</v>
      </c>
      <c r="J279" s="86">
        <f t="shared" si="82"/>
        <v>342198.73050000001</v>
      </c>
      <c r="K279" s="4"/>
      <c r="L279" s="4"/>
      <c r="M279" s="4"/>
    </row>
    <row r="280" spans="1:13" ht="15.75" customHeight="1" x14ac:dyDescent="0.25">
      <c r="A280" s="31">
        <v>162</v>
      </c>
      <c r="B280" s="329">
        <v>6407</v>
      </c>
      <c r="C280" s="96" t="s">
        <v>444</v>
      </c>
      <c r="D280" s="1"/>
      <c r="E280" s="84" t="s">
        <v>448</v>
      </c>
      <c r="F280" s="96" t="s">
        <v>44</v>
      </c>
      <c r="G280" s="33">
        <v>1</v>
      </c>
      <c r="H280" s="35">
        <v>529550</v>
      </c>
      <c r="I280" s="525">
        <f t="shared" si="81"/>
        <v>690268.42500000005</v>
      </c>
      <c r="J280" s="86">
        <f t="shared" si="82"/>
        <v>690268.42500000005</v>
      </c>
      <c r="K280" s="4"/>
      <c r="L280" s="4"/>
      <c r="M280" s="4"/>
    </row>
    <row r="281" spans="1:13" ht="15.75" customHeight="1" x14ac:dyDescent="0.25">
      <c r="A281" s="31">
        <v>163</v>
      </c>
      <c r="B281" s="329">
        <v>6416</v>
      </c>
      <c r="C281" s="96" t="s">
        <v>444</v>
      </c>
      <c r="D281" s="1"/>
      <c r="E281" s="84" t="s">
        <v>449</v>
      </c>
      <c r="F281" s="96" t="s">
        <v>44</v>
      </c>
      <c r="G281" s="33">
        <v>1</v>
      </c>
      <c r="H281" s="35">
        <v>134470</v>
      </c>
      <c r="I281" s="525">
        <f t="shared" si="81"/>
        <v>175281.64500000002</v>
      </c>
      <c r="J281" s="86">
        <f t="shared" si="82"/>
        <v>175281.64500000002</v>
      </c>
      <c r="K281" s="4"/>
      <c r="L281" s="4"/>
      <c r="M281" s="4"/>
    </row>
    <row r="282" spans="1:13" ht="15.75" customHeight="1" x14ac:dyDescent="0.25">
      <c r="A282" s="31">
        <v>164</v>
      </c>
      <c r="B282" s="329">
        <v>6417</v>
      </c>
      <c r="C282" s="96" t="s">
        <v>444</v>
      </c>
      <c r="D282" s="1"/>
      <c r="E282" s="84" t="s">
        <v>450</v>
      </c>
      <c r="F282" s="96" t="s">
        <v>44</v>
      </c>
      <c r="G282" s="33">
        <v>1</v>
      </c>
      <c r="H282" s="35">
        <v>177305</v>
      </c>
      <c r="I282" s="525">
        <f t="shared" si="81"/>
        <v>231117.0675</v>
      </c>
      <c r="J282" s="86">
        <f t="shared" si="82"/>
        <v>231117.0675</v>
      </c>
      <c r="K282" s="4"/>
      <c r="L282" s="4"/>
      <c r="M282" s="4"/>
    </row>
    <row r="283" spans="1:13" ht="15.75" customHeight="1" x14ac:dyDescent="0.25">
      <c r="A283" s="31">
        <v>165</v>
      </c>
      <c r="B283" s="329">
        <v>6418</v>
      </c>
      <c r="C283" s="96" t="s">
        <v>444</v>
      </c>
      <c r="D283" s="1"/>
      <c r="E283" s="84" t="s">
        <v>451</v>
      </c>
      <c r="F283" s="96" t="s">
        <v>44</v>
      </c>
      <c r="G283" s="33">
        <v>1</v>
      </c>
      <c r="H283" s="35">
        <v>232596</v>
      </c>
      <c r="I283" s="525">
        <f t="shared" si="81"/>
        <v>303188.886</v>
      </c>
      <c r="J283" s="86">
        <f t="shared" si="82"/>
        <v>303188.886</v>
      </c>
      <c r="K283" s="4"/>
      <c r="L283" s="4"/>
      <c r="M283" s="4"/>
    </row>
    <row r="284" spans="1:13" ht="15.75" customHeight="1" x14ac:dyDescent="0.25">
      <c r="A284" s="31">
        <v>166</v>
      </c>
      <c r="B284" s="329">
        <v>6645</v>
      </c>
      <c r="C284" s="96" t="s">
        <v>444</v>
      </c>
      <c r="D284" s="1"/>
      <c r="E284" s="84" t="s">
        <v>452</v>
      </c>
      <c r="F284" s="96" t="s">
        <v>44</v>
      </c>
      <c r="G284" s="545">
        <v>3</v>
      </c>
      <c r="H284" s="35">
        <v>95971</v>
      </c>
      <c r="I284" s="525">
        <f t="shared" si="81"/>
        <v>375294.59550000005</v>
      </c>
      <c r="J284" s="86">
        <f t="shared" si="82"/>
        <v>125098.19850000001</v>
      </c>
      <c r="K284" s="4"/>
      <c r="L284" s="4"/>
      <c r="M284" s="4"/>
    </row>
    <row r="285" spans="1:13" ht="15.75" customHeight="1" x14ac:dyDescent="0.25">
      <c r="A285" s="31">
        <v>167</v>
      </c>
      <c r="B285" s="329">
        <v>6646</v>
      </c>
      <c r="C285" s="96" t="s">
        <v>444</v>
      </c>
      <c r="D285" s="1"/>
      <c r="E285" s="84" t="s">
        <v>453</v>
      </c>
      <c r="F285" s="96" t="s">
        <v>44</v>
      </c>
      <c r="G285" s="33">
        <v>1</v>
      </c>
      <c r="H285" s="35">
        <v>133412</v>
      </c>
      <c r="I285" s="525">
        <f t="shared" si="81"/>
        <v>173902.54200000002</v>
      </c>
      <c r="J285" s="86">
        <f t="shared" si="82"/>
        <v>173902.54200000002</v>
      </c>
      <c r="K285" s="4"/>
      <c r="L285" s="4"/>
      <c r="M285" s="4"/>
    </row>
    <row r="286" spans="1:13" ht="15.75" customHeight="1" x14ac:dyDescent="0.25">
      <c r="A286" s="31">
        <v>168</v>
      </c>
      <c r="B286" s="329">
        <v>6650</v>
      </c>
      <c r="C286" s="96" t="s">
        <v>444</v>
      </c>
      <c r="D286" s="1"/>
      <c r="E286" s="84" t="s">
        <v>454</v>
      </c>
      <c r="F286" s="96" t="s">
        <v>44</v>
      </c>
      <c r="G286" s="33">
        <v>1</v>
      </c>
      <c r="H286" s="35">
        <v>85021</v>
      </c>
      <c r="I286" s="525">
        <f t="shared" si="81"/>
        <v>110824.8735</v>
      </c>
      <c r="J286" s="86">
        <f t="shared" si="82"/>
        <v>110824.8735</v>
      </c>
      <c r="K286" s="4"/>
      <c r="L286" s="4"/>
      <c r="M286" s="4"/>
    </row>
    <row r="287" spans="1:13" ht="15.75" customHeight="1" x14ac:dyDescent="0.25">
      <c r="A287" s="31">
        <v>169</v>
      </c>
      <c r="B287" s="329">
        <v>6649</v>
      </c>
      <c r="C287" s="96" t="s">
        <v>444</v>
      </c>
      <c r="D287" s="1"/>
      <c r="E287" s="84" t="s">
        <v>455</v>
      </c>
      <c r="F287" s="96" t="s">
        <v>44</v>
      </c>
      <c r="G287" s="33">
        <v>1</v>
      </c>
      <c r="H287" s="35">
        <v>110061</v>
      </c>
      <c r="I287" s="525">
        <f t="shared" si="81"/>
        <v>143464.5135</v>
      </c>
      <c r="J287" s="86">
        <f t="shared" si="82"/>
        <v>143464.5135</v>
      </c>
      <c r="K287" s="4"/>
      <c r="L287" s="4"/>
      <c r="M287" s="4"/>
    </row>
    <row r="288" spans="1:13" ht="15.75" customHeight="1" x14ac:dyDescent="0.25">
      <c r="A288" s="31">
        <v>170</v>
      </c>
      <c r="B288" s="329">
        <v>6651</v>
      </c>
      <c r="C288" s="96" t="s">
        <v>444</v>
      </c>
      <c r="D288" s="1"/>
      <c r="E288" s="84" t="s">
        <v>456</v>
      </c>
      <c r="F288" s="96" t="s">
        <v>44</v>
      </c>
      <c r="G288" s="33">
        <v>1</v>
      </c>
      <c r="H288" s="35">
        <v>126615</v>
      </c>
      <c r="I288" s="525">
        <f t="shared" si="81"/>
        <v>165042.65250000003</v>
      </c>
      <c r="J288" s="86">
        <f t="shared" si="82"/>
        <v>165042.65250000003</v>
      </c>
      <c r="K288" s="4"/>
      <c r="L288" s="4"/>
      <c r="M288" s="4"/>
    </row>
    <row r="289" spans="1:13" ht="15.75" customHeight="1" x14ac:dyDescent="0.25">
      <c r="A289" s="31">
        <v>171</v>
      </c>
      <c r="B289" s="329">
        <v>6652</v>
      </c>
      <c r="C289" s="96" t="s">
        <v>444</v>
      </c>
      <c r="D289" s="1"/>
      <c r="E289" s="84" t="s">
        <v>457</v>
      </c>
      <c r="F289" s="96" t="s">
        <v>44</v>
      </c>
      <c r="G289" s="33">
        <v>1</v>
      </c>
      <c r="H289" s="35">
        <v>167099</v>
      </c>
      <c r="I289" s="525">
        <f t="shared" si="81"/>
        <v>217813.54650000003</v>
      </c>
      <c r="J289" s="86">
        <f t="shared" si="82"/>
        <v>217813.54650000003</v>
      </c>
      <c r="K289" s="4"/>
      <c r="L289" s="4"/>
      <c r="M289" s="4"/>
    </row>
    <row r="290" spans="1:13" ht="15.75" customHeight="1" x14ac:dyDescent="0.25">
      <c r="A290" s="31">
        <v>172</v>
      </c>
      <c r="B290" s="329">
        <v>6653</v>
      </c>
      <c r="C290" s="96" t="s">
        <v>444</v>
      </c>
      <c r="D290" s="1"/>
      <c r="E290" s="84" t="s">
        <v>458</v>
      </c>
      <c r="F290" s="96" t="s">
        <v>44</v>
      </c>
      <c r="G290" s="33">
        <v>1</v>
      </c>
      <c r="H290" s="35">
        <v>313678</v>
      </c>
      <c r="I290" s="525">
        <f>+J290*G290</f>
        <v>408879.27300000004</v>
      </c>
      <c r="J290" s="86">
        <f t="shared" si="82"/>
        <v>408879.27300000004</v>
      </c>
      <c r="K290" s="4"/>
      <c r="L290" s="4"/>
      <c r="M290" s="4"/>
    </row>
    <row r="291" spans="1:13" ht="15.75" customHeight="1" x14ac:dyDescent="0.25">
      <c r="A291" s="31">
        <v>173</v>
      </c>
      <c r="B291" s="329">
        <v>8174</v>
      </c>
      <c r="C291" s="96" t="s">
        <v>444</v>
      </c>
      <c r="D291" s="1"/>
      <c r="E291" s="84" t="s">
        <v>459</v>
      </c>
      <c r="F291" s="96" t="s">
        <v>44</v>
      </c>
      <c r="G291" s="33">
        <v>1</v>
      </c>
      <c r="H291" s="35">
        <v>14068</v>
      </c>
      <c r="I291" s="525">
        <f t="shared" si="81"/>
        <v>18337.638000000003</v>
      </c>
      <c r="J291" s="86">
        <f t="shared" si="82"/>
        <v>18337.638000000003</v>
      </c>
      <c r="K291" s="4"/>
      <c r="L291" s="4"/>
      <c r="M291" s="4"/>
    </row>
    <row r="292" spans="1:13" ht="15.75" customHeight="1" x14ac:dyDescent="0.25">
      <c r="A292" s="31">
        <v>174</v>
      </c>
      <c r="B292" s="329">
        <v>8175</v>
      </c>
      <c r="C292" s="96" t="s">
        <v>444</v>
      </c>
      <c r="D292" s="1"/>
      <c r="E292" s="84" t="s">
        <v>460</v>
      </c>
      <c r="F292" s="96" t="s">
        <v>44</v>
      </c>
      <c r="G292" s="33">
        <v>1</v>
      </c>
      <c r="H292" s="35">
        <v>10702</v>
      </c>
      <c r="I292" s="525">
        <f t="shared" si="81"/>
        <v>13950.057000000001</v>
      </c>
      <c r="J292" s="86">
        <f t="shared" si="82"/>
        <v>13950.057000000001</v>
      </c>
      <c r="K292" s="4"/>
      <c r="L292" s="4"/>
      <c r="M292" s="4"/>
    </row>
    <row r="293" spans="1:13" ht="15.75" customHeight="1" x14ac:dyDescent="0.25">
      <c r="A293" s="31">
        <v>175</v>
      </c>
      <c r="B293" s="329">
        <v>8088</v>
      </c>
      <c r="C293" s="96" t="s">
        <v>444</v>
      </c>
      <c r="D293" s="1"/>
      <c r="E293" s="84" t="s">
        <v>461</v>
      </c>
      <c r="F293" s="96" t="s">
        <v>44</v>
      </c>
      <c r="G293" s="33">
        <v>1</v>
      </c>
      <c r="H293" s="35">
        <v>4125</v>
      </c>
      <c r="I293" s="525">
        <f t="shared" si="81"/>
        <v>5376.9375</v>
      </c>
      <c r="J293" s="86">
        <f t="shared" si="82"/>
        <v>5376.9375</v>
      </c>
      <c r="K293" s="4"/>
      <c r="L293" s="4"/>
      <c r="M293" s="4"/>
    </row>
    <row r="294" spans="1:13" ht="15.75" customHeight="1" x14ac:dyDescent="0.25">
      <c r="A294" s="93" t="s">
        <v>33</v>
      </c>
      <c r="B294" s="54"/>
      <c r="C294" s="55"/>
      <c r="D294" s="55"/>
      <c r="E294" s="88"/>
      <c r="F294" s="54"/>
      <c r="G294" s="55"/>
      <c r="H294" s="57"/>
      <c r="I294" s="533">
        <f>SUM(I277:I293)</f>
        <v>3783571.6875</v>
      </c>
      <c r="J294" s="4"/>
      <c r="K294" s="4"/>
      <c r="L294" s="4"/>
      <c r="M294" s="4"/>
    </row>
    <row r="295" spans="1:13" ht="15.75" customHeight="1" x14ac:dyDescent="0.25">
      <c r="A295" s="97"/>
      <c r="B295" s="361">
        <v>11</v>
      </c>
      <c r="C295" s="65"/>
      <c r="D295" s="65"/>
      <c r="E295" s="362" t="s">
        <v>554</v>
      </c>
      <c r="F295" s="65"/>
      <c r="G295" s="65"/>
      <c r="H295" s="68"/>
      <c r="I295" s="534"/>
      <c r="J295" s="92"/>
      <c r="K295" s="4"/>
      <c r="L295" s="4"/>
      <c r="M295" s="4"/>
    </row>
    <row r="296" spans="1:13" ht="15.75" customHeight="1" x14ac:dyDescent="0.25">
      <c r="A296" s="33">
        <v>176</v>
      </c>
      <c r="B296" s="96">
        <v>11.1</v>
      </c>
      <c r="C296" s="33" t="s">
        <v>156</v>
      </c>
      <c r="D296" s="1"/>
      <c r="E296" s="363" t="str">
        <f>+'PRESUPUESTO FINAL FDLU'!E296</f>
        <v>SUM E INST. PANEL SOLAR 330 W</v>
      </c>
      <c r="F296" s="364" t="s">
        <v>44</v>
      </c>
      <c r="G296" s="49">
        <v>2</v>
      </c>
      <c r="H296" s="35">
        <f>+'PRESUPUESTO FINAL FDLU'!H296</f>
        <v>344556</v>
      </c>
      <c r="I296" s="524">
        <f>+J296*G296</f>
        <v>898257.49200000009</v>
      </c>
      <c r="J296" s="86">
        <f>+H296*$J$9</f>
        <v>449128.74600000004</v>
      </c>
      <c r="K296" s="4"/>
      <c r="L296" s="4"/>
      <c r="M296" s="4"/>
    </row>
    <row r="297" spans="1:13" ht="15.75" customHeight="1" x14ac:dyDescent="0.25">
      <c r="A297" s="99"/>
      <c r="B297" s="54"/>
      <c r="C297" s="100"/>
      <c r="D297" s="55"/>
      <c r="E297" s="340"/>
      <c r="F297" s="54"/>
      <c r="G297" s="55"/>
      <c r="H297" s="334"/>
      <c r="I297" s="531">
        <f>SUM(I296:I296)</f>
        <v>898257.49200000009</v>
      </c>
      <c r="J297" s="86"/>
      <c r="K297" s="4"/>
      <c r="L297" s="4"/>
      <c r="M297" s="4"/>
    </row>
    <row r="298" spans="1:13" ht="15.75" customHeight="1" x14ac:dyDescent="0.25">
      <c r="A298" s="97"/>
      <c r="B298" s="97">
        <v>12</v>
      </c>
      <c r="C298" s="65"/>
      <c r="D298" s="65"/>
      <c r="E298" s="339" t="s">
        <v>462</v>
      </c>
      <c r="F298" s="65"/>
      <c r="G298" s="65"/>
      <c r="H298" s="68"/>
      <c r="I298" s="534"/>
      <c r="J298" s="92"/>
      <c r="K298" s="4"/>
      <c r="L298" s="4"/>
      <c r="M298" s="4"/>
    </row>
    <row r="299" spans="1:13" ht="15.75" customHeight="1" x14ac:dyDescent="0.25">
      <c r="A299" s="33">
        <v>176</v>
      </c>
      <c r="B299" s="32">
        <v>12.1</v>
      </c>
      <c r="C299" s="33" t="s">
        <v>156</v>
      </c>
      <c r="D299" s="1"/>
      <c r="E299" s="394" t="s">
        <v>555</v>
      </c>
      <c r="F299" s="395" t="s">
        <v>23</v>
      </c>
      <c r="G299" s="344">
        <v>660</v>
      </c>
      <c r="H299" s="345">
        <f>+'PRESUPUESTO FINAL FDLU'!H299</f>
        <v>6470</v>
      </c>
      <c r="I299" s="524">
        <f>+J299*G299</f>
        <v>5566205.7000000002</v>
      </c>
      <c r="J299" s="86">
        <f>+H299*$J$9</f>
        <v>8433.6450000000004</v>
      </c>
      <c r="K299" s="4"/>
      <c r="L299" s="4"/>
      <c r="M299" s="4"/>
    </row>
    <row r="300" spans="1:13" ht="15.75" customHeight="1" x14ac:dyDescent="0.25">
      <c r="A300" s="33">
        <v>177</v>
      </c>
      <c r="B300" s="32">
        <v>12.2</v>
      </c>
      <c r="C300" s="33" t="s">
        <v>156</v>
      </c>
      <c r="D300" s="1"/>
      <c r="E300" s="396" t="s">
        <v>464</v>
      </c>
      <c r="F300" s="397" t="s">
        <v>23</v>
      </c>
      <c r="G300" s="348">
        <v>100</v>
      </c>
      <c r="H300" s="345">
        <f>+'PRESUPUESTO FINAL FDLU'!H300</f>
        <v>8692</v>
      </c>
      <c r="I300" s="524">
        <f t="shared" ref="I300:I302" si="83">+J300*G300</f>
        <v>1133002.2000000002</v>
      </c>
      <c r="J300" s="86">
        <f t="shared" ref="J300:J303" si="84">+H300*$J$9</f>
        <v>11330.022000000001</v>
      </c>
      <c r="K300" s="4"/>
      <c r="L300" s="4"/>
      <c r="M300" s="4"/>
    </row>
    <row r="301" spans="1:13" ht="15.75" customHeight="1" x14ac:dyDescent="0.25">
      <c r="A301" s="33">
        <v>178</v>
      </c>
      <c r="B301" s="32">
        <v>12.3</v>
      </c>
      <c r="C301" s="33" t="s">
        <v>156</v>
      </c>
      <c r="D301" s="4"/>
      <c r="E301" s="341" t="s">
        <v>465</v>
      </c>
      <c r="F301" s="337" t="s">
        <v>23</v>
      </c>
      <c r="G301" s="33">
        <v>100</v>
      </c>
      <c r="H301" s="98">
        <f>+'PRESUPUESTO FINAL FDLU'!H301</f>
        <v>20715</v>
      </c>
      <c r="I301" s="524">
        <f t="shared" si="83"/>
        <v>2700200.25</v>
      </c>
      <c r="J301" s="86">
        <f t="shared" si="84"/>
        <v>27002.002500000002</v>
      </c>
      <c r="K301" s="4"/>
      <c r="L301" s="4"/>
      <c r="M301" s="4"/>
    </row>
    <row r="302" spans="1:13" ht="15.75" customHeight="1" x14ac:dyDescent="0.25">
      <c r="A302" s="33">
        <v>179</v>
      </c>
      <c r="B302" s="32">
        <v>12.4</v>
      </c>
      <c r="C302" s="33" t="s">
        <v>156</v>
      </c>
      <c r="D302" s="1"/>
      <c r="E302" s="341" t="s">
        <v>466</v>
      </c>
      <c r="F302" s="338" t="s">
        <v>23</v>
      </c>
      <c r="G302" s="52">
        <v>100</v>
      </c>
      <c r="H302" s="35">
        <f>+'PRESUPUESTO FINAL FDLU'!H302</f>
        <v>33393</v>
      </c>
      <c r="I302" s="524">
        <f t="shared" si="83"/>
        <v>4352777.5500000007</v>
      </c>
      <c r="J302" s="86">
        <f t="shared" si="84"/>
        <v>43527.775500000003</v>
      </c>
      <c r="K302" s="4"/>
      <c r="L302" s="4"/>
      <c r="M302" s="4"/>
    </row>
    <row r="303" spans="1:13" ht="15.75" customHeight="1" x14ac:dyDescent="0.25">
      <c r="A303" s="99"/>
      <c r="B303" s="54"/>
      <c r="C303" s="100"/>
      <c r="D303" s="55"/>
      <c r="E303" s="340"/>
      <c r="F303" s="54"/>
      <c r="G303" s="55"/>
      <c r="H303" s="334"/>
      <c r="I303" s="531">
        <f>SUM(I299:I302)</f>
        <v>13752185.700000001</v>
      </c>
      <c r="J303" s="86">
        <f t="shared" si="84"/>
        <v>0</v>
      </c>
      <c r="K303" s="4"/>
      <c r="L303" s="4"/>
      <c r="M303" s="4"/>
    </row>
    <row r="304" spans="1:13" ht="15.75" customHeight="1" x14ac:dyDescent="0.25">
      <c r="A304" s="97"/>
      <c r="B304" s="97">
        <v>13</v>
      </c>
      <c r="C304" s="65"/>
      <c r="D304" s="402"/>
      <c r="E304" s="339" t="s">
        <v>467</v>
      </c>
      <c r="F304" s="65"/>
      <c r="G304" s="65"/>
      <c r="H304" s="68"/>
      <c r="I304" s="534"/>
      <c r="J304" s="92"/>
      <c r="K304" s="398"/>
      <c r="L304" s="4"/>
      <c r="M304" s="4"/>
    </row>
    <row r="305" spans="1:13" ht="15.75" customHeight="1" x14ac:dyDescent="0.25">
      <c r="A305" s="33">
        <v>252</v>
      </c>
      <c r="B305" s="32">
        <v>13.1</v>
      </c>
      <c r="C305" s="516" t="s">
        <v>156</v>
      </c>
      <c r="D305" s="404"/>
      <c r="E305" s="341" t="s">
        <v>562</v>
      </c>
      <c r="F305" s="521" t="s">
        <v>23</v>
      </c>
      <c r="G305" s="49">
        <v>10</v>
      </c>
      <c r="H305" s="384">
        <f>+'[4]PERFORACION H.2"SR '!$O$56</f>
        <v>867717.88767848106</v>
      </c>
      <c r="I305" s="525">
        <f>+J305*G305</f>
        <v>11310702.665889002</v>
      </c>
      <c r="J305" s="86">
        <f t="shared" ref="J305:J312" si="85">+H305*$J$9</f>
        <v>1131070.2665889002</v>
      </c>
      <c r="K305" s="398"/>
      <c r="L305" s="4"/>
      <c r="M305" s="4"/>
    </row>
    <row r="306" spans="1:13" ht="15.75" customHeight="1" x14ac:dyDescent="0.25">
      <c r="A306" s="33">
        <v>253</v>
      </c>
      <c r="B306" s="32">
        <v>13.2</v>
      </c>
      <c r="C306" s="516" t="s">
        <v>156</v>
      </c>
      <c r="D306" s="404"/>
      <c r="E306" s="506" t="s">
        <v>563</v>
      </c>
      <c r="F306" s="522" t="s">
        <v>23</v>
      </c>
      <c r="G306" s="520">
        <v>1</v>
      </c>
      <c r="H306" s="384">
        <f>+'[4]PERFORACION H.3"SR'!$O$56</f>
        <v>1017717.8876784811</v>
      </c>
      <c r="I306" s="525">
        <f t="shared" ref="I306:I308" si="86">+J306*G306</f>
        <v>1326595.2665889002</v>
      </c>
      <c r="J306" s="86">
        <f t="shared" si="85"/>
        <v>1326595.2665889002</v>
      </c>
      <c r="K306" s="398"/>
      <c r="L306" s="4"/>
      <c r="M306" s="4"/>
    </row>
    <row r="307" spans="1:13" ht="15.75" customHeight="1" x14ac:dyDescent="0.25">
      <c r="A307" s="33">
        <v>254</v>
      </c>
      <c r="B307" s="32">
        <v>13.3</v>
      </c>
      <c r="C307" s="516" t="s">
        <v>156</v>
      </c>
      <c r="D307" s="405"/>
      <c r="E307" s="341" t="s">
        <v>564</v>
      </c>
      <c r="F307" s="522" t="s">
        <v>23</v>
      </c>
      <c r="G307" s="520">
        <v>1</v>
      </c>
      <c r="H307" s="384">
        <f>+'[4]PERFORACION H.4"SR '!$O$56</f>
        <v>1217717.8876784812</v>
      </c>
      <c r="I307" s="525">
        <f t="shared" si="86"/>
        <v>1587295.2665889002</v>
      </c>
      <c r="J307" s="86">
        <f t="shared" si="85"/>
        <v>1587295.2665889002</v>
      </c>
      <c r="K307" s="398"/>
      <c r="L307" s="4"/>
      <c r="M307" s="4"/>
    </row>
    <row r="308" spans="1:13" ht="15.75" customHeight="1" x14ac:dyDescent="0.25">
      <c r="A308" s="33">
        <v>255</v>
      </c>
      <c r="B308" s="32">
        <v>13.4</v>
      </c>
      <c r="C308" s="516" t="s">
        <v>156</v>
      </c>
      <c r="D308" s="404"/>
      <c r="E308" s="341" t="s">
        <v>565</v>
      </c>
      <c r="F308" s="522" t="s">
        <v>23</v>
      </c>
      <c r="G308" s="520">
        <v>1</v>
      </c>
      <c r="H308" s="384">
        <f>+'[4]PERFORACION H.6"SR '!$O$56</f>
        <v>1667717.8876784812</v>
      </c>
      <c r="I308" s="525">
        <f t="shared" si="86"/>
        <v>2173870.2665889002</v>
      </c>
      <c r="J308" s="86">
        <f t="shared" si="85"/>
        <v>2173870.2665889002</v>
      </c>
      <c r="K308" s="398"/>
      <c r="L308" s="4"/>
      <c r="M308" s="4"/>
    </row>
    <row r="309" spans="1:13" ht="15.75" customHeight="1" x14ac:dyDescent="0.25">
      <c r="A309" s="33">
        <v>252</v>
      </c>
      <c r="B309" s="32">
        <v>13.5</v>
      </c>
      <c r="C309" s="516" t="s">
        <v>156</v>
      </c>
      <c r="D309" s="404"/>
      <c r="E309" s="341" t="s">
        <v>566</v>
      </c>
      <c r="F309" s="522" t="s">
        <v>23</v>
      </c>
      <c r="G309" s="520">
        <v>1</v>
      </c>
      <c r="H309" s="384">
        <f>+'[4]PERFORACION H.2"CR  '!$O$56</f>
        <v>1617717.8876784812</v>
      </c>
      <c r="I309" s="525">
        <f>+J309*G309</f>
        <v>2108695.2665889002</v>
      </c>
      <c r="J309" s="86">
        <f t="shared" si="85"/>
        <v>2108695.2665889002</v>
      </c>
      <c r="K309" s="398"/>
      <c r="L309" s="4"/>
      <c r="M309" s="4"/>
    </row>
    <row r="310" spans="1:13" ht="15.75" customHeight="1" x14ac:dyDescent="0.25">
      <c r="A310" s="33">
        <v>253</v>
      </c>
      <c r="B310" s="32">
        <v>13.6</v>
      </c>
      <c r="C310" s="516" t="s">
        <v>156</v>
      </c>
      <c r="D310" s="404"/>
      <c r="E310" s="341" t="s">
        <v>567</v>
      </c>
      <c r="F310" s="522" t="s">
        <v>23</v>
      </c>
      <c r="G310" s="520">
        <v>1</v>
      </c>
      <c r="H310" s="384">
        <f>+'[4]PERFORACION H.3"CR '!$O$56</f>
        <v>2267717.8876784812</v>
      </c>
      <c r="I310" s="525">
        <f t="shared" ref="I310:I312" si="87">+J310*G310</f>
        <v>2955970.2665889002</v>
      </c>
      <c r="J310" s="86">
        <f t="shared" si="85"/>
        <v>2955970.2665889002</v>
      </c>
      <c r="K310" s="398"/>
      <c r="L310" s="4"/>
      <c r="M310" s="4"/>
    </row>
    <row r="311" spans="1:13" ht="15.75" customHeight="1" x14ac:dyDescent="0.25">
      <c r="A311" s="33">
        <v>254</v>
      </c>
      <c r="B311" s="32">
        <v>13.7</v>
      </c>
      <c r="C311" s="516" t="s">
        <v>156</v>
      </c>
      <c r="D311" s="405"/>
      <c r="E311" s="341" t="s">
        <v>568</v>
      </c>
      <c r="F311" s="336" t="s">
        <v>23</v>
      </c>
      <c r="G311" s="49">
        <v>1</v>
      </c>
      <c r="H311" s="384">
        <f>+'[4]PERFORACION H.4"CR'!$O$56</f>
        <v>2857717.8876784807</v>
      </c>
      <c r="I311" s="525">
        <f t="shared" si="87"/>
        <v>3725035.2665888998</v>
      </c>
      <c r="J311" s="86">
        <f t="shared" si="85"/>
        <v>3725035.2665888998</v>
      </c>
      <c r="K311" s="398"/>
      <c r="L311" s="4"/>
      <c r="M311" s="4"/>
    </row>
    <row r="312" spans="1:13" ht="15.75" customHeight="1" x14ac:dyDescent="0.25">
      <c r="A312" s="33">
        <v>255</v>
      </c>
      <c r="B312" s="32">
        <v>13.8</v>
      </c>
      <c r="C312" s="516" t="s">
        <v>156</v>
      </c>
      <c r="D312" s="404"/>
      <c r="E312" s="341" t="s">
        <v>569</v>
      </c>
      <c r="F312" s="338" t="s">
        <v>23</v>
      </c>
      <c r="G312" s="49">
        <v>1</v>
      </c>
      <c r="H312" s="384">
        <f>+'[4]PERFORACION H.6"CR '!$O$56</f>
        <v>4037717.8876784807</v>
      </c>
      <c r="I312" s="525">
        <f t="shared" si="87"/>
        <v>5263165.2665889002</v>
      </c>
      <c r="J312" s="86">
        <f t="shared" si="85"/>
        <v>5263165.2665889002</v>
      </c>
      <c r="K312" s="398"/>
      <c r="L312" s="4"/>
      <c r="M312" s="4"/>
    </row>
    <row r="313" spans="1:13" ht="15.75" customHeight="1" thickBot="1" x14ac:dyDescent="0.3">
      <c r="A313" s="101"/>
      <c r="B313" s="101"/>
      <c r="C313" s="102"/>
      <c r="D313" s="517"/>
      <c r="E313" s="383"/>
      <c r="F313" s="101"/>
      <c r="G313" s="103"/>
      <c r="H313" s="105"/>
      <c r="I313" s="105">
        <f>SUM(I305:I312)</f>
        <v>30451329.532011304</v>
      </c>
      <c r="J313" s="98"/>
      <c r="K313" s="4"/>
      <c r="L313" s="4"/>
      <c r="M313" s="4"/>
    </row>
    <row r="314" spans="1:13" ht="15.75" customHeight="1" x14ac:dyDescent="0.25">
      <c r="A314" s="97"/>
      <c r="B314" s="97">
        <v>16</v>
      </c>
      <c r="C314" s="65"/>
      <c r="D314" s="65"/>
      <c r="E314" s="339" t="s">
        <v>558</v>
      </c>
      <c r="F314" s="65"/>
      <c r="G314" s="65"/>
      <c r="H314" s="68"/>
      <c r="I314" s="534"/>
      <c r="J314" s="92"/>
      <c r="K314" s="4"/>
      <c r="L314" s="4"/>
      <c r="M314" s="4"/>
    </row>
    <row r="315" spans="1:13" ht="15.75" customHeight="1" x14ac:dyDescent="0.25">
      <c r="A315" s="33">
        <v>230</v>
      </c>
      <c r="B315" s="96">
        <v>13.1</v>
      </c>
      <c r="C315" s="33" t="s">
        <v>156</v>
      </c>
      <c r="D315" s="1"/>
      <c r="E315" s="341" t="s">
        <v>559</v>
      </c>
      <c r="F315" s="401" t="s">
        <v>26</v>
      </c>
      <c r="G315" s="49">
        <v>50</v>
      </c>
      <c r="H315" s="35">
        <v>67036</v>
      </c>
      <c r="I315" s="524">
        <f>+J315*G315</f>
        <v>4369071.3000000007</v>
      </c>
      <c r="J315" s="86">
        <f>+H315*$J$9</f>
        <v>87381.426000000007</v>
      </c>
      <c r="K315" s="4"/>
      <c r="L315" s="4"/>
      <c r="M315" s="4"/>
    </row>
    <row r="316" spans="1:13" ht="15.75" customHeight="1" thickBot="1" x14ac:dyDescent="0.3">
      <c r="A316" s="101"/>
      <c r="B316" s="101"/>
      <c r="C316" s="102"/>
      <c r="D316" s="103"/>
      <c r="E316" s="104"/>
      <c r="F316" s="101"/>
      <c r="G316" s="103"/>
      <c r="H316" s="105"/>
      <c r="I316" s="105">
        <f>SUM(I315:I315)</f>
        <v>4369071.3000000007</v>
      </c>
      <c r="J316" s="98"/>
      <c r="K316" s="4"/>
      <c r="L316" s="4"/>
      <c r="M316" s="4"/>
    </row>
    <row r="317" spans="1:13" ht="15.75" customHeight="1" thickBot="1" x14ac:dyDescent="0.3">
      <c r="A317" s="1"/>
      <c r="B317" s="1"/>
      <c r="C317" s="2"/>
      <c r="D317" s="1"/>
      <c r="E317" s="106" t="s">
        <v>468</v>
      </c>
      <c r="F317" s="107"/>
      <c r="G317" s="108"/>
      <c r="H317" s="109"/>
      <c r="I317" s="110">
        <f>+I17+I27+I33+I38+I41+I44+I50+I59+I63+I67+I71+I78+I89+I93+I99+I106+I116+I122+I130+I139+I143+I147+I151+I155+I158+I165+I170+I173+I180+I185+I190+I196+I200+I203+I208+I213+I218+I222+I229+I235+I241+I247+I259+I264+I269+I275+I294+I297+I303+I313+I316</f>
        <v>426102472.62348646</v>
      </c>
      <c r="J317" s="86"/>
      <c r="K317" s="4"/>
      <c r="L317" s="4"/>
      <c r="M317" s="4"/>
    </row>
    <row r="318" spans="1:13" ht="15.75" customHeight="1" thickBot="1" x14ac:dyDescent="0.3">
      <c r="A318" s="1"/>
      <c r="B318" s="1"/>
      <c r="C318" s="2"/>
      <c r="D318" s="1"/>
      <c r="E318" s="111" t="s">
        <v>469</v>
      </c>
      <c r="F318" s="112"/>
      <c r="G318" s="112"/>
      <c r="H318" s="113">
        <v>8.0000000000000002E-3</v>
      </c>
      <c r="I318" s="114">
        <f>+I317*H318</f>
        <v>3408819.7809878918</v>
      </c>
      <c r="J318" s="86"/>
      <c r="K318" s="4"/>
      <c r="L318" s="4"/>
      <c r="M318" s="4"/>
    </row>
    <row r="319" spans="1:13" ht="15.75" customHeight="1" thickBot="1" x14ac:dyDescent="0.3">
      <c r="A319" s="1"/>
      <c r="B319" s="1"/>
      <c r="C319" s="2"/>
      <c r="D319" s="1"/>
      <c r="E319" s="111" t="s">
        <v>470</v>
      </c>
      <c r="F319" s="112"/>
      <c r="G319" s="115"/>
      <c r="H319" s="113">
        <v>8.0000000000000002E-3</v>
      </c>
      <c r="I319" s="116">
        <f>+I317*H319</f>
        <v>3408819.7809878918</v>
      </c>
      <c r="J319" s="86"/>
      <c r="K319" s="4"/>
      <c r="L319" s="4"/>
      <c r="M319" s="4"/>
    </row>
    <row r="320" spans="1:13" ht="15.75" customHeight="1" thickBot="1" x14ac:dyDescent="0.3">
      <c r="A320" s="1"/>
      <c r="B320" s="1"/>
      <c r="C320" s="2"/>
      <c r="D320" s="1"/>
      <c r="E320" s="111" t="s">
        <v>471</v>
      </c>
      <c r="F320" s="112"/>
      <c r="G320" s="1"/>
      <c r="H320" s="113">
        <v>5.0000000000000001E-3</v>
      </c>
      <c r="I320" s="116">
        <f>+I317*H320</f>
        <v>2130512.3631174322</v>
      </c>
      <c r="J320" s="86"/>
      <c r="K320" s="4"/>
      <c r="L320" s="4"/>
      <c r="M320" s="4"/>
    </row>
    <row r="321" spans="1:13" ht="15.75" customHeight="1" thickBot="1" x14ac:dyDescent="0.3">
      <c r="A321" s="1"/>
      <c r="B321" s="1"/>
      <c r="C321" s="2"/>
      <c r="D321" s="1"/>
      <c r="E321" s="117" t="s">
        <v>472</v>
      </c>
      <c r="F321" s="118"/>
      <c r="G321" s="119"/>
      <c r="H321" s="120"/>
      <c r="I321" s="121">
        <f>SUM(I317:I320)</f>
        <v>435050624.54857975</v>
      </c>
      <c r="J321" s="86"/>
      <c r="K321" s="4"/>
      <c r="L321" s="4"/>
      <c r="M321" s="4"/>
    </row>
    <row r="322" spans="1:13" ht="15.75" customHeight="1" x14ac:dyDescent="0.25">
      <c r="A322" s="1"/>
      <c r="B322" s="1"/>
      <c r="C322" s="2"/>
      <c r="D322" s="1"/>
      <c r="E322" s="1"/>
      <c r="F322" s="1"/>
      <c r="G322" s="1"/>
      <c r="H322" s="1"/>
      <c r="I322" s="1"/>
      <c r="J322" s="3"/>
      <c r="K322" s="4"/>
      <c r="L322" s="4"/>
      <c r="M322" s="4"/>
    </row>
    <row r="323" spans="1:13" ht="15.75" customHeight="1" x14ac:dyDescent="0.25">
      <c r="A323" s="1"/>
      <c r="B323" s="1"/>
      <c r="C323" s="2"/>
      <c r="D323" s="1"/>
      <c r="E323" s="1"/>
      <c r="F323" s="1"/>
      <c r="G323" s="1"/>
      <c r="H323" s="1"/>
      <c r="I323" s="1"/>
      <c r="J323" s="3"/>
      <c r="K323" s="4"/>
      <c r="L323" s="4"/>
      <c r="M323" s="4"/>
    </row>
    <row r="324" spans="1:13" ht="15.75" customHeight="1" thickBot="1" x14ac:dyDescent="0.3">
      <c r="A324" s="1"/>
      <c r="B324" s="1"/>
      <c r="C324" s="2"/>
      <c r="D324" s="1"/>
      <c r="E324" s="1"/>
      <c r="F324" s="1"/>
      <c r="G324" s="1"/>
      <c r="H324" s="1"/>
      <c r="I324" s="1"/>
      <c r="J324" s="3"/>
      <c r="K324" s="4"/>
      <c r="L324" s="4"/>
      <c r="M324" s="4"/>
    </row>
    <row r="325" spans="1:13" ht="15.75" customHeight="1" x14ac:dyDescent="0.25">
      <c r="A325" s="1"/>
      <c r="B325" s="122"/>
      <c r="C325" s="123"/>
      <c r="D325" s="123"/>
      <c r="E325" s="123"/>
      <c r="F325" s="123"/>
      <c r="G325" s="123"/>
      <c r="H325" s="123"/>
      <c r="I325" s="123"/>
      <c r="J325" s="3"/>
      <c r="K325" s="3"/>
      <c r="L325" s="4"/>
      <c r="M325" s="4"/>
    </row>
    <row r="326" spans="1:13" ht="15.75" customHeight="1" x14ac:dyDescent="0.25">
      <c r="A326" s="1"/>
      <c r="B326" s="584" t="s">
        <v>473</v>
      </c>
      <c r="C326" s="585"/>
      <c r="D326" s="585"/>
      <c r="E326" s="579"/>
      <c r="F326" s="578" t="s">
        <v>474</v>
      </c>
      <c r="G326" s="585"/>
      <c r="H326" s="579"/>
      <c r="I326" s="124" t="s">
        <v>475</v>
      </c>
      <c r="J326" s="3"/>
      <c r="K326" s="3"/>
      <c r="L326" s="4"/>
      <c r="M326" s="4"/>
    </row>
    <row r="327" spans="1:13" ht="15.75" customHeight="1" x14ac:dyDescent="0.25">
      <c r="A327" s="1"/>
      <c r="B327" s="584" t="s">
        <v>476</v>
      </c>
      <c r="C327" s="585"/>
      <c r="D327" s="585"/>
      <c r="E327" s="579"/>
      <c r="F327" s="580" t="s">
        <v>477</v>
      </c>
      <c r="G327" s="579"/>
      <c r="H327" s="358" t="s">
        <v>478</v>
      </c>
      <c r="I327" s="125">
        <v>0</v>
      </c>
      <c r="J327" s="3"/>
      <c r="K327" s="3"/>
      <c r="L327" s="4"/>
      <c r="M327" s="4"/>
    </row>
    <row r="328" spans="1:13" ht="15.75" customHeight="1" x14ac:dyDescent="0.25">
      <c r="A328" s="1"/>
      <c r="B328" s="584" t="s">
        <v>479</v>
      </c>
      <c r="C328" s="585"/>
      <c r="D328" s="585"/>
      <c r="E328" s="579"/>
      <c r="F328" s="586" t="s">
        <v>480</v>
      </c>
      <c r="G328" s="579"/>
      <c r="H328" s="358" t="s">
        <v>481</v>
      </c>
      <c r="I328" s="125">
        <v>0</v>
      </c>
      <c r="J328" s="3"/>
      <c r="K328" s="4"/>
      <c r="L328" s="4"/>
      <c r="M328" s="4"/>
    </row>
    <row r="329" spans="1:13" ht="15.75" customHeight="1" x14ac:dyDescent="0.25">
      <c r="A329" s="1"/>
      <c r="B329" s="570" t="s">
        <v>482</v>
      </c>
      <c r="C329" s="571"/>
      <c r="D329" s="571"/>
      <c r="E329" s="572"/>
      <c r="F329" s="578" t="s">
        <v>483</v>
      </c>
      <c r="G329" s="579"/>
      <c r="H329" s="358" t="s">
        <v>484</v>
      </c>
      <c r="I329" s="125">
        <v>0</v>
      </c>
      <c r="J329" s="3"/>
      <c r="K329" s="4"/>
      <c r="L329" s="4"/>
      <c r="M329" s="4"/>
    </row>
    <row r="330" spans="1:13" ht="15.75" customHeight="1" x14ac:dyDescent="0.25">
      <c r="A330" s="71"/>
      <c r="B330" s="573"/>
      <c r="C330" s="553"/>
      <c r="D330" s="553"/>
      <c r="E330" s="574"/>
      <c r="F330" s="580" t="s">
        <v>485</v>
      </c>
      <c r="G330" s="579"/>
      <c r="H330" s="381" t="s">
        <v>560</v>
      </c>
      <c r="I330" s="126">
        <f>SUM(I327:I329)</f>
        <v>0</v>
      </c>
      <c r="J330" s="3"/>
      <c r="K330" s="4"/>
      <c r="L330" s="4"/>
      <c r="M330" s="4"/>
    </row>
    <row r="331" spans="1:13" ht="26.25" customHeight="1" x14ac:dyDescent="0.25">
      <c r="A331" s="71"/>
      <c r="B331" s="575"/>
      <c r="C331" s="576"/>
      <c r="D331" s="576"/>
      <c r="E331" s="577"/>
      <c r="F331" s="581" t="s">
        <v>487</v>
      </c>
      <c r="G331" s="571"/>
      <c r="H331" s="571"/>
      <c r="I331" s="582"/>
      <c r="J331" s="3"/>
      <c r="K331" s="4"/>
      <c r="L331" s="4"/>
      <c r="M331" s="4"/>
    </row>
    <row r="332" spans="1:13" ht="51.75" customHeight="1" thickBot="1" x14ac:dyDescent="0.3">
      <c r="A332" s="71"/>
      <c r="B332" s="127"/>
      <c r="C332" s="128"/>
      <c r="D332" s="128"/>
      <c r="E332" s="128"/>
      <c r="F332" s="583"/>
      <c r="G332" s="557"/>
      <c r="H332" s="557"/>
      <c r="I332" s="558"/>
      <c r="J332" s="3"/>
      <c r="K332" s="4"/>
      <c r="L332" s="4"/>
      <c r="M332" s="4"/>
    </row>
  </sheetData>
  <mergeCells count="22">
    <mergeCell ref="B329:E331"/>
    <mergeCell ref="F329:G329"/>
    <mergeCell ref="F330:G330"/>
    <mergeCell ref="F331:I332"/>
    <mergeCell ref="B326:E326"/>
    <mergeCell ref="F326:H326"/>
    <mergeCell ref="B327:E327"/>
    <mergeCell ref="F327:G327"/>
    <mergeCell ref="B328:E328"/>
    <mergeCell ref="F328:G328"/>
    <mergeCell ref="A2:C2"/>
    <mergeCell ref="D2:I3"/>
    <mergeCell ref="A4:I4"/>
    <mergeCell ref="A5:I5"/>
    <mergeCell ref="A8:A9"/>
    <mergeCell ref="B8:B9"/>
    <mergeCell ref="C8:D8"/>
    <mergeCell ref="E8:E9"/>
    <mergeCell ref="F8:F9"/>
    <mergeCell ref="G8:G9"/>
    <mergeCell ref="H8:H9"/>
    <mergeCell ref="I8:I9"/>
  </mergeCells>
  <pageMargins left="0.7" right="0.7" top="0.75" bottom="0.75" header="0" footer="0"/>
  <pageSetup orientation="portrait" r:id="rId1"/>
  <rowBreaks count="1" manualBreakCount="1">
    <brk id="100"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00"/>
  <sheetViews>
    <sheetView workbookViewId="0">
      <selection activeCell="Q24" sqref="Q24"/>
    </sheetView>
  </sheetViews>
  <sheetFormatPr baseColWidth="10" defaultColWidth="12.5703125" defaultRowHeight="15" customHeight="1" x14ac:dyDescent="0.25"/>
  <cols>
    <col min="1" max="3" width="10" customWidth="1"/>
    <col min="4" max="4" width="11.7109375" customWidth="1"/>
    <col min="5" max="5" width="30.85546875" customWidth="1"/>
    <col min="6" max="7" width="10" customWidth="1"/>
    <col min="8" max="8" width="13.140625" customWidth="1"/>
    <col min="9" max="9" width="28.5703125" customWidth="1"/>
    <col min="10" max="10" width="3.140625" customWidth="1"/>
    <col min="11" max="11" width="1" customWidth="1"/>
  </cols>
  <sheetData>
    <row r="1" spans="1:11" ht="5.25" customHeight="1" x14ac:dyDescent="0.25">
      <c r="A1" s="129"/>
      <c r="B1" s="129"/>
      <c r="C1" s="130"/>
      <c r="D1" s="129"/>
      <c r="E1" s="129"/>
      <c r="F1" s="129"/>
      <c r="G1" s="129"/>
      <c r="H1" s="129"/>
      <c r="I1" s="129"/>
      <c r="J1" s="129"/>
      <c r="K1" s="129"/>
    </row>
    <row r="2" spans="1:11" ht="12" customHeight="1" x14ac:dyDescent="0.25">
      <c r="A2" s="131"/>
      <c r="B2" s="131"/>
      <c r="C2" s="132"/>
      <c r="D2" s="131"/>
      <c r="E2" s="131"/>
      <c r="F2" s="131"/>
      <c r="G2" s="131"/>
      <c r="H2" s="131"/>
      <c r="I2" s="131"/>
      <c r="J2" s="133"/>
      <c r="K2" s="129"/>
    </row>
    <row r="3" spans="1:11" ht="12" customHeight="1" x14ac:dyDescent="0.25">
      <c r="A3" s="591" t="s">
        <v>0</v>
      </c>
      <c r="B3" s="592"/>
      <c r="C3" s="592"/>
      <c r="D3" s="593"/>
      <c r="E3" s="129"/>
      <c r="F3" s="129"/>
      <c r="G3" s="129"/>
      <c r="H3" s="129"/>
      <c r="I3" s="129"/>
      <c r="J3" s="134"/>
      <c r="K3" s="129"/>
    </row>
    <row r="4" spans="1:11" ht="12" customHeight="1" x14ac:dyDescent="0.25">
      <c r="A4" s="135" t="s">
        <v>2</v>
      </c>
      <c r="B4" s="136" t="s">
        <v>3</v>
      </c>
      <c r="C4" s="135" t="s">
        <v>488</v>
      </c>
      <c r="D4" s="136">
        <v>1</v>
      </c>
      <c r="E4" s="129"/>
      <c r="F4" s="129"/>
      <c r="G4" s="129"/>
      <c r="H4" s="129"/>
      <c r="I4" s="129"/>
      <c r="J4" s="134"/>
      <c r="K4" s="129"/>
    </row>
    <row r="5" spans="1:11" ht="12" customHeight="1" x14ac:dyDescent="0.25">
      <c r="A5" s="608" t="s">
        <v>4</v>
      </c>
      <c r="B5" s="553"/>
      <c r="C5" s="553"/>
      <c r="D5" s="553"/>
      <c r="E5" s="553"/>
      <c r="F5" s="553"/>
      <c r="G5" s="553"/>
      <c r="H5" s="553"/>
      <c r="I5" s="554"/>
      <c r="J5" s="134"/>
      <c r="K5" s="129"/>
    </row>
    <row r="6" spans="1:11" ht="12" customHeight="1" x14ac:dyDescent="0.25">
      <c r="A6" s="609" t="s">
        <v>489</v>
      </c>
      <c r="B6" s="553"/>
      <c r="C6" s="553"/>
      <c r="D6" s="553"/>
      <c r="E6" s="553"/>
      <c r="F6" s="553"/>
      <c r="G6" s="553"/>
      <c r="H6" s="553"/>
      <c r="I6" s="554"/>
      <c r="J6" s="134"/>
      <c r="K6" s="129"/>
    </row>
    <row r="7" spans="1:11" ht="12" customHeight="1" x14ac:dyDescent="0.25">
      <c r="A7" s="610" t="s">
        <v>490</v>
      </c>
      <c r="B7" s="571"/>
      <c r="C7" s="571"/>
      <c r="D7" s="571"/>
      <c r="E7" s="571"/>
      <c r="F7" s="571"/>
      <c r="G7" s="571"/>
      <c r="H7" s="571"/>
      <c r="I7" s="572"/>
      <c r="J7" s="137"/>
      <c r="K7" s="138"/>
    </row>
    <row r="8" spans="1:11" ht="12" customHeight="1" x14ac:dyDescent="0.25">
      <c r="A8" s="611"/>
      <c r="B8" s="576"/>
      <c r="C8" s="576"/>
      <c r="D8" s="576"/>
      <c r="E8" s="576"/>
      <c r="F8" s="576"/>
      <c r="G8" s="576"/>
      <c r="H8" s="576"/>
      <c r="I8" s="577"/>
      <c r="J8" s="134"/>
      <c r="K8" s="129"/>
    </row>
    <row r="9" spans="1:11" ht="12" customHeight="1" x14ac:dyDescent="0.25">
      <c r="A9" s="612" t="s">
        <v>491</v>
      </c>
      <c r="B9" s="585"/>
      <c r="C9" s="585"/>
      <c r="D9" s="585"/>
      <c r="E9" s="585"/>
      <c r="F9" s="585"/>
      <c r="G9" s="585"/>
      <c r="H9" s="585"/>
      <c r="I9" s="579"/>
      <c r="J9" s="134"/>
      <c r="K9" s="129"/>
    </row>
    <row r="10" spans="1:11" ht="12" customHeight="1" x14ac:dyDescent="0.25">
      <c r="A10" s="605"/>
      <c r="B10" s="606"/>
      <c r="C10" s="606"/>
      <c r="D10" s="606"/>
      <c r="E10" s="606"/>
      <c r="F10" s="606"/>
      <c r="G10" s="606"/>
      <c r="H10" s="606"/>
      <c r="I10" s="607"/>
      <c r="J10" s="134"/>
      <c r="K10" s="129"/>
    </row>
    <row r="11" spans="1:11" ht="18.75" customHeight="1" x14ac:dyDescent="0.25">
      <c r="A11" s="596" t="s">
        <v>6</v>
      </c>
      <c r="B11" s="602" t="s">
        <v>7</v>
      </c>
      <c r="C11" s="594" t="s">
        <v>8</v>
      </c>
      <c r="D11" s="595"/>
      <c r="E11" s="596" t="s">
        <v>9</v>
      </c>
      <c r="F11" s="602" t="s">
        <v>10</v>
      </c>
      <c r="G11" s="602" t="s">
        <v>11</v>
      </c>
      <c r="H11" s="604" t="s">
        <v>12</v>
      </c>
      <c r="I11" s="613" t="s">
        <v>13</v>
      </c>
      <c r="J11" s="134"/>
      <c r="K11" s="129"/>
    </row>
    <row r="12" spans="1:11" ht="18.75" customHeight="1" x14ac:dyDescent="0.25">
      <c r="A12" s="597"/>
      <c r="B12" s="603"/>
      <c r="C12" s="139" t="s">
        <v>15</v>
      </c>
      <c r="D12" s="139" t="s">
        <v>16</v>
      </c>
      <c r="E12" s="597"/>
      <c r="F12" s="603"/>
      <c r="G12" s="603"/>
      <c r="H12" s="603"/>
      <c r="I12" s="614"/>
      <c r="J12" s="134"/>
      <c r="K12" s="129"/>
    </row>
    <row r="13" spans="1:11" ht="12" customHeight="1" x14ac:dyDescent="0.25">
      <c r="A13" s="140"/>
      <c r="B13" s="141"/>
      <c r="C13" s="141"/>
      <c r="D13" s="141"/>
      <c r="E13" s="141"/>
      <c r="F13" s="141"/>
      <c r="G13" s="141"/>
      <c r="H13" s="141"/>
      <c r="I13" s="142"/>
      <c r="J13" s="134"/>
      <c r="K13" s="129"/>
    </row>
    <row r="14" spans="1:11" ht="12" customHeight="1" x14ac:dyDescent="0.25">
      <c r="A14" s="143"/>
      <c r="B14" s="144"/>
      <c r="C14" s="144"/>
      <c r="D14" s="144"/>
      <c r="E14" s="145"/>
      <c r="F14" s="144"/>
      <c r="G14" s="146"/>
      <c r="H14" s="147"/>
      <c r="I14" s="148"/>
      <c r="J14" s="134"/>
      <c r="K14" s="129"/>
    </row>
    <row r="15" spans="1:11" ht="12" customHeight="1" x14ac:dyDescent="0.25">
      <c r="A15" s="149" t="s">
        <v>33</v>
      </c>
      <c r="B15" s="150"/>
      <c r="C15" s="150"/>
      <c r="D15" s="150"/>
      <c r="E15" s="151"/>
      <c r="F15" s="150"/>
      <c r="G15" s="146"/>
      <c r="H15" s="152"/>
      <c r="I15" s="153"/>
      <c r="J15" s="134"/>
      <c r="K15" s="129"/>
    </row>
    <row r="16" spans="1:11" ht="12" customHeight="1" x14ac:dyDescent="0.25">
      <c r="A16" s="140"/>
      <c r="B16" s="141"/>
      <c r="C16" s="141"/>
      <c r="D16" s="141"/>
      <c r="E16" s="141"/>
      <c r="F16" s="141"/>
      <c r="G16" s="141"/>
      <c r="H16" s="141"/>
      <c r="I16" s="142"/>
      <c r="J16" s="134"/>
      <c r="K16" s="129"/>
    </row>
    <row r="17" spans="1:11" ht="12" customHeight="1" x14ac:dyDescent="0.25">
      <c r="A17" s="143"/>
      <c r="B17" s="144"/>
      <c r="C17" s="144"/>
      <c r="D17" s="144"/>
      <c r="E17" s="154"/>
      <c r="F17" s="144"/>
      <c r="G17" s="146"/>
      <c r="H17" s="147"/>
      <c r="I17" s="155"/>
      <c r="J17" s="134"/>
      <c r="K17" s="129"/>
    </row>
    <row r="18" spans="1:11" ht="12" customHeight="1" x14ac:dyDescent="0.25">
      <c r="A18" s="143"/>
      <c r="B18" s="144"/>
      <c r="C18" s="144"/>
      <c r="D18" s="144"/>
      <c r="E18" s="154"/>
      <c r="F18" s="144"/>
      <c r="G18" s="146"/>
      <c r="H18" s="147"/>
      <c r="I18" s="155"/>
      <c r="J18" s="134"/>
      <c r="K18" s="129"/>
    </row>
    <row r="19" spans="1:11" ht="12" customHeight="1" x14ac:dyDescent="0.25">
      <c r="A19" s="143"/>
      <c r="B19" s="144"/>
      <c r="C19" s="144"/>
      <c r="D19" s="144"/>
      <c r="E19" s="154"/>
      <c r="F19" s="144"/>
      <c r="G19" s="146"/>
      <c r="H19" s="147"/>
      <c r="I19" s="155"/>
      <c r="J19" s="134"/>
      <c r="K19" s="129"/>
    </row>
    <row r="20" spans="1:11" ht="12" customHeight="1" x14ac:dyDescent="0.25">
      <c r="A20" s="143"/>
      <c r="B20" s="144"/>
      <c r="C20" s="144"/>
      <c r="D20" s="144"/>
      <c r="E20" s="154"/>
      <c r="F20" s="144"/>
      <c r="G20" s="146"/>
      <c r="H20" s="147"/>
      <c r="I20" s="155"/>
      <c r="J20" s="134"/>
      <c r="K20" s="129"/>
    </row>
    <row r="21" spans="1:11" ht="12" customHeight="1" x14ac:dyDescent="0.25">
      <c r="A21" s="149" t="s">
        <v>33</v>
      </c>
      <c r="B21" s="156"/>
      <c r="C21" s="157"/>
      <c r="D21" s="156"/>
      <c r="E21" s="156"/>
      <c r="F21" s="156"/>
      <c r="G21" s="146"/>
      <c r="H21" s="156"/>
      <c r="I21" s="153"/>
      <c r="J21" s="134"/>
      <c r="K21" s="129"/>
    </row>
    <row r="22" spans="1:11" ht="12" customHeight="1" x14ac:dyDescent="0.25">
      <c r="A22" s="140"/>
      <c r="B22" s="141"/>
      <c r="C22" s="141"/>
      <c r="D22" s="141"/>
      <c r="E22" s="141"/>
      <c r="F22" s="141"/>
      <c r="G22" s="141"/>
      <c r="H22" s="141"/>
      <c r="I22" s="142"/>
      <c r="J22" s="134"/>
      <c r="K22" s="129"/>
    </row>
    <row r="23" spans="1:11" ht="12" customHeight="1" x14ac:dyDescent="0.25">
      <c r="A23" s="143"/>
      <c r="B23" s="144"/>
      <c r="C23" s="144"/>
      <c r="D23" s="144"/>
      <c r="E23" s="145"/>
      <c r="F23" s="144"/>
      <c r="G23" s="146"/>
      <c r="H23" s="147"/>
      <c r="I23" s="155"/>
      <c r="J23" s="134"/>
      <c r="K23" s="129"/>
    </row>
    <row r="24" spans="1:11" ht="12" customHeight="1" x14ac:dyDescent="0.25">
      <c r="A24" s="143"/>
      <c r="B24" s="144"/>
      <c r="C24" s="144"/>
      <c r="D24" s="144"/>
      <c r="E24" s="145"/>
      <c r="F24" s="144"/>
      <c r="G24" s="146"/>
      <c r="H24" s="147"/>
      <c r="I24" s="155"/>
      <c r="J24" s="134"/>
      <c r="K24" s="129"/>
    </row>
    <row r="25" spans="1:11" ht="12" customHeight="1" x14ac:dyDescent="0.25">
      <c r="A25" s="143"/>
      <c r="B25" s="144"/>
      <c r="C25" s="144"/>
      <c r="D25" s="144"/>
      <c r="E25" s="145"/>
      <c r="F25" s="144"/>
      <c r="G25" s="146"/>
      <c r="H25" s="147"/>
      <c r="I25" s="155"/>
      <c r="J25" s="134"/>
      <c r="K25" s="129"/>
    </row>
    <row r="26" spans="1:11" ht="12" customHeight="1" x14ac:dyDescent="0.25">
      <c r="A26" s="143"/>
      <c r="B26" s="144"/>
      <c r="C26" s="144"/>
      <c r="D26" s="144"/>
      <c r="E26" s="145"/>
      <c r="F26" s="144"/>
      <c r="G26" s="146"/>
      <c r="H26" s="147"/>
      <c r="I26" s="155"/>
      <c r="J26" s="134"/>
      <c r="K26" s="129"/>
    </row>
    <row r="27" spans="1:11" ht="12" customHeight="1" x14ac:dyDescent="0.25">
      <c r="A27" s="143"/>
      <c r="B27" s="144"/>
      <c r="C27" s="144"/>
      <c r="D27" s="144"/>
      <c r="E27" s="145"/>
      <c r="F27" s="144"/>
      <c r="G27" s="146"/>
      <c r="H27" s="147"/>
      <c r="I27" s="155"/>
      <c r="J27" s="134"/>
      <c r="K27" s="129"/>
    </row>
    <row r="28" spans="1:11" ht="12" customHeight="1" x14ac:dyDescent="0.25">
      <c r="A28" s="143"/>
      <c r="B28" s="144"/>
      <c r="C28" s="144"/>
      <c r="D28" s="144"/>
      <c r="E28" s="145"/>
      <c r="F28" s="144"/>
      <c r="G28" s="146"/>
      <c r="H28" s="147"/>
      <c r="I28" s="155"/>
      <c r="J28" s="134"/>
      <c r="K28" s="129"/>
    </row>
    <row r="29" spans="1:11" ht="12" customHeight="1" x14ac:dyDescent="0.25">
      <c r="A29" s="143"/>
      <c r="B29" s="144"/>
      <c r="C29" s="144"/>
      <c r="D29" s="144"/>
      <c r="E29" s="145"/>
      <c r="F29" s="144"/>
      <c r="G29" s="146"/>
      <c r="H29" s="147"/>
      <c r="I29" s="155"/>
      <c r="J29" s="134"/>
      <c r="K29" s="129"/>
    </row>
    <row r="30" spans="1:11" ht="12" customHeight="1" x14ac:dyDescent="0.25">
      <c r="A30" s="143"/>
      <c r="B30" s="144"/>
      <c r="C30" s="144"/>
      <c r="D30" s="144"/>
      <c r="E30" s="145"/>
      <c r="F30" s="158"/>
      <c r="G30" s="146"/>
      <c r="H30" s="147"/>
      <c r="I30" s="155"/>
      <c r="J30" s="134"/>
      <c r="K30" s="129"/>
    </row>
    <row r="31" spans="1:11" ht="12" customHeight="1" x14ac:dyDescent="0.25">
      <c r="A31" s="159" t="s">
        <v>33</v>
      </c>
      <c r="B31" s="160"/>
      <c r="C31" s="160"/>
      <c r="D31" s="160"/>
      <c r="E31" s="161"/>
      <c r="F31" s="160"/>
      <c r="G31" s="146"/>
      <c r="H31" s="162"/>
      <c r="I31" s="163"/>
      <c r="J31" s="134"/>
      <c r="K31" s="129"/>
    </row>
    <row r="32" spans="1:11" ht="12" customHeight="1" x14ac:dyDescent="0.25">
      <c r="A32" s="140"/>
      <c r="B32" s="141"/>
      <c r="C32" s="141"/>
      <c r="D32" s="141"/>
      <c r="E32" s="141"/>
      <c r="F32" s="141"/>
      <c r="G32" s="141"/>
      <c r="H32" s="141"/>
      <c r="I32" s="142"/>
      <c r="J32" s="134"/>
      <c r="K32" s="129"/>
    </row>
    <row r="33" spans="1:11" ht="12" customHeight="1" x14ac:dyDescent="0.25">
      <c r="A33" s="143"/>
      <c r="B33" s="144"/>
      <c r="C33" s="144"/>
      <c r="D33" s="144"/>
      <c r="E33" s="145"/>
      <c r="F33" s="144"/>
      <c r="G33" s="146"/>
      <c r="H33" s="147"/>
      <c r="I33" s="155"/>
      <c r="J33" s="134"/>
      <c r="K33" s="129"/>
    </row>
    <row r="34" spans="1:11" ht="12" customHeight="1" x14ac:dyDescent="0.25">
      <c r="A34" s="143"/>
      <c r="B34" s="144"/>
      <c r="C34" s="144"/>
      <c r="D34" s="144"/>
      <c r="E34" s="145"/>
      <c r="F34" s="144"/>
      <c r="G34" s="146"/>
      <c r="H34" s="147"/>
      <c r="I34" s="155"/>
      <c r="J34" s="134"/>
      <c r="K34" s="129"/>
    </row>
    <row r="35" spans="1:11" ht="12" customHeight="1" x14ac:dyDescent="0.25">
      <c r="A35" s="164"/>
      <c r="B35" s="144"/>
      <c r="C35" s="144"/>
      <c r="D35" s="144"/>
      <c r="E35" s="145"/>
      <c r="F35" s="144"/>
      <c r="G35" s="146"/>
      <c r="H35" s="147"/>
      <c r="I35" s="155"/>
      <c r="J35" s="134"/>
      <c r="K35" s="129"/>
    </row>
    <row r="36" spans="1:11" ht="12" customHeight="1" x14ac:dyDescent="0.25">
      <c r="A36" s="149" t="s">
        <v>33</v>
      </c>
      <c r="B36" s="165"/>
      <c r="C36" s="165"/>
      <c r="D36" s="165"/>
      <c r="E36" s="166"/>
      <c r="F36" s="150"/>
      <c r="G36" s="146"/>
      <c r="H36" s="152"/>
      <c r="I36" s="153"/>
      <c r="J36" s="134"/>
      <c r="K36" s="129"/>
    </row>
    <row r="37" spans="1:11" ht="12" customHeight="1" x14ac:dyDescent="0.25">
      <c r="A37" s="140"/>
      <c r="B37" s="141"/>
      <c r="C37" s="141"/>
      <c r="D37" s="141"/>
      <c r="E37" s="141"/>
      <c r="F37" s="141"/>
      <c r="G37" s="141"/>
      <c r="H37" s="141"/>
      <c r="I37" s="142"/>
      <c r="J37" s="134"/>
      <c r="K37" s="129"/>
    </row>
    <row r="38" spans="1:11" ht="12" customHeight="1" x14ac:dyDescent="0.25">
      <c r="A38" s="143"/>
      <c r="B38" s="144"/>
      <c r="C38" s="144"/>
      <c r="D38" s="144"/>
      <c r="E38" s="145"/>
      <c r="F38" s="144"/>
      <c r="G38" s="146"/>
      <c r="H38" s="147"/>
      <c r="I38" s="155"/>
      <c r="J38" s="134"/>
      <c r="K38" s="129"/>
    </row>
    <row r="39" spans="1:11" ht="12" customHeight="1" x14ac:dyDescent="0.25">
      <c r="A39" s="149" t="s">
        <v>33</v>
      </c>
      <c r="B39" s="165"/>
      <c r="C39" s="165"/>
      <c r="D39" s="165"/>
      <c r="E39" s="151"/>
      <c r="F39" s="150"/>
      <c r="G39" s="146"/>
      <c r="H39" s="152"/>
      <c r="I39" s="153"/>
      <c r="J39" s="134"/>
      <c r="K39" s="129"/>
    </row>
    <row r="40" spans="1:11" ht="12" customHeight="1" x14ac:dyDescent="0.25">
      <c r="A40" s="615" t="s">
        <v>492</v>
      </c>
      <c r="B40" s="616"/>
      <c r="C40" s="616"/>
      <c r="D40" s="616"/>
      <c r="E40" s="616"/>
      <c r="F40" s="616"/>
      <c r="G40" s="616"/>
      <c r="H40" s="617"/>
      <c r="I40" s="167"/>
      <c r="J40" s="134"/>
      <c r="K40" s="129"/>
    </row>
    <row r="41" spans="1:11" ht="12" customHeight="1" x14ac:dyDescent="0.25">
      <c r="A41" s="168"/>
      <c r="B41" s="168"/>
      <c r="C41" s="168"/>
      <c r="D41" s="168"/>
      <c r="E41" s="168"/>
      <c r="F41" s="168"/>
      <c r="G41" s="168"/>
      <c r="H41" s="168"/>
      <c r="I41" s="169"/>
      <c r="J41" s="134"/>
      <c r="K41" s="129"/>
    </row>
    <row r="42" spans="1:11" ht="12" customHeight="1" x14ac:dyDescent="0.25">
      <c r="A42" s="129"/>
      <c r="B42" s="130"/>
      <c r="C42" s="129"/>
      <c r="D42" s="129"/>
      <c r="E42" s="618"/>
      <c r="F42" s="600"/>
      <c r="G42" s="595"/>
      <c r="H42" s="170"/>
      <c r="I42" s="171"/>
      <c r="J42" s="134"/>
      <c r="K42" s="129"/>
    </row>
    <row r="43" spans="1:11" ht="12" customHeight="1" x14ac:dyDescent="0.25">
      <c r="A43" s="129"/>
      <c r="B43" s="130"/>
      <c r="C43" s="129"/>
      <c r="D43" s="129"/>
      <c r="E43" s="172"/>
      <c r="F43" s="173"/>
      <c r="G43" s="174"/>
      <c r="H43" s="175"/>
      <c r="I43" s="176"/>
      <c r="J43" s="134"/>
      <c r="K43" s="129"/>
    </row>
    <row r="44" spans="1:11" ht="12" customHeight="1" x14ac:dyDescent="0.25">
      <c r="A44" s="129"/>
      <c r="B44" s="160"/>
      <c r="C44" s="160"/>
      <c r="D44" s="160"/>
      <c r="E44" s="172"/>
      <c r="F44" s="177"/>
      <c r="G44" s="178"/>
      <c r="H44" s="179"/>
      <c r="I44" s="176"/>
      <c r="J44" s="134"/>
      <c r="K44" s="129"/>
    </row>
    <row r="45" spans="1:11" ht="12" customHeight="1" x14ac:dyDescent="0.25">
      <c r="A45" s="129"/>
      <c r="B45" s="160"/>
      <c r="C45" s="160"/>
      <c r="D45" s="160"/>
      <c r="E45" s="180" t="s">
        <v>468</v>
      </c>
      <c r="F45" s="177"/>
      <c r="G45" s="178"/>
      <c r="H45" s="179"/>
      <c r="I45" s="181"/>
      <c r="J45" s="134"/>
      <c r="K45" s="129"/>
    </row>
    <row r="46" spans="1:11" ht="12" customHeight="1" x14ac:dyDescent="0.25">
      <c r="A46" s="129"/>
      <c r="B46" s="130"/>
      <c r="C46" s="129"/>
      <c r="D46" s="129"/>
      <c r="E46" s="182"/>
      <c r="F46" s="177"/>
      <c r="G46" s="178"/>
      <c r="H46" s="183"/>
      <c r="I46" s="176"/>
      <c r="J46" s="134"/>
      <c r="K46" s="129"/>
    </row>
    <row r="47" spans="1:11" ht="12" customHeight="1" x14ac:dyDescent="0.25">
      <c r="A47" s="129"/>
      <c r="B47" s="130"/>
      <c r="C47" s="129"/>
      <c r="D47" s="129"/>
      <c r="E47" s="182"/>
      <c r="F47" s="177"/>
      <c r="G47" s="178"/>
      <c r="H47" s="183"/>
      <c r="I47" s="176"/>
      <c r="J47" s="134"/>
      <c r="K47" s="129"/>
    </row>
    <row r="48" spans="1:11" ht="12" customHeight="1" x14ac:dyDescent="0.25">
      <c r="A48" s="129"/>
      <c r="B48" s="130"/>
      <c r="C48" s="129"/>
      <c r="D48" s="129"/>
      <c r="E48" s="184"/>
      <c r="F48" s="177"/>
      <c r="G48" s="178"/>
      <c r="H48" s="183"/>
      <c r="I48" s="181"/>
      <c r="J48" s="134"/>
      <c r="K48" s="129"/>
    </row>
    <row r="49" spans="1:11" ht="12" customHeight="1" x14ac:dyDescent="0.25">
      <c r="A49" s="129"/>
      <c r="B49" s="130"/>
      <c r="C49" s="129"/>
      <c r="D49" s="129"/>
      <c r="E49" s="185" t="s">
        <v>472</v>
      </c>
      <c r="F49" s="186"/>
      <c r="G49" s="187"/>
      <c r="H49" s="188"/>
      <c r="I49" s="167"/>
      <c r="J49" s="134"/>
      <c r="K49" s="129"/>
    </row>
    <row r="50" spans="1:11" ht="17.25" customHeight="1" x14ac:dyDescent="0.25">
      <c r="A50" s="129"/>
      <c r="B50" s="130"/>
      <c r="C50" s="130"/>
      <c r="D50" s="130"/>
      <c r="E50" s="129"/>
      <c r="F50" s="129"/>
      <c r="G50" s="189"/>
      <c r="H50" s="190"/>
      <c r="I50" s="191"/>
      <c r="J50" s="134"/>
      <c r="K50" s="129"/>
    </row>
    <row r="51" spans="1:11" ht="17.25" customHeight="1" x14ac:dyDescent="0.25">
      <c r="A51" s="192"/>
      <c r="B51" s="599"/>
      <c r="C51" s="600"/>
      <c r="D51" s="600"/>
      <c r="E51" s="600"/>
      <c r="F51" s="600"/>
      <c r="G51" s="600"/>
      <c r="H51" s="600"/>
      <c r="I51" s="564"/>
      <c r="J51" s="193"/>
      <c r="K51" s="129"/>
    </row>
    <row r="52" spans="1:11" ht="33.75" customHeight="1" x14ac:dyDescent="0.25">
      <c r="A52" s="598" t="s">
        <v>493</v>
      </c>
      <c r="B52" s="585"/>
      <c r="C52" s="585"/>
      <c r="D52" s="585"/>
      <c r="E52" s="579"/>
      <c r="F52" s="601" t="s">
        <v>9</v>
      </c>
      <c r="G52" s="576"/>
      <c r="H52" s="577"/>
      <c r="I52" s="194" t="s">
        <v>475</v>
      </c>
      <c r="J52" s="195"/>
      <c r="K52" s="129"/>
    </row>
    <row r="53" spans="1:11" ht="48" customHeight="1" x14ac:dyDescent="0.25">
      <c r="A53" s="598" t="s">
        <v>494</v>
      </c>
      <c r="B53" s="585"/>
      <c r="C53" s="585"/>
      <c r="D53" s="585"/>
      <c r="E53" s="579"/>
      <c r="F53" s="621" t="s">
        <v>477</v>
      </c>
      <c r="G53" s="579"/>
      <c r="H53" s="196" t="s">
        <v>478</v>
      </c>
      <c r="I53" s="197">
        <v>0.27900000000000003</v>
      </c>
      <c r="J53" s="195"/>
      <c r="K53" s="129"/>
    </row>
    <row r="54" spans="1:11" ht="23.25" customHeight="1" x14ac:dyDescent="0.25">
      <c r="A54" s="598" t="s">
        <v>495</v>
      </c>
      <c r="B54" s="585"/>
      <c r="C54" s="585"/>
      <c r="D54" s="585"/>
      <c r="E54" s="579"/>
      <c r="F54" s="622" t="s">
        <v>480</v>
      </c>
      <c r="G54" s="579"/>
      <c r="H54" s="196" t="s">
        <v>481</v>
      </c>
      <c r="I54" s="197">
        <v>0.01</v>
      </c>
      <c r="J54" s="195"/>
      <c r="K54" s="129"/>
    </row>
    <row r="55" spans="1:11" ht="36.75" customHeight="1" x14ac:dyDescent="0.25">
      <c r="A55" s="598" t="s">
        <v>496</v>
      </c>
      <c r="B55" s="585"/>
      <c r="C55" s="585"/>
      <c r="D55" s="585"/>
      <c r="E55" s="579"/>
      <c r="F55" s="623" t="s">
        <v>483</v>
      </c>
      <c r="G55" s="579"/>
      <c r="H55" s="196" t="s">
        <v>484</v>
      </c>
      <c r="I55" s="197">
        <v>0.03</v>
      </c>
      <c r="J55" s="134"/>
      <c r="K55" s="129"/>
    </row>
    <row r="56" spans="1:11" ht="33.75" customHeight="1" x14ac:dyDescent="0.25">
      <c r="A56" s="198"/>
      <c r="B56" s="199"/>
      <c r="C56" s="199"/>
      <c r="D56" s="199"/>
      <c r="E56" s="200"/>
      <c r="F56" s="621" t="s">
        <v>485</v>
      </c>
      <c r="G56" s="579"/>
      <c r="H56" s="196" t="s">
        <v>486</v>
      </c>
      <c r="I56" s="201">
        <f>SUM(I53:I55)</f>
        <v>0.31900000000000006</v>
      </c>
      <c r="J56" s="134"/>
      <c r="K56" s="129"/>
    </row>
    <row r="57" spans="1:11" ht="33.75" customHeight="1" x14ac:dyDescent="0.25">
      <c r="A57" s="202"/>
      <c r="B57" s="203"/>
      <c r="C57" s="203"/>
      <c r="D57" s="203"/>
      <c r="E57" s="204"/>
      <c r="F57" s="619"/>
      <c r="G57" s="585"/>
      <c r="H57" s="585"/>
      <c r="I57" s="620"/>
      <c r="J57" s="134"/>
      <c r="K57" s="129"/>
    </row>
    <row r="58" spans="1:11" ht="35.25" customHeight="1" x14ac:dyDescent="0.25">
      <c r="A58" s="205"/>
      <c r="B58" s="205"/>
      <c r="C58" s="205"/>
      <c r="D58" s="205"/>
      <c r="E58" s="205"/>
      <c r="F58" s="205"/>
      <c r="G58" s="205"/>
      <c r="H58" s="205"/>
      <c r="I58" s="205"/>
      <c r="J58" s="134"/>
      <c r="K58" s="129"/>
    </row>
    <row r="59" spans="1:11" ht="31.5" customHeight="1" x14ac:dyDescent="0.25">
      <c r="A59" s="205"/>
      <c r="B59" s="205"/>
      <c r="C59" s="205"/>
      <c r="D59" s="205"/>
      <c r="E59" s="206" t="s">
        <v>497</v>
      </c>
      <c r="F59" s="205"/>
      <c r="G59" s="205"/>
      <c r="H59" s="205"/>
      <c r="I59" s="205"/>
      <c r="J59" s="134"/>
      <c r="K59" s="129"/>
    </row>
    <row r="60" spans="1:11" ht="31.5" customHeight="1" x14ac:dyDescent="0.25">
      <c r="A60" s="207"/>
      <c r="B60" s="207"/>
      <c r="C60" s="208"/>
      <c r="D60" s="207"/>
      <c r="E60" s="209"/>
      <c r="F60" s="207"/>
      <c r="G60" s="207"/>
      <c r="H60" s="207"/>
      <c r="I60" s="207"/>
      <c r="J60" s="210"/>
      <c r="K60" s="129"/>
    </row>
    <row r="61" spans="1:11" ht="12" customHeight="1" x14ac:dyDescent="0.25">
      <c r="A61" s="129"/>
      <c r="B61" s="129"/>
      <c r="C61" s="130"/>
      <c r="D61" s="129"/>
      <c r="E61" s="129"/>
      <c r="F61" s="129"/>
      <c r="G61" s="129"/>
      <c r="H61" s="129"/>
      <c r="I61" s="129"/>
      <c r="J61" s="129"/>
      <c r="K61" s="129"/>
    </row>
    <row r="62" spans="1:11" ht="12" customHeight="1" x14ac:dyDescent="0.25">
      <c r="A62" s="211"/>
      <c r="B62" s="211"/>
      <c r="C62" s="211"/>
      <c r="D62" s="211"/>
      <c r="E62" s="211"/>
      <c r="F62" s="211"/>
      <c r="G62" s="211"/>
      <c r="H62" s="211"/>
      <c r="I62" s="211"/>
      <c r="J62" s="211"/>
      <c r="K62" s="211"/>
    </row>
    <row r="63" spans="1:11" ht="12" customHeight="1" x14ac:dyDescent="0.25">
      <c r="A63" s="211"/>
      <c r="B63" s="211"/>
      <c r="C63" s="211"/>
      <c r="D63" s="211"/>
      <c r="E63" s="211"/>
      <c r="F63" s="211"/>
      <c r="G63" s="211"/>
      <c r="H63" s="211"/>
      <c r="I63" s="211"/>
      <c r="J63" s="211"/>
      <c r="K63" s="211"/>
    </row>
    <row r="64" spans="1:11" ht="12" customHeight="1" x14ac:dyDescent="0.25">
      <c r="A64" s="211"/>
      <c r="B64" s="211"/>
      <c r="C64" s="211"/>
      <c r="D64" s="211"/>
      <c r="E64" s="211"/>
      <c r="F64" s="211"/>
      <c r="G64" s="211"/>
      <c r="H64" s="211"/>
      <c r="I64" s="211"/>
      <c r="J64" s="211"/>
      <c r="K64" s="211"/>
    </row>
    <row r="65" spans="1:11" ht="12" customHeight="1" x14ac:dyDescent="0.25">
      <c r="A65" s="211"/>
      <c r="B65" s="211"/>
      <c r="C65" s="211"/>
      <c r="D65" s="211"/>
      <c r="E65" s="211"/>
      <c r="F65" s="211"/>
      <c r="G65" s="211"/>
      <c r="H65" s="211"/>
      <c r="I65" s="211"/>
      <c r="J65" s="211"/>
      <c r="K65" s="211"/>
    </row>
    <row r="66" spans="1:11" ht="12" customHeight="1" x14ac:dyDescent="0.25">
      <c r="A66" s="211"/>
      <c r="B66" s="211"/>
      <c r="C66" s="211"/>
      <c r="D66" s="211"/>
      <c r="E66" s="211"/>
      <c r="F66" s="211"/>
      <c r="G66" s="211"/>
      <c r="H66" s="211"/>
      <c r="I66" s="211"/>
      <c r="J66" s="211"/>
      <c r="K66" s="211"/>
    </row>
    <row r="67" spans="1:11" ht="12" customHeight="1" x14ac:dyDescent="0.25">
      <c r="A67" s="211"/>
      <c r="B67" s="211"/>
      <c r="C67" s="211"/>
      <c r="D67" s="211"/>
      <c r="E67" s="211"/>
      <c r="F67" s="211"/>
      <c r="G67" s="211"/>
      <c r="H67" s="211"/>
      <c r="I67" s="211"/>
      <c r="J67" s="211"/>
      <c r="K67" s="211"/>
    </row>
    <row r="68" spans="1:11" ht="12" customHeight="1" x14ac:dyDescent="0.25">
      <c r="A68" s="211"/>
      <c r="B68" s="211"/>
      <c r="C68" s="211"/>
      <c r="D68" s="211"/>
      <c r="E68" s="211"/>
      <c r="F68" s="211"/>
      <c r="G68" s="211"/>
      <c r="H68" s="211"/>
      <c r="I68" s="211"/>
      <c r="J68" s="211"/>
      <c r="K68" s="211"/>
    </row>
    <row r="69" spans="1:11" ht="12" customHeight="1" x14ac:dyDescent="0.25">
      <c r="A69" s="211"/>
      <c r="B69" s="211"/>
      <c r="C69" s="211"/>
      <c r="D69" s="211"/>
      <c r="E69" s="211"/>
      <c r="F69" s="211"/>
      <c r="G69" s="211"/>
      <c r="H69" s="211"/>
      <c r="I69" s="211"/>
      <c r="J69" s="211"/>
      <c r="K69" s="211"/>
    </row>
    <row r="70" spans="1:11" ht="12" customHeight="1" x14ac:dyDescent="0.25">
      <c r="A70" s="211"/>
      <c r="B70" s="211"/>
      <c r="C70" s="211"/>
      <c r="D70" s="211"/>
      <c r="E70" s="211"/>
      <c r="F70" s="211"/>
      <c r="G70" s="211"/>
      <c r="H70" s="211"/>
      <c r="I70" s="211"/>
      <c r="J70" s="211"/>
      <c r="K70" s="211"/>
    </row>
    <row r="71" spans="1:11" ht="12" customHeight="1" x14ac:dyDescent="0.25">
      <c r="A71" s="211"/>
      <c r="B71" s="211"/>
      <c r="C71" s="211"/>
      <c r="D71" s="211"/>
      <c r="E71" s="211"/>
      <c r="F71" s="211"/>
      <c r="G71" s="211"/>
      <c r="H71" s="211"/>
      <c r="I71" s="211"/>
      <c r="J71" s="211"/>
      <c r="K71" s="211"/>
    </row>
    <row r="72" spans="1:11" ht="12" customHeight="1" x14ac:dyDescent="0.25">
      <c r="A72" s="211"/>
      <c r="B72" s="211"/>
      <c r="C72" s="211"/>
      <c r="D72" s="211"/>
      <c r="E72" s="211"/>
      <c r="F72" s="211"/>
      <c r="G72" s="211"/>
      <c r="H72" s="211"/>
      <c r="I72" s="211"/>
      <c r="J72" s="211"/>
      <c r="K72" s="211"/>
    </row>
    <row r="73" spans="1:11" ht="12" customHeight="1" x14ac:dyDescent="0.25">
      <c r="A73" s="211"/>
      <c r="B73" s="211"/>
      <c r="C73" s="211"/>
      <c r="D73" s="211"/>
      <c r="E73" s="211"/>
      <c r="F73" s="211"/>
      <c r="G73" s="211"/>
      <c r="H73" s="211"/>
      <c r="I73" s="211"/>
      <c r="J73" s="211"/>
      <c r="K73" s="211"/>
    </row>
    <row r="74" spans="1:11" ht="12" customHeight="1" x14ac:dyDescent="0.25">
      <c r="A74" s="211"/>
      <c r="B74" s="211"/>
      <c r="C74" s="211"/>
      <c r="D74" s="211"/>
      <c r="E74" s="211"/>
      <c r="F74" s="211"/>
      <c r="G74" s="211"/>
      <c r="H74" s="211"/>
      <c r="I74" s="211"/>
      <c r="J74" s="211"/>
      <c r="K74" s="211"/>
    </row>
    <row r="75" spans="1:11" ht="12" customHeight="1" x14ac:dyDescent="0.25">
      <c r="A75" s="211"/>
      <c r="B75" s="211"/>
      <c r="C75" s="211"/>
      <c r="D75" s="211"/>
      <c r="E75" s="211"/>
      <c r="F75" s="211"/>
      <c r="G75" s="211"/>
      <c r="H75" s="211"/>
      <c r="I75" s="211"/>
      <c r="J75" s="211"/>
      <c r="K75" s="211"/>
    </row>
    <row r="76" spans="1:11" ht="12" customHeight="1" x14ac:dyDescent="0.25">
      <c r="A76" s="211"/>
      <c r="B76" s="211"/>
      <c r="C76" s="211"/>
      <c r="D76" s="211"/>
      <c r="E76" s="211"/>
      <c r="F76" s="211"/>
      <c r="G76" s="211"/>
      <c r="H76" s="211"/>
      <c r="I76" s="211"/>
      <c r="J76" s="211"/>
      <c r="K76" s="211"/>
    </row>
    <row r="77" spans="1:11" ht="12" customHeight="1" x14ac:dyDescent="0.25">
      <c r="A77" s="211"/>
      <c r="B77" s="211"/>
      <c r="C77" s="211"/>
      <c r="D77" s="211"/>
      <c r="E77" s="211"/>
      <c r="F77" s="211"/>
      <c r="G77" s="211"/>
      <c r="H77" s="211"/>
      <c r="I77" s="211"/>
      <c r="J77" s="211"/>
      <c r="K77" s="211"/>
    </row>
    <row r="78" spans="1:11" ht="12" customHeight="1" x14ac:dyDescent="0.25">
      <c r="A78" s="211"/>
      <c r="B78" s="211"/>
      <c r="C78" s="211"/>
      <c r="D78" s="211"/>
      <c r="E78" s="211"/>
      <c r="F78" s="211"/>
      <c r="G78" s="211"/>
      <c r="H78" s="211"/>
      <c r="I78" s="211"/>
      <c r="J78" s="211"/>
      <c r="K78" s="211"/>
    </row>
    <row r="79" spans="1:11" ht="12" customHeight="1" x14ac:dyDescent="0.25">
      <c r="A79" s="211"/>
      <c r="B79" s="211"/>
      <c r="C79" s="211"/>
      <c r="D79" s="211"/>
      <c r="E79" s="211"/>
      <c r="F79" s="211"/>
      <c r="G79" s="211"/>
      <c r="H79" s="211"/>
      <c r="I79" s="211"/>
      <c r="J79" s="211"/>
      <c r="K79" s="211"/>
    </row>
    <row r="80" spans="1:11" ht="12" customHeight="1" x14ac:dyDescent="0.25">
      <c r="A80" s="211"/>
      <c r="B80" s="211"/>
      <c r="C80" s="211"/>
      <c r="D80" s="211"/>
      <c r="E80" s="211"/>
      <c r="F80" s="211"/>
      <c r="G80" s="211"/>
      <c r="H80" s="211"/>
      <c r="I80" s="211"/>
      <c r="J80" s="211"/>
      <c r="K80" s="211"/>
    </row>
    <row r="81" spans="1:11" ht="12" customHeight="1" x14ac:dyDescent="0.25">
      <c r="A81" s="211"/>
      <c r="B81" s="211"/>
      <c r="C81" s="211"/>
      <c r="D81" s="211"/>
      <c r="E81" s="211"/>
      <c r="F81" s="211"/>
      <c r="G81" s="211"/>
      <c r="H81" s="211"/>
      <c r="I81" s="211"/>
      <c r="J81" s="211"/>
      <c r="K81" s="211"/>
    </row>
    <row r="82" spans="1:11" ht="12" customHeight="1" x14ac:dyDescent="0.25">
      <c r="A82" s="211"/>
      <c r="B82" s="211"/>
      <c r="C82" s="211"/>
      <c r="D82" s="211"/>
      <c r="E82" s="211"/>
      <c r="F82" s="211"/>
      <c r="G82" s="211"/>
      <c r="H82" s="211"/>
      <c r="I82" s="211"/>
      <c r="J82" s="211"/>
      <c r="K82" s="211"/>
    </row>
    <row r="83" spans="1:11" ht="12" customHeight="1" x14ac:dyDescent="0.25">
      <c r="A83" s="211"/>
      <c r="B83" s="211"/>
      <c r="C83" s="211"/>
      <c r="D83" s="211"/>
      <c r="E83" s="211"/>
      <c r="F83" s="211"/>
      <c r="G83" s="211"/>
      <c r="H83" s="211"/>
      <c r="I83" s="211"/>
      <c r="J83" s="211"/>
      <c r="K83" s="211"/>
    </row>
    <row r="84" spans="1:11" ht="12" customHeight="1" x14ac:dyDescent="0.25">
      <c r="A84" s="211"/>
      <c r="B84" s="211"/>
      <c r="C84" s="211"/>
      <c r="D84" s="211"/>
      <c r="E84" s="211"/>
      <c r="F84" s="211"/>
      <c r="G84" s="211"/>
      <c r="H84" s="211"/>
      <c r="I84" s="211"/>
      <c r="J84" s="211"/>
      <c r="K84" s="211"/>
    </row>
    <row r="85" spans="1:11" ht="12" customHeight="1" x14ac:dyDescent="0.25">
      <c r="A85" s="211"/>
      <c r="B85" s="211"/>
      <c r="C85" s="211"/>
      <c r="D85" s="211"/>
      <c r="E85" s="211"/>
      <c r="F85" s="211"/>
      <c r="G85" s="211"/>
      <c r="H85" s="211"/>
      <c r="I85" s="211"/>
      <c r="J85" s="211"/>
      <c r="K85" s="211"/>
    </row>
    <row r="86" spans="1:11" ht="12" customHeight="1" x14ac:dyDescent="0.25">
      <c r="A86" s="211"/>
      <c r="B86" s="211"/>
      <c r="C86" s="211"/>
      <c r="D86" s="211"/>
      <c r="E86" s="211"/>
      <c r="F86" s="211"/>
      <c r="G86" s="211"/>
      <c r="H86" s="211"/>
      <c r="I86" s="211"/>
      <c r="J86" s="211"/>
      <c r="K86" s="211"/>
    </row>
    <row r="87" spans="1:11" ht="12" customHeight="1" x14ac:dyDescent="0.25">
      <c r="A87" s="211"/>
      <c r="B87" s="211"/>
      <c r="C87" s="211"/>
      <c r="D87" s="211"/>
      <c r="E87" s="211"/>
      <c r="F87" s="211"/>
      <c r="G87" s="211"/>
      <c r="H87" s="211"/>
      <c r="I87" s="211"/>
      <c r="J87" s="211"/>
      <c r="K87" s="211"/>
    </row>
    <row r="88" spans="1:11" ht="12" customHeight="1" x14ac:dyDescent="0.25">
      <c r="A88" s="211"/>
      <c r="B88" s="211"/>
      <c r="C88" s="211"/>
      <c r="D88" s="211"/>
      <c r="E88" s="211"/>
      <c r="F88" s="211"/>
      <c r="G88" s="211"/>
      <c r="H88" s="211"/>
      <c r="I88" s="211"/>
      <c r="J88" s="211"/>
      <c r="K88" s="211"/>
    </row>
    <row r="89" spans="1:11" ht="12" customHeight="1" x14ac:dyDescent="0.25">
      <c r="A89" s="211"/>
      <c r="B89" s="211"/>
      <c r="C89" s="211"/>
      <c r="D89" s="211"/>
      <c r="E89" s="211"/>
      <c r="F89" s="211"/>
      <c r="G89" s="211"/>
      <c r="H89" s="211"/>
      <c r="I89" s="211"/>
      <c r="J89" s="211"/>
      <c r="K89" s="211"/>
    </row>
    <row r="90" spans="1:11" ht="12" customHeight="1" x14ac:dyDescent="0.25">
      <c r="A90" s="211"/>
      <c r="B90" s="211"/>
      <c r="C90" s="211"/>
      <c r="D90" s="211"/>
      <c r="E90" s="211"/>
      <c r="F90" s="211"/>
      <c r="G90" s="211"/>
      <c r="H90" s="211"/>
      <c r="I90" s="211"/>
      <c r="J90" s="211"/>
      <c r="K90" s="211"/>
    </row>
    <row r="91" spans="1:11" ht="12" customHeight="1" x14ac:dyDescent="0.25">
      <c r="A91" s="211"/>
      <c r="B91" s="211"/>
      <c r="C91" s="211"/>
      <c r="D91" s="211"/>
      <c r="E91" s="211"/>
      <c r="F91" s="211"/>
      <c r="G91" s="211"/>
      <c r="H91" s="211"/>
      <c r="I91" s="211"/>
      <c r="J91" s="211"/>
      <c r="K91" s="211"/>
    </row>
    <row r="92" spans="1:11" ht="12" customHeight="1" x14ac:dyDescent="0.25">
      <c r="A92" s="211"/>
      <c r="B92" s="211"/>
      <c r="C92" s="211"/>
      <c r="D92" s="211"/>
      <c r="E92" s="211"/>
      <c r="F92" s="211"/>
      <c r="G92" s="211"/>
      <c r="H92" s="211"/>
      <c r="I92" s="211"/>
      <c r="J92" s="211"/>
      <c r="K92" s="211"/>
    </row>
    <row r="93" spans="1:11" ht="12" customHeight="1" x14ac:dyDescent="0.25">
      <c r="A93" s="211"/>
      <c r="B93" s="211"/>
      <c r="C93" s="211"/>
      <c r="D93" s="211"/>
      <c r="E93" s="211"/>
      <c r="F93" s="211"/>
      <c r="G93" s="211"/>
      <c r="H93" s="211"/>
      <c r="I93" s="211"/>
      <c r="J93" s="211"/>
      <c r="K93" s="211"/>
    </row>
    <row r="94" spans="1:11" ht="12" customHeight="1" x14ac:dyDescent="0.25">
      <c r="A94" s="211"/>
      <c r="B94" s="211"/>
      <c r="C94" s="211"/>
      <c r="D94" s="211"/>
      <c r="E94" s="211"/>
      <c r="F94" s="211"/>
      <c r="G94" s="211"/>
      <c r="H94" s="211"/>
      <c r="I94" s="211"/>
      <c r="J94" s="211"/>
      <c r="K94" s="211"/>
    </row>
    <row r="95" spans="1:11" ht="12" customHeight="1" x14ac:dyDescent="0.25">
      <c r="A95" s="211"/>
      <c r="B95" s="211"/>
      <c r="C95" s="211"/>
      <c r="D95" s="211"/>
      <c r="E95" s="211"/>
      <c r="F95" s="211"/>
      <c r="G95" s="211"/>
      <c r="H95" s="211"/>
      <c r="I95" s="211"/>
      <c r="J95" s="211"/>
      <c r="K95" s="211"/>
    </row>
    <row r="96" spans="1:11" ht="12" customHeight="1" x14ac:dyDescent="0.25">
      <c r="A96" s="211"/>
      <c r="B96" s="211"/>
      <c r="C96" s="211"/>
      <c r="D96" s="211"/>
      <c r="E96" s="211"/>
      <c r="F96" s="211"/>
      <c r="G96" s="211"/>
      <c r="H96" s="211"/>
      <c r="I96" s="211"/>
      <c r="J96" s="211"/>
      <c r="K96" s="211"/>
    </row>
    <row r="97" spans="1:11" ht="12" customHeight="1" x14ac:dyDescent="0.25">
      <c r="A97" s="211"/>
      <c r="B97" s="211"/>
      <c r="C97" s="211"/>
      <c r="D97" s="211"/>
      <c r="E97" s="211"/>
      <c r="F97" s="211"/>
      <c r="G97" s="211"/>
      <c r="H97" s="211"/>
      <c r="I97" s="211"/>
      <c r="J97" s="211"/>
      <c r="K97" s="211"/>
    </row>
    <row r="98" spans="1:11" ht="12" customHeight="1" x14ac:dyDescent="0.25">
      <c r="A98" s="211"/>
      <c r="B98" s="211"/>
      <c r="C98" s="211"/>
      <c r="D98" s="211"/>
      <c r="E98" s="211"/>
      <c r="F98" s="211"/>
      <c r="G98" s="211"/>
      <c r="H98" s="211"/>
      <c r="I98" s="211"/>
      <c r="J98" s="211"/>
      <c r="K98" s="211"/>
    </row>
    <row r="99" spans="1:11" ht="12" customHeight="1" x14ac:dyDescent="0.25">
      <c r="A99" s="211"/>
      <c r="B99" s="211"/>
      <c r="C99" s="211"/>
      <c r="D99" s="211"/>
      <c r="E99" s="211"/>
      <c r="F99" s="211"/>
      <c r="G99" s="211"/>
      <c r="H99" s="211"/>
      <c r="I99" s="211"/>
      <c r="J99" s="211"/>
      <c r="K99" s="211"/>
    </row>
    <row r="100" spans="1:11" ht="12" customHeight="1" x14ac:dyDescent="0.25">
      <c r="A100" s="211"/>
      <c r="B100" s="211"/>
      <c r="C100" s="211"/>
      <c r="D100" s="211"/>
      <c r="E100" s="211"/>
      <c r="F100" s="211"/>
      <c r="G100" s="211"/>
      <c r="H100" s="211"/>
      <c r="I100" s="211"/>
      <c r="J100" s="211"/>
      <c r="K100" s="211"/>
    </row>
  </sheetData>
  <mergeCells count="27">
    <mergeCell ref="F57:I57"/>
    <mergeCell ref="A55:E55"/>
    <mergeCell ref="F53:G53"/>
    <mergeCell ref="F56:G56"/>
    <mergeCell ref="F54:G54"/>
    <mergeCell ref="F55:G55"/>
    <mergeCell ref="I11:I12"/>
    <mergeCell ref="A11:A12"/>
    <mergeCell ref="B11:B12"/>
    <mergeCell ref="A40:H40"/>
    <mergeCell ref="E42:G42"/>
    <mergeCell ref="A3:D3"/>
    <mergeCell ref="C11:D11"/>
    <mergeCell ref="E11:E12"/>
    <mergeCell ref="A53:E53"/>
    <mergeCell ref="A54:E54"/>
    <mergeCell ref="B51:I51"/>
    <mergeCell ref="A52:E52"/>
    <mergeCell ref="F52:H52"/>
    <mergeCell ref="F11:F12"/>
    <mergeCell ref="G11:G12"/>
    <mergeCell ref="H11:H12"/>
    <mergeCell ref="A10:I10"/>
    <mergeCell ref="A5:I5"/>
    <mergeCell ref="A6:I6"/>
    <mergeCell ref="A7:I8"/>
    <mergeCell ref="A9:I9"/>
  </mergeCells>
  <pageMargins left="0.7" right="0.7" top="0.75" bottom="0.75" header="0" footer="0"/>
  <pageSetup scale="56"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100"/>
  <sheetViews>
    <sheetView workbookViewId="0"/>
  </sheetViews>
  <sheetFormatPr baseColWidth="10" defaultColWidth="12.5703125" defaultRowHeight="15" customHeight="1" x14ac:dyDescent="0.25"/>
  <cols>
    <col min="1" max="2" width="1.42578125" customWidth="1"/>
    <col min="3" max="15" width="9.42578125" customWidth="1"/>
    <col min="16" max="16" width="1.5703125" customWidth="1"/>
    <col min="17" max="17" width="9.42578125" customWidth="1"/>
  </cols>
  <sheetData>
    <row r="1" spans="1:17" x14ac:dyDescent="0.25">
      <c r="A1" s="212"/>
      <c r="B1" s="212"/>
      <c r="C1" s="212"/>
      <c r="D1" s="212"/>
      <c r="E1" s="212"/>
      <c r="F1" s="212"/>
      <c r="G1" s="212"/>
      <c r="H1" s="212"/>
      <c r="I1" s="212"/>
      <c r="J1" s="212"/>
      <c r="K1" s="212"/>
      <c r="L1" s="212"/>
      <c r="M1" s="212"/>
      <c r="N1" s="212"/>
      <c r="O1" s="212"/>
      <c r="P1" s="212"/>
      <c r="Q1" s="212"/>
    </row>
    <row r="2" spans="1:17" x14ac:dyDescent="0.25">
      <c r="A2" s="212"/>
      <c r="B2" s="213"/>
      <c r="C2" s="214"/>
      <c r="D2" s="214"/>
      <c r="E2" s="214"/>
      <c r="F2" s="214"/>
      <c r="G2" s="214"/>
      <c r="H2" s="214"/>
      <c r="I2" s="214"/>
      <c r="J2" s="214"/>
      <c r="K2" s="214"/>
      <c r="L2" s="214"/>
      <c r="M2" s="214"/>
      <c r="N2" s="214"/>
      <c r="O2" s="214"/>
      <c r="P2" s="215"/>
      <c r="Q2" s="212"/>
    </row>
    <row r="3" spans="1:17" x14ac:dyDescent="0.25">
      <c r="A3" s="212"/>
      <c r="B3" s="216"/>
      <c r="C3" s="658" t="s">
        <v>0</v>
      </c>
      <c r="D3" s="592"/>
      <c r="E3" s="592"/>
      <c r="F3" s="593"/>
      <c r="G3" s="212"/>
      <c r="H3" s="212"/>
      <c r="I3" s="212"/>
      <c r="J3" s="212"/>
      <c r="K3" s="212"/>
      <c r="L3" s="212"/>
      <c r="M3" s="212"/>
      <c r="N3" s="212"/>
      <c r="O3" s="212"/>
      <c r="P3" s="217"/>
      <c r="Q3" s="212"/>
    </row>
    <row r="4" spans="1:17" x14ac:dyDescent="0.25">
      <c r="A4" s="212"/>
      <c r="B4" s="216"/>
      <c r="C4" s="218" t="s">
        <v>2</v>
      </c>
      <c r="D4" s="219" t="s">
        <v>3</v>
      </c>
      <c r="E4" s="218" t="s">
        <v>488</v>
      </c>
      <c r="F4" s="219">
        <v>1</v>
      </c>
      <c r="G4" s="212"/>
      <c r="H4" s="212"/>
      <c r="I4" s="212"/>
      <c r="J4" s="212"/>
      <c r="K4" s="212"/>
      <c r="L4" s="212"/>
      <c r="M4" s="212"/>
      <c r="N4" s="212"/>
      <c r="O4" s="212"/>
      <c r="P4" s="217"/>
      <c r="Q4" s="212"/>
    </row>
    <row r="5" spans="1:17" x14ac:dyDescent="0.25">
      <c r="A5" s="212"/>
      <c r="B5" s="216"/>
      <c r="C5" s="220"/>
      <c r="D5" s="221"/>
      <c r="E5" s="220"/>
      <c r="F5" s="221"/>
      <c r="G5" s="212"/>
      <c r="H5" s="212"/>
      <c r="I5" s="212"/>
      <c r="J5" s="212"/>
      <c r="K5" s="212"/>
      <c r="L5" s="212"/>
      <c r="M5" s="212"/>
      <c r="N5" s="212"/>
      <c r="O5" s="212"/>
      <c r="P5" s="217"/>
      <c r="Q5" s="212"/>
    </row>
    <row r="6" spans="1:17" ht="33.75" customHeight="1" x14ac:dyDescent="0.25">
      <c r="A6" s="212"/>
      <c r="B6" s="216"/>
      <c r="C6" s="660" t="s">
        <v>498</v>
      </c>
      <c r="D6" s="585"/>
      <c r="E6" s="585"/>
      <c r="F6" s="585"/>
      <c r="G6" s="585"/>
      <c r="H6" s="585"/>
      <c r="I6" s="585"/>
      <c r="J6" s="585"/>
      <c r="K6" s="585"/>
      <c r="L6" s="585"/>
      <c r="M6" s="585"/>
      <c r="N6" s="585"/>
      <c r="O6" s="579"/>
      <c r="P6" s="222"/>
      <c r="Q6" s="212"/>
    </row>
    <row r="7" spans="1:17" x14ac:dyDescent="0.25">
      <c r="A7" s="212"/>
      <c r="B7" s="216"/>
      <c r="C7" s="223"/>
      <c r="D7" s="223"/>
      <c r="E7" s="223"/>
      <c r="F7" s="223"/>
      <c r="G7" s="223"/>
      <c r="H7" s="223"/>
      <c r="I7" s="223"/>
      <c r="J7" s="223"/>
      <c r="K7" s="223"/>
      <c r="L7" s="223"/>
      <c r="M7" s="223"/>
      <c r="N7" s="223"/>
      <c r="O7" s="223"/>
      <c r="P7" s="217"/>
      <c r="Q7" s="212"/>
    </row>
    <row r="8" spans="1:17" x14ac:dyDescent="0.25">
      <c r="A8" s="212"/>
      <c r="B8" s="216"/>
      <c r="C8" s="659"/>
      <c r="D8" s="661"/>
      <c r="E8" s="551"/>
      <c r="F8" s="551"/>
      <c r="G8" s="551"/>
      <c r="H8" s="551"/>
      <c r="I8" s="551"/>
      <c r="J8" s="551"/>
      <c r="K8" s="662"/>
      <c r="L8" s="663"/>
      <c r="M8" s="551"/>
      <c r="N8" s="551"/>
      <c r="O8" s="552"/>
      <c r="P8" s="224"/>
      <c r="Q8" s="212"/>
    </row>
    <row r="9" spans="1:17" x14ac:dyDescent="0.25">
      <c r="A9" s="212"/>
      <c r="B9" s="216"/>
      <c r="C9" s="587"/>
      <c r="D9" s="646" t="s">
        <v>499</v>
      </c>
      <c r="E9" s="553"/>
      <c r="F9" s="553"/>
      <c r="G9" s="553"/>
      <c r="H9" s="553"/>
      <c r="I9" s="553"/>
      <c r="J9" s="553"/>
      <c r="K9" s="574"/>
      <c r="L9" s="611"/>
      <c r="M9" s="576"/>
      <c r="N9" s="576"/>
      <c r="O9" s="664"/>
      <c r="P9" s="224"/>
      <c r="Q9" s="212"/>
    </row>
    <row r="10" spans="1:17" x14ac:dyDescent="0.25">
      <c r="A10" s="212"/>
      <c r="B10" s="216"/>
      <c r="C10" s="587"/>
      <c r="D10" s="646"/>
      <c r="E10" s="553"/>
      <c r="F10" s="553"/>
      <c r="G10" s="553"/>
      <c r="H10" s="553"/>
      <c r="I10" s="553"/>
      <c r="J10" s="553"/>
      <c r="K10" s="574"/>
      <c r="L10" s="649" t="s">
        <v>500</v>
      </c>
      <c r="M10" s="666"/>
      <c r="N10" s="571"/>
      <c r="O10" s="582"/>
      <c r="P10" s="224"/>
      <c r="Q10" s="212"/>
    </row>
    <row r="11" spans="1:17" x14ac:dyDescent="0.25">
      <c r="A11" s="212"/>
      <c r="B11" s="216"/>
      <c r="C11" s="587"/>
      <c r="D11" s="646" t="s">
        <v>501</v>
      </c>
      <c r="E11" s="553"/>
      <c r="F11" s="553"/>
      <c r="G11" s="553"/>
      <c r="H11" s="553"/>
      <c r="I11" s="553"/>
      <c r="J11" s="553"/>
      <c r="K11" s="574"/>
      <c r="L11" s="665"/>
      <c r="M11" s="611"/>
      <c r="N11" s="576"/>
      <c r="O11" s="664"/>
      <c r="P11" s="224"/>
      <c r="Q11" s="212"/>
    </row>
    <row r="12" spans="1:17" x14ac:dyDescent="0.25">
      <c r="A12" s="212"/>
      <c r="B12" s="216"/>
      <c r="C12" s="587"/>
      <c r="D12" s="647"/>
      <c r="E12" s="553"/>
      <c r="F12" s="553"/>
      <c r="G12" s="553"/>
      <c r="H12" s="553"/>
      <c r="I12" s="553"/>
      <c r="J12" s="553"/>
      <c r="K12" s="574"/>
      <c r="L12" s="649" t="s">
        <v>502</v>
      </c>
      <c r="M12" s="649">
        <v>1</v>
      </c>
      <c r="N12" s="649" t="s">
        <v>503</v>
      </c>
      <c r="O12" s="652">
        <v>1</v>
      </c>
      <c r="P12" s="224"/>
      <c r="Q12" s="212"/>
    </row>
    <row r="13" spans="1:17" x14ac:dyDescent="0.25">
      <c r="A13" s="212"/>
      <c r="B13" s="216"/>
      <c r="C13" s="587"/>
      <c r="D13" s="648"/>
      <c r="E13" s="553"/>
      <c r="F13" s="553"/>
      <c r="G13" s="553"/>
      <c r="H13" s="553"/>
      <c r="I13" s="553"/>
      <c r="J13" s="553"/>
      <c r="K13" s="574"/>
      <c r="L13" s="562"/>
      <c r="M13" s="562"/>
      <c r="N13" s="562"/>
      <c r="O13" s="653"/>
      <c r="P13" s="224"/>
      <c r="Q13" s="212"/>
    </row>
    <row r="14" spans="1:17" x14ac:dyDescent="0.25">
      <c r="A14" s="212"/>
      <c r="B14" s="216"/>
      <c r="C14" s="587"/>
      <c r="D14" s="646" t="s">
        <v>504</v>
      </c>
      <c r="E14" s="553"/>
      <c r="F14" s="553"/>
      <c r="G14" s="553"/>
      <c r="H14" s="553"/>
      <c r="I14" s="553"/>
      <c r="J14" s="553"/>
      <c r="K14" s="574"/>
      <c r="L14" s="562"/>
      <c r="M14" s="562"/>
      <c r="N14" s="562"/>
      <c r="O14" s="653"/>
      <c r="P14" s="224"/>
      <c r="Q14" s="212"/>
    </row>
    <row r="15" spans="1:17" x14ac:dyDescent="0.25">
      <c r="A15" s="212"/>
      <c r="B15" s="216"/>
      <c r="C15" s="225"/>
      <c r="D15" s="226"/>
      <c r="E15" s="226"/>
      <c r="F15" s="226"/>
      <c r="G15" s="226"/>
      <c r="H15" s="226"/>
      <c r="I15" s="226"/>
      <c r="J15" s="226"/>
      <c r="K15" s="226"/>
      <c r="L15" s="226"/>
      <c r="M15" s="227"/>
      <c r="N15" s="227"/>
      <c r="O15" s="228"/>
      <c r="P15" s="229"/>
      <c r="Q15" s="212"/>
    </row>
    <row r="16" spans="1:17" x14ac:dyDescent="0.25">
      <c r="A16" s="212"/>
      <c r="B16" s="216"/>
      <c r="C16" s="230"/>
      <c r="D16" s="231"/>
      <c r="E16" s="231"/>
      <c r="F16" s="231"/>
      <c r="G16" s="231"/>
      <c r="H16" s="231"/>
      <c r="I16" s="231"/>
      <c r="J16" s="231"/>
      <c r="K16" s="231"/>
      <c r="L16" s="232" t="s">
        <v>505</v>
      </c>
      <c r="M16" s="233" t="s">
        <v>506</v>
      </c>
      <c r="N16" s="233" t="s">
        <v>507</v>
      </c>
      <c r="O16" s="234" t="s">
        <v>508</v>
      </c>
      <c r="P16" s="224"/>
      <c r="Q16" s="212"/>
    </row>
    <row r="17" spans="1:17" x14ac:dyDescent="0.25">
      <c r="A17" s="212"/>
      <c r="B17" s="216"/>
      <c r="C17" s="235"/>
      <c r="D17" s="236"/>
      <c r="E17" s="236"/>
      <c r="F17" s="236"/>
      <c r="G17" s="236"/>
      <c r="H17" s="236"/>
      <c r="I17" s="236"/>
      <c r="J17" s="236"/>
      <c r="K17" s="236"/>
      <c r="L17" s="237"/>
      <c r="M17" s="238"/>
      <c r="N17" s="238"/>
      <c r="O17" s="239"/>
      <c r="P17" s="240"/>
      <c r="Q17" s="212"/>
    </row>
    <row r="18" spans="1:17" x14ac:dyDescent="0.25">
      <c r="A18" s="212"/>
      <c r="B18" s="216"/>
      <c r="C18" s="654" t="s">
        <v>509</v>
      </c>
      <c r="D18" s="553"/>
      <c r="E18" s="553"/>
      <c r="F18" s="553"/>
      <c r="G18" s="236"/>
      <c r="H18" s="236"/>
      <c r="I18" s="236" t="s">
        <v>510</v>
      </c>
      <c r="J18" s="223"/>
      <c r="K18" s="236"/>
      <c r="L18" s="237"/>
      <c r="M18" s="223"/>
      <c r="N18" s="223"/>
      <c r="O18" s="241"/>
      <c r="P18" s="240"/>
      <c r="Q18" s="212"/>
    </row>
    <row r="19" spans="1:17" x14ac:dyDescent="0.25">
      <c r="A19" s="212"/>
      <c r="B19" s="216"/>
      <c r="C19" s="242"/>
      <c r="D19" s="243"/>
      <c r="E19" s="243"/>
      <c r="F19" s="243"/>
      <c r="G19" s="243"/>
      <c r="H19" s="243"/>
      <c r="I19" s="243"/>
      <c r="J19" s="243"/>
      <c r="K19" s="243"/>
      <c r="L19" s="243"/>
      <c r="M19" s="243"/>
      <c r="N19" s="243"/>
      <c r="O19" s="244"/>
      <c r="P19" s="245"/>
      <c r="Q19" s="212"/>
    </row>
    <row r="20" spans="1:17" x14ac:dyDescent="0.25">
      <c r="A20" s="212"/>
      <c r="B20" s="216"/>
      <c r="C20" s="246"/>
      <c r="D20" s="247"/>
      <c r="E20" s="247"/>
      <c r="F20" s="247"/>
      <c r="G20" s="247"/>
      <c r="H20" s="247"/>
      <c r="I20" s="247"/>
      <c r="J20" s="247"/>
      <c r="K20" s="247"/>
      <c r="L20" s="247"/>
      <c r="M20" s="247"/>
      <c r="N20" s="247"/>
      <c r="O20" s="248"/>
      <c r="P20" s="217"/>
      <c r="Q20" s="212"/>
    </row>
    <row r="21" spans="1:17" ht="15.75" customHeight="1" x14ac:dyDescent="0.25">
      <c r="A21" s="212"/>
      <c r="B21" s="216"/>
      <c r="C21" s="249"/>
      <c r="D21" s="250"/>
      <c r="E21" s="250"/>
      <c r="F21" s="250"/>
      <c r="G21" s="250"/>
      <c r="H21" s="250"/>
      <c r="I21" s="223"/>
      <c r="J21" s="223"/>
      <c r="K21" s="250"/>
      <c r="L21" s="250"/>
      <c r="M21" s="250"/>
      <c r="N21" s="250"/>
      <c r="O21" s="251"/>
      <c r="P21" s="217"/>
      <c r="Q21" s="212"/>
    </row>
    <row r="22" spans="1:17" ht="15.75" customHeight="1" x14ac:dyDescent="0.25">
      <c r="A22" s="212"/>
      <c r="B22" s="216"/>
      <c r="C22" s="655" t="s">
        <v>511</v>
      </c>
      <c r="D22" s="551"/>
      <c r="E22" s="551"/>
      <c r="F22" s="551"/>
      <c r="G22" s="551"/>
      <c r="H22" s="551"/>
      <c r="I22" s="551"/>
      <c r="J22" s="551"/>
      <c r="K22" s="551"/>
      <c r="L22" s="551"/>
      <c r="M22" s="551"/>
      <c r="N22" s="551"/>
      <c r="O22" s="552"/>
      <c r="P22" s="252"/>
      <c r="Q22" s="212"/>
    </row>
    <row r="23" spans="1:17" ht="15.75" customHeight="1" x14ac:dyDescent="0.25">
      <c r="A23" s="212"/>
      <c r="B23" s="216"/>
      <c r="C23" s="253"/>
      <c r="D23" s="223"/>
      <c r="E23" s="223"/>
      <c r="F23" s="223"/>
      <c r="G23" s="223"/>
      <c r="H23" s="223"/>
      <c r="I23" s="223"/>
      <c r="J23" s="223"/>
      <c r="K23" s="223"/>
      <c r="L23" s="223"/>
      <c r="M23" s="223"/>
      <c r="N23" s="223"/>
      <c r="O23" s="254"/>
      <c r="P23" s="217"/>
      <c r="Q23" s="212"/>
    </row>
    <row r="24" spans="1:17" ht="15.75" customHeight="1" x14ac:dyDescent="0.25">
      <c r="A24" s="212"/>
      <c r="B24" s="216"/>
      <c r="C24" s="255" t="s">
        <v>512</v>
      </c>
      <c r="D24" s="657" t="s">
        <v>9</v>
      </c>
      <c r="E24" s="600"/>
      <c r="F24" s="600"/>
      <c r="G24" s="600"/>
      <c r="H24" s="600"/>
      <c r="I24" s="600"/>
      <c r="J24" s="600"/>
      <c r="K24" s="600"/>
      <c r="L24" s="564"/>
      <c r="M24" s="656" t="s">
        <v>513</v>
      </c>
      <c r="N24" s="564"/>
      <c r="O24" s="255" t="s">
        <v>11</v>
      </c>
      <c r="P24" s="256"/>
      <c r="Q24" s="212"/>
    </row>
    <row r="25" spans="1:17" ht="15.75" customHeight="1" x14ac:dyDescent="0.25">
      <c r="A25" s="212"/>
      <c r="B25" s="216"/>
      <c r="C25" s="257"/>
      <c r="D25" s="650"/>
      <c r="E25" s="625"/>
      <c r="F25" s="625"/>
      <c r="G25" s="625"/>
      <c r="H25" s="625"/>
      <c r="I25" s="625"/>
      <c r="J25" s="625"/>
      <c r="K25" s="625"/>
      <c r="L25" s="651"/>
      <c r="M25" s="650"/>
      <c r="N25" s="651"/>
      <c r="O25" s="258"/>
      <c r="P25" s="259"/>
      <c r="Q25" s="212"/>
    </row>
    <row r="26" spans="1:17" ht="15.75" customHeight="1" x14ac:dyDescent="0.25">
      <c r="A26" s="212"/>
      <c r="B26" s="216"/>
      <c r="C26" s="630" t="s">
        <v>514</v>
      </c>
      <c r="D26" s="551"/>
      <c r="E26" s="551"/>
      <c r="F26" s="551"/>
      <c r="G26" s="551"/>
      <c r="H26" s="551"/>
      <c r="I26" s="551"/>
      <c r="J26" s="551"/>
      <c r="K26" s="551"/>
      <c r="L26" s="551"/>
      <c r="M26" s="551"/>
      <c r="N26" s="551"/>
      <c r="O26" s="552"/>
      <c r="P26" s="260"/>
      <c r="Q26" s="212"/>
    </row>
    <row r="27" spans="1:17" ht="15.75" customHeight="1" x14ac:dyDescent="0.25">
      <c r="A27" s="212"/>
      <c r="B27" s="216"/>
      <c r="C27" s="573"/>
      <c r="D27" s="553"/>
      <c r="E27" s="553"/>
      <c r="F27" s="553"/>
      <c r="G27" s="553"/>
      <c r="H27" s="553"/>
      <c r="I27" s="553"/>
      <c r="J27" s="553"/>
      <c r="K27" s="553"/>
      <c r="L27" s="553"/>
      <c r="M27" s="553"/>
      <c r="N27" s="553"/>
      <c r="O27" s="554"/>
      <c r="P27" s="260"/>
      <c r="Q27" s="212"/>
    </row>
    <row r="28" spans="1:17" ht="15.75" customHeight="1" x14ac:dyDescent="0.25">
      <c r="A28" s="212"/>
      <c r="B28" s="216"/>
      <c r="C28" s="631"/>
      <c r="D28" s="557"/>
      <c r="E28" s="557"/>
      <c r="F28" s="557"/>
      <c r="G28" s="557"/>
      <c r="H28" s="557"/>
      <c r="I28" s="557"/>
      <c r="J28" s="557"/>
      <c r="K28" s="557"/>
      <c r="L28" s="557"/>
      <c r="M28" s="557"/>
      <c r="N28" s="557"/>
      <c r="O28" s="558"/>
      <c r="P28" s="260"/>
      <c r="Q28" s="212"/>
    </row>
    <row r="29" spans="1:17" ht="15.75" customHeight="1" x14ac:dyDescent="0.25">
      <c r="A29" s="212"/>
      <c r="B29" s="216"/>
      <c r="C29" s="632" t="s">
        <v>9</v>
      </c>
      <c r="D29" s="600"/>
      <c r="E29" s="600"/>
      <c r="F29" s="600"/>
      <c r="G29" s="595"/>
      <c r="H29" s="637" t="s">
        <v>515</v>
      </c>
      <c r="I29" s="633"/>
      <c r="J29" s="644" t="s">
        <v>516</v>
      </c>
      <c r="K29" s="645"/>
      <c r="L29" s="261" t="s">
        <v>517</v>
      </c>
      <c r="M29" s="637" t="s">
        <v>518</v>
      </c>
      <c r="N29" s="595"/>
      <c r="O29" s="262" t="s">
        <v>519</v>
      </c>
      <c r="P29" s="252"/>
      <c r="Q29" s="212"/>
    </row>
    <row r="30" spans="1:17" ht="15.75" customHeight="1" x14ac:dyDescent="0.25">
      <c r="A30" s="212"/>
      <c r="B30" s="216"/>
      <c r="C30" s="638"/>
      <c r="D30" s="585"/>
      <c r="E30" s="585"/>
      <c r="F30" s="585"/>
      <c r="G30" s="579"/>
      <c r="H30" s="672"/>
      <c r="I30" s="579"/>
      <c r="J30" s="672"/>
      <c r="K30" s="579"/>
      <c r="L30" s="263"/>
      <c r="M30" s="640"/>
      <c r="N30" s="579"/>
      <c r="O30" s="264"/>
      <c r="P30" s="265"/>
      <c r="Q30" s="212"/>
    </row>
    <row r="31" spans="1:17" ht="15.75" customHeight="1" x14ac:dyDescent="0.25">
      <c r="A31" s="212"/>
      <c r="B31" s="216"/>
      <c r="C31" s="266"/>
      <c r="D31" s="267"/>
      <c r="E31" s="267"/>
      <c r="F31" s="267"/>
      <c r="G31" s="268"/>
      <c r="H31" s="269"/>
      <c r="I31" s="268"/>
      <c r="J31" s="269"/>
      <c r="K31" s="268"/>
      <c r="L31" s="263"/>
      <c r="M31" s="640"/>
      <c r="N31" s="579"/>
      <c r="O31" s="264"/>
      <c r="P31" s="265"/>
      <c r="Q31" s="212"/>
    </row>
    <row r="32" spans="1:17" ht="15.75" customHeight="1" x14ac:dyDescent="0.25">
      <c r="A32" s="212"/>
      <c r="B32" s="216"/>
      <c r="C32" s="624"/>
      <c r="D32" s="625"/>
      <c r="E32" s="625"/>
      <c r="F32" s="625"/>
      <c r="G32" s="627"/>
      <c r="H32" s="643"/>
      <c r="I32" s="627"/>
      <c r="J32" s="643"/>
      <c r="K32" s="627"/>
      <c r="L32" s="270"/>
      <c r="M32" s="641"/>
      <c r="N32" s="627"/>
      <c r="O32" s="264"/>
      <c r="P32" s="265"/>
      <c r="Q32" s="212"/>
    </row>
    <row r="33" spans="1:17" ht="15.75" customHeight="1" x14ac:dyDescent="0.25">
      <c r="A33" s="212"/>
      <c r="B33" s="216"/>
      <c r="C33" s="635" t="s">
        <v>520</v>
      </c>
      <c r="D33" s="616"/>
      <c r="E33" s="616"/>
      <c r="F33" s="616"/>
      <c r="G33" s="616"/>
      <c r="H33" s="616"/>
      <c r="I33" s="616"/>
      <c r="J33" s="616"/>
      <c r="K33" s="616"/>
      <c r="L33" s="616"/>
      <c r="M33" s="616"/>
      <c r="N33" s="629"/>
      <c r="O33" s="271"/>
      <c r="P33" s="272"/>
      <c r="Q33" s="212"/>
    </row>
    <row r="34" spans="1:17" ht="15.75" customHeight="1" x14ac:dyDescent="0.25">
      <c r="A34" s="212"/>
      <c r="B34" s="216"/>
      <c r="C34" s="630" t="s">
        <v>521</v>
      </c>
      <c r="D34" s="551"/>
      <c r="E34" s="551"/>
      <c r="F34" s="551"/>
      <c r="G34" s="551"/>
      <c r="H34" s="551"/>
      <c r="I34" s="551"/>
      <c r="J34" s="551"/>
      <c r="K34" s="551"/>
      <c r="L34" s="551"/>
      <c r="M34" s="551"/>
      <c r="N34" s="551"/>
      <c r="O34" s="552"/>
      <c r="P34" s="260"/>
      <c r="Q34" s="212"/>
    </row>
    <row r="35" spans="1:17" ht="15.75" customHeight="1" x14ac:dyDescent="0.25">
      <c r="A35" s="212"/>
      <c r="B35" s="216"/>
      <c r="C35" s="573"/>
      <c r="D35" s="553"/>
      <c r="E35" s="553"/>
      <c r="F35" s="553"/>
      <c r="G35" s="553"/>
      <c r="H35" s="553"/>
      <c r="I35" s="553"/>
      <c r="J35" s="553"/>
      <c r="K35" s="553"/>
      <c r="L35" s="553"/>
      <c r="M35" s="553"/>
      <c r="N35" s="553"/>
      <c r="O35" s="554"/>
      <c r="P35" s="260"/>
      <c r="Q35" s="212"/>
    </row>
    <row r="36" spans="1:17" ht="15.75" customHeight="1" x14ac:dyDescent="0.25">
      <c r="A36" s="212"/>
      <c r="B36" s="216"/>
      <c r="C36" s="631"/>
      <c r="D36" s="557"/>
      <c r="E36" s="557"/>
      <c r="F36" s="557"/>
      <c r="G36" s="557"/>
      <c r="H36" s="557"/>
      <c r="I36" s="557"/>
      <c r="J36" s="557"/>
      <c r="K36" s="557"/>
      <c r="L36" s="557"/>
      <c r="M36" s="557"/>
      <c r="N36" s="557"/>
      <c r="O36" s="558"/>
      <c r="P36" s="260"/>
      <c r="Q36" s="212"/>
    </row>
    <row r="37" spans="1:17" ht="15.75" customHeight="1" x14ac:dyDescent="0.25">
      <c r="A37" s="212"/>
      <c r="B37" s="216"/>
      <c r="C37" s="632" t="s">
        <v>9</v>
      </c>
      <c r="D37" s="600"/>
      <c r="E37" s="600"/>
      <c r="F37" s="600"/>
      <c r="G37" s="600"/>
      <c r="H37" s="600"/>
      <c r="I37" s="600"/>
      <c r="J37" s="595"/>
      <c r="K37" s="273" t="s">
        <v>513</v>
      </c>
      <c r="L37" s="261" t="s">
        <v>11</v>
      </c>
      <c r="M37" s="637" t="s">
        <v>522</v>
      </c>
      <c r="N37" s="595"/>
      <c r="O37" s="262" t="s">
        <v>519</v>
      </c>
      <c r="P37" s="252"/>
      <c r="Q37" s="212"/>
    </row>
    <row r="38" spans="1:17" ht="15.75" customHeight="1" x14ac:dyDescent="0.25">
      <c r="A38" s="212"/>
      <c r="B38" s="216"/>
      <c r="C38" s="638"/>
      <c r="D38" s="585"/>
      <c r="E38" s="585"/>
      <c r="F38" s="585"/>
      <c r="G38" s="585"/>
      <c r="H38" s="585"/>
      <c r="I38" s="585"/>
      <c r="J38" s="579"/>
      <c r="K38" s="274"/>
      <c r="L38" s="275"/>
      <c r="M38" s="642"/>
      <c r="N38" s="579"/>
      <c r="O38" s="264"/>
      <c r="P38" s="265"/>
      <c r="Q38" s="212"/>
    </row>
    <row r="39" spans="1:17" ht="15.75" customHeight="1" x14ac:dyDescent="0.25">
      <c r="A39" s="212"/>
      <c r="B39" s="216"/>
      <c r="C39" s="624"/>
      <c r="D39" s="625"/>
      <c r="E39" s="625"/>
      <c r="F39" s="625"/>
      <c r="G39" s="625"/>
      <c r="H39" s="625"/>
      <c r="I39" s="625"/>
      <c r="J39" s="627"/>
      <c r="K39" s="267"/>
      <c r="L39" s="276"/>
      <c r="M39" s="626"/>
      <c r="N39" s="627"/>
      <c r="O39" s="277"/>
      <c r="P39" s="265"/>
      <c r="Q39" s="212"/>
    </row>
    <row r="40" spans="1:17" ht="15.75" customHeight="1" x14ac:dyDescent="0.25">
      <c r="A40" s="212"/>
      <c r="B40" s="216"/>
      <c r="C40" s="635" t="s">
        <v>520</v>
      </c>
      <c r="D40" s="616"/>
      <c r="E40" s="616"/>
      <c r="F40" s="616"/>
      <c r="G40" s="616"/>
      <c r="H40" s="616"/>
      <c r="I40" s="616"/>
      <c r="J40" s="616"/>
      <c r="K40" s="616"/>
      <c r="L40" s="616"/>
      <c r="M40" s="616"/>
      <c r="N40" s="629"/>
      <c r="O40" s="278">
        <v>0</v>
      </c>
      <c r="P40" s="265"/>
      <c r="Q40" s="212"/>
    </row>
    <row r="41" spans="1:17" ht="15.75" customHeight="1" x14ac:dyDescent="0.25">
      <c r="A41" s="212"/>
      <c r="B41" s="216"/>
      <c r="C41" s="630" t="s">
        <v>523</v>
      </c>
      <c r="D41" s="551"/>
      <c r="E41" s="551"/>
      <c r="F41" s="551"/>
      <c r="G41" s="551"/>
      <c r="H41" s="551"/>
      <c r="I41" s="551"/>
      <c r="J41" s="551"/>
      <c r="K41" s="551"/>
      <c r="L41" s="551"/>
      <c r="M41" s="551"/>
      <c r="N41" s="551"/>
      <c r="O41" s="552"/>
      <c r="P41" s="260"/>
      <c r="Q41" s="212"/>
    </row>
    <row r="42" spans="1:17" ht="15.75" customHeight="1" x14ac:dyDescent="0.25">
      <c r="A42" s="212"/>
      <c r="B42" s="216"/>
      <c r="C42" s="573"/>
      <c r="D42" s="553"/>
      <c r="E42" s="553"/>
      <c r="F42" s="553"/>
      <c r="G42" s="553"/>
      <c r="H42" s="553"/>
      <c r="I42" s="553"/>
      <c r="J42" s="553"/>
      <c r="K42" s="553"/>
      <c r="L42" s="553"/>
      <c r="M42" s="553"/>
      <c r="N42" s="553"/>
      <c r="O42" s="554"/>
      <c r="P42" s="260"/>
      <c r="Q42" s="212"/>
    </row>
    <row r="43" spans="1:17" ht="15.75" customHeight="1" x14ac:dyDescent="0.25">
      <c r="A43" s="212"/>
      <c r="B43" s="216"/>
      <c r="C43" s="631"/>
      <c r="D43" s="557"/>
      <c r="E43" s="557"/>
      <c r="F43" s="557"/>
      <c r="G43" s="557"/>
      <c r="H43" s="557"/>
      <c r="I43" s="557"/>
      <c r="J43" s="557"/>
      <c r="K43" s="557"/>
      <c r="L43" s="557"/>
      <c r="M43" s="557"/>
      <c r="N43" s="557"/>
      <c r="O43" s="558"/>
      <c r="P43" s="260"/>
      <c r="Q43" s="212"/>
    </row>
    <row r="44" spans="1:17" ht="15.75" customHeight="1" x14ac:dyDescent="0.25">
      <c r="A44" s="212"/>
      <c r="B44" s="216"/>
      <c r="C44" s="632" t="s">
        <v>524</v>
      </c>
      <c r="D44" s="600"/>
      <c r="E44" s="600"/>
      <c r="F44" s="600"/>
      <c r="G44" s="600"/>
      <c r="H44" s="600"/>
      <c r="I44" s="633"/>
      <c r="J44" s="261" t="s">
        <v>525</v>
      </c>
      <c r="K44" s="279" t="s">
        <v>526</v>
      </c>
      <c r="L44" s="280" t="s">
        <v>527</v>
      </c>
      <c r="M44" s="637" t="s">
        <v>528</v>
      </c>
      <c r="N44" s="595"/>
      <c r="O44" s="262" t="s">
        <v>519</v>
      </c>
      <c r="P44" s="252"/>
      <c r="Q44" s="212"/>
    </row>
    <row r="45" spans="1:17" ht="15.75" customHeight="1" x14ac:dyDescent="0.25">
      <c r="A45" s="212"/>
      <c r="B45" s="216"/>
      <c r="C45" s="638"/>
      <c r="D45" s="585"/>
      <c r="E45" s="585"/>
      <c r="F45" s="585"/>
      <c r="G45" s="585"/>
      <c r="H45" s="585"/>
      <c r="I45" s="585"/>
      <c r="J45" s="281"/>
      <c r="K45" s="282"/>
      <c r="L45" s="281"/>
      <c r="M45" s="636"/>
      <c r="N45" s="579"/>
      <c r="O45" s="264"/>
      <c r="P45" s="265"/>
      <c r="Q45" s="212"/>
    </row>
    <row r="46" spans="1:17" ht="15.75" customHeight="1" x14ac:dyDescent="0.25">
      <c r="A46" s="212"/>
      <c r="B46" s="216"/>
      <c r="C46" s="624"/>
      <c r="D46" s="625"/>
      <c r="E46" s="625"/>
      <c r="F46" s="625"/>
      <c r="G46" s="625"/>
      <c r="H46" s="625"/>
      <c r="I46" s="625"/>
      <c r="J46" s="283"/>
      <c r="K46" s="284"/>
      <c r="L46" s="283"/>
      <c r="M46" s="626"/>
      <c r="N46" s="627"/>
      <c r="O46" s="285"/>
      <c r="P46" s="265"/>
      <c r="Q46" s="212"/>
    </row>
    <row r="47" spans="1:17" ht="15.75" customHeight="1" x14ac:dyDescent="0.25">
      <c r="A47" s="212"/>
      <c r="B47" s="216"/>
      <c r="C47" s="635" t="s">
        <v>520</v>
      </c>
      <c r="D47" s="616"/>
      <c r="E47" s="616"/>
      <c r="F47" s="616"/>
      <c r="G47" s="616"/>
      <c r="H47" s="616"/>
      <c r="I47" s="616"/>
      <c r="J47" s="616"/>
      <c r="K47" s="616"/>
      <c r="L47" s="616"/>
      <c r="M47" s="616"/>
      <c r="N47" s="629"/>
      <c r="O47" s="271"/>
      <c r="P47" s="272"/>
      <c r="Q47" s="212"/>
    </row>
    <row r="48" spans="1:17" ht="15.75" customHeight="1" x14ac:dyDescent="0.25">
      <c r="A48" s="212"/>
      <c r="B48" s="216"/>
      <c r="C48" s="630" t="s">
        <v>529</v>
      </c>
      <c r="D48" s="551"/>
      <c r="E48" s="551"/>
      <c r="F48" s="551"/>
      <c r="G48" s="551"/>
      <c r="H48" s="551"/>
      <c r="I48" s="551"/>
      <c r="J48" s="551"/>
      <c r="K48" s="551"/>
      <c r="L48" s="551"/>
      <c r="M48" s="551"/>
      <c r="N48" s="551"/>
      <c r="O48" s="552"/>
      <c r="P48" s="260"/>
      <c r="Q48" s="212"/>
    </row>
    <row r="49" spans="1:17" ht="15.75" customHeight="1" x14ac:dyDescent="0.25">
      <c r="A49" s="212"/>
      <c r="B49" s="216"/>
      <c r="C49" s="573"/>
      <c r="D49" s="553"/>
      <c r="E49" s="553"/>
      <c r="F49" s="553"/>
      <c r="G49" s="553"/>
      <c r="H49" s="553"/>
      <c r="I49" s="553"/>
      <c r="J49" s="553"/>
      <c r="K49" s="553"/>
      <c r="L49" s="553"/>
      <c r="M49" s="553"/>
      <c r="N49" s="553"/>
      <c r="O49" s="554"/>
      <c r="P49" s="260"/>
      <c r="Q49" s="212"/>
    </row>
    <row r="50" spans="1:17" ht="15.75" customHeight="1" x14ac:dyDescent="0.25">
      <c r="A50" s="212"/>
      <c r="B50" s="216"/>
      <c r="C50" s="631"/>
      <c r="D50" s="557"/>
      <c r="E50" s="557"/>
      <c r="F50" s="557"/>
      <c r="G50" s="557"/>
      <c r="H50" s="557"/>
      <c r="I50" s="557"/>
      <c r="J50" s="557"/>
      <c r="K50" s="557"/>
      <c r="L50" s="557"/>
      <c r="M50" s="557"/>
      <c r="N50" s="557"/>
      <c r="O50" s="558"/>
      <c r="P50" s="260"/>
      <c r="Q50" s="212"/>
    </row>
    <row r="51" spans="1:17" ht="15.75" customHeight="1" x14ac:dyDescent="0.25">
      <c r="A51" s="212"/>
      <c r="B51" s="216"/>
      <c r="C51" s="632" t="s">
        <v>530</v>
      </c>
      <c r="D51" s="600"/>
      <c r="E51" s="600"/>
      <c r="F51" s="600"/>
      <c r="G51" s="600"/>
      <c r="H51" s="600"/>
      <c r="I51" s="633"/>
      <c r="J51" s="261" t="s">
        <v>531</v>
      </c>
      <c r="K51" s="286" t="s">
        <v>532</v>
      </c>
      <c r="L51" s="287" t="s">
        <v>533</v>
      </c>
      <c r="M51" s="634" t="s">
        <v>518</v>
      </c>
      <c r="N51" s="595"/>
      <c r="O51" s="288" t="s">
        <v>519</v>
      </c>
      <c r="P51" s="289"/>
      <c r="Q51" s="212"/>
    </row>
    <row r="52" spans="1:17" ht="15.75" customHeight="1" x14ac:dyDescent="0.25">
      <c r="A52" s="212"/>
      <c r="B52" s="216"/>
      <c r="C52" s="290"/>
      <c r="D52" s="291"/>
      <c r="E52" s="291"/>
      <c r="F52" s="291"/>
      <c r="G52" s="291"/>
      <c r="H52" s="291"/>
      <c r="I52" s="291"/>
      <c r="J52" s="292"/>
      <c r="K52" s="274"/>
      <c r="L52" s="293"/>
      <c r="M52" s="639"/>
      <c r="N52" s="579"/>
      <c r="O52" s="294"/>
      <c r="P52" s="295"/>
      <c r="Q52" s="212"/>
    </row>
    <row r="53" spans="1:17" ht="15.75" customHeight="1" x14ac:dyDescent="0.25">
      <c r="A53" s="212"/>
      <c r="B53" s="216"/>
      <c r="C53" s="290"/>
      <c r="D53" s="291"/>
      <c r="E53" s="291"/>
      <c r="F53" s="291"/>
      <c r="G53" s="291"/>
      <c r="H53" s="291"/>
      <c r="I53" s="291"/>
      <c r="J53" s="292"/>
      <c r="K53" s="274"/>
      <c r="L53" s="293"/>
      <c r="M53" s="639"/>
      <c r="N53" s="579"/>
      <c r="O53" s="294"/>
      <c r="P53" s="295"/>
      <c r="Q53" s="212"/>
    </row>
    <row r="54" spans="1:17" ht="15.75" customHeight="1" x14ac:dyDescent="0.25">
      <c r="A54" s="212"/>
      <c r="B54" s="216"/>
      <c r="C54" s="290"/>
      <c r="D54" s="291"/>
      <c r="E54" s="291"/>
      <c r="F54" s="291"/>
      <c r="G54" s="291"/>
      <c r="H54" s="291"/>
      <c r="I54" s="291"/>
      <c r="J54" s="292"/>
      <c r="K54" s="274"/>
      <c r="L54" s="293"/>
      <c r="M54" s="636"/>
      <c r="N54" s="579"/>
      <c r="O54" s="294"/>
      <c r="P54" s="295"/>
      <c r="Q54" s="212"/>
    </row>
    <row r="55" spans="1:17" ht="15.75" customHeight="1" x14ac:dyDescent="0.25">
      <c r="A55" s="212"/>
      <c r="B55" s="216"/>
      <c r="C55" s="624"/>
      <c r="D55" s="625"/>
      <c r="E55" s="625"/>
      <c r="F55" s="625"/>
      <c r="G55" s="625"/>
      <c r="H55" s="625"/>
      <c r="I55" s="625"/>
      <c r="J55" s="283"/>
      <c r="K55" s="284"/>
      <c r="L55" s="283"/>
      <c r="M55" s="626"/>
      <c r="N55" s="627"/>
      <c r="O55" s="285"/>
      <c r="P55" s="265"/>
      <c r="Q55" s="212"/>
    </row>
    <row r="56" spans="1:17" ht="15.75" customHeight="1" x14ac:dyDescent="0.25">
      <c r="A56" s="212"/>
      <c r="B56" s="216"/>
      <c r="C56" s="635" t="s">
        <v>520</v>
      </c>
      <c r="D56" s="616"/>
      <c r="E56" s="616"/>
      <c r="F56" s="616"/>
      <c r="G56" s="616"/>
      <c r="H56" s="616"/>
      <c r="I56" s="616"/>
      <c r="J56" s="616"/>
      <c r="K56" s="616"/>
      <c r="L56" s="616"/>
      <c r="M56" s="616"/>
      <c r="N56" s="629"/>
      <c r="O56" s="278"/>
      <c r="P56" s="265"/>
      <c r="Q56" s="212"/>
    </row>
    <row r="57" spans="1:17" ht="15.75" customHeight="1" x14ac:dyDescent="0.25">
      <c r="A57" s="212"/>
      <c r="B57" s="216"/>
      <c r="C57" s="253"/>
      <c r="D57" s="223"/>
      <c r="E57" s="223"/>
      <c r="F57" s="223"/>
      <c r="G57" s="223"/>
      <c r="H57" s="223"/>
      <c r="I57" s="223"/>
      <c r="J57" s="223"/>
      <c r="K57" s="223"/>
      <c r="L57" s="223"/>
      <c r="M57" s="223"/>
      <c r="N57" s="223"/>
      <c r="O57" s="254"/>
      <c r="P57" s="217"/>
      <c r="Q57" s="212"/>
    </row>
    <row r="58" spans="1:17" ht="15.75" customHeight="1" x14ac:dyDescent="0.25">
      <c r="A58" s="212"/>
      <c r="B58" s="216"/>
      <c r="C58" s="628" t="s">
        <v>534</v>
      </c>
      <c r="D58" s="616"/>
      <c r="E58" s="616"/>
      <c r="F58" s="616"/>
      <c r="G58" s="616"/>
      <c r="H58" s="616"/>
      <c r="I58" s="616"/>
      <c r="J58" s="616"/>
      <c r="K58" s="616"/>
      <c r="L58" s="616"/>
      <c r="M58" s="616"/>
      <c r="N58" s="629"/>
      <c r="O58" s="296"/>
      <c r="P58" s="297"/>
      <c r="Q58" s="212"/>
    </row>
    <row r="59" spans="1:17" ht="15.75" customHeight="1" x14ac:dyDescent="0.25">
      <c r="A59" s="212"/>
      <c r="B59" s="216"/>
      <c r="C59" s="630" t="s">
        <v>535</v>
      </c>
      <c r="D59" s="551"/>
      <c r="E59" s="551"/>
      <c r="F59" s="551"/>
      <c r="G59" s="551"/>
      <c r="H59" s="551"/>
      <c r="I59" s="551"/>
      <c r="J59" s="551"/>
      <c r="K59" s="551"/>
      <c r="L59" s="551"/>
      <c r="M59" s="551"/>
      <c r="N59" s="551"/>
      <c r="O59" s="552"/>
      <c r="P59" s="260"/>
      <c r="Q59" s="212"/>
    </row>
    <row r="60" spans="1:17" ht="15.75" customHeight="1" x14ac:dyDescent="0.25">
      <c r="A60" s="212"/>
      <c r="B60" s="216"/>
      <c r="C60" s="573"/>
      <c r="D60" s="553"/>
      <c r="E60" s="553"/>
      <c r="F60" s="553"/>
      <c r="G60" s="553"/>
      <c r="H60" s="553"/>
      <c r="I60" s="553"/>
      <c r="J60" s="553"/>
      <c r="K60" s="553"/>
      <c r="L60" s="553"/>
      <c r="M60" s="553"/>
      <c r="N60" s="553"/>
      <c r="O60" s="554"/>
      <c r="P60" s="260"/>
      <c r="Q60" s="212"/>
    </row>
    <row r="61" spans="1:17" ht="15.75" customHeight="1" x14ac:dyDescent="0.25">
      <c r="A61" s="212"/>
      <c r="B61" s="216"/>
      <c r="C61" s="631"/>
      <c r="D61" s="557"/>
      <c r="E61" s="557"/>
      <c r="F61" s="557"/>
      <c r="G61" s="557"/>
      <c r="H61" s="557"/>
      <c r="I61" s="557"/>
      <c r="J61" s="557"/>
      <c r="K61" s="557"/>
      <c r="L61" s="557"/>
      <c r="M61" s="557"/>
      <c r="N61" s="557"/>
      <c r="O61" s="558"/>
      <c r="P61" s="260"/>
      <c r="Q61" s="212"/>
    </row>
    <row r="62" spans="1:17" ht="15.75" customHeight="1" x14ac:dyDescent="0.25">
      <c r="A62" s="212"/>
      <c r="B62" s="216"/>
      <c r="C62" s="632" t="s">
        <v>536</v>
      </c>
      <c r="D62" s="600"/>
      <c r="E62" s="600"/>
      <c r="F62" s="600"/>
      <c r="G62" s="600"/>
      <c r="H62" s="600"/>
      <c r="I62" s="633"/>
      <c r="J62" s="279"/>
      <c r="K62" s="298"/>
      <c r="L62" s="287" t="s">
        <v>537</v>
      </c>
      <c r="M62" s="634" t="s">
        <v>538</v>
      </c>
      <c r="N62" s="595"/>
      <c r="O62" s="288"/>
      <c r="P62" s="289"/>
      <c r="Q62" s="212"/>
    </row>
    <row r="63" spans="1:17" ht="15.75" customHeight="1" x14ac:dyDescent="0.25">
      <c r="A63" s="212"/>
      <c r="B63" s="216"/>
      <c r="C63" s="638" t="s">
        <v>539</v>
      </c>
      <c r="D63" s="585"/>
      <c r="E63" s="585"/>
      <c r="F63" s="585"/>
      <c r="G63" s="585"/>
      <c r="H63" s="585"/>
      <c r="I63" s="585"/>
      <c r="J63" s="299"/>
      <c r="K63" s="300"/>
      <c r="L63" s="301"/>
      <c r="M63" s="642"/>
      <c r="N63" s="579"/>
      <c r="O63" s="264"/>
      <c r="P63" s="265"/>
      <c r="Q63" s="212"/>
    </row>
    <row r="64" spans="1:17" ht="15.75" customHeight="1" x14ac:dyDescent="0.25">
      <c r="A64" s="212"/>
      <c r="B64" s="216"/>
      <c r="C64" s="266" t="s">
        <v>540</v>
      </c>
      <c r="D64" s="267"/>
      <c r="E64" s="267"/>
      <c r="F64" s="267"/>
      <c r="G64" s="267"/>
      <c r="H64" s="267"/>
      <c r="I64" s="267"/>
      <c r="J64" s="299"/>
      <c r="K64" s="300"/>
      <c r="L64" s="301"/>
      <c r="M64" s="642"/>
      <c r="N64" s="579"/>
      <c r="O64" s="264"/>
      <c r="P64" s="265"/>
      <c r="Q64" s="212"/>
    </row>
    <row r="65" spans="1:17" ht="15.75" customHeight="1" x14ac:dyDescent="0.25">
      <c r="A65" s="212"/>
      <c r="B65" s="216"/>
      <c r="C65" s="246" t="s">
        <v>483</v>
      </c>
      <c r="D65" s="247"/>
      <c r="E65" s="247"/>
      <c r="F65" s="247"/>
      <c r="G65" s="247"/>
      <c r="H65" s="247"/>
      <c r="I65" s="247"/>
      <c r="J65" s="302"/>
      <c r="K65" s="303"/>
      <c r="L65" s="301"/>
      <c r="M65" s="670"/>
      <c r="N65" s="627"/>
      <c r="O65" s="264"/>
      <c r="P65" s="265"/>
      <c r="Q65" s="212"/>
    </row>
    <row r="66" spans="1:17" ht="15.75" customHeight="1" x14ac:dyDescent="0.25">
      <c r="A66" s="212"/>
      <c r="B66" s="216"/>
      <c r="C66" s="635" t="s">
        <v>520</v>
      </c>
      <c r="D66" s="616"/>
      <c r="E66" s="616"/>
      <c r="F66" s="616"/>
      <c r="G66" s="616"/>
      <c r="H66" s="616"/>
      <c r="I66" s="616"/>
      <c r="J66" s="616"/>
      <c r="K66" s="616"/>
      <c r="L66" s="616"/>
      <c r="M66" s="616"/>
      <c r="N66" s="629"/>
      <c r="O66" s="278"/>
      <c r="P66" s="265"/>
      <c r="Q66" s="212"/>
    </row>
    <row r="67" spans="1:17" ht="15.75" customHeight="1" x14ac:dyDescent="0.25">
      <c r="A67" s="212"/>
      <c r="B67" s="216"/>
      <c r="C67" s="253"/>
      <c r="D67" s="223"/>
      <c r="E67" s="223"/>
      <c r="F67" s="223"/>
      <c r="G67" s="223"/>
      <c r="H67" s="223"/>
      <c r="I67" s="223"/>
      <c r="J67" s="223"/>
      <c r="K67" s="223"/>
      <c r="L67" s="223"/>
      <c r="M67" s="223"/>
      <c r="N67" s="223"/>
      <c r="O67" s="254"/>
      <c r="P67" s="217"/>
      <c r="Q67" s="212"/>
    </row>
    <row r="68" spans="1:17" ht="15.75" customHeight="1" x14ac:dyDescent="0.25">
      <c r="A68" s="212"/>
      <c r="B68" s="216"/>
      <c r="C68" s="628" t="s">
        <v>541</v>
      </c>
      <c r="D68" s="616"/>
      <c r="E68" s="616"/>
      <c r="F68" s="616"/>
      <c r="G68" s="616"/>
      <c r="H68" s="616"/>
      <c r="I68" s="616"/>
      <c r="J68" s="616"/>
      <c r="K68" s="616"/>
      <c r="L68" s="616"/>
      <c r="M68" s="616"/>
      <c r="N68" s="629"/>
      <c r="O68" s="304"/>
      <c r="P68" s="265"/>
      <c r="Q68" s="212"/>
    </row>
    <row r="69" spans="1:17" ht="15.75" customHeight="1" x14ac:dyDescent="0.25">
      <c r="A69" s="212"/>
      <c r="B69" s="216"/>
      <c r="C69" s="249"/>
      <c r="D69" s="250"/>
      <c r="E69" s="250"/>
      <c r="F69" s="250"/>
      <c r="G69" s="250"/>
      <c r="H69" s="250"/>
      <c r="I69" s="250"/>
      <c r="J69" s="250"/>
      <c r="K69" s="250"/>
      <c r="L69" s="250"/>
      <c r="M69" s="250"/>
      <c r="N69" s="250"/>
      <c r="O69" s="251"/>
      <c r="P69" s="217"/>
      <c r="Q69" s="212"/>
    </row>
    <row r="70" spans="1:17" ht="15.75" customHeight="1" x14ac:dyDescent="0.25">
      <c r="A70" s="212"/>
      <c r="B70" s="216"/>
      <c r="C70" s="253"/>
      <c r="D70" s="223"/>
      <c r="E70" s="223"/>
      <c r="F70" s="223"/>
      <c r="G70" s="223"/>
      <c r="H70" s="223"/>
      <c r="I70" s="223"/>
      <c r="J70" s="223"/>
      <c r="K70" s="223"/>
      <c r="L70" s="223"/>
      <c r="M70" s="223"/>
      <c r="N70" s="223"/>
      <c r="O70" s="254"/>
      <c r="P70" s="217"/>
      <c r="Q70" s="212"/>
    </row>
    <row r="71" spans="1:17" ht="15.75" customHeight="1" x14ac:dyDescent="0.25">
      <c r="A71" s="212"/>
      <c r="B71" s="216"/>
      <c r="C71" s="253"/>
      <c r="D71" s="223"/>
      <c r="E71" s="223"/>
      <c r="F71" s="223"/>
      <c r="G71" s="223"/>
      <c r="H71" s="223"/>
      <c r="I71" s="223"/>
      <c r="J71" s="223"/>
      <c r="K71" s="223"/>
      <c r="L71" s="223"/>
      <c r="M71" s="223"/>
      <c r="N71" s="223"/>
      <c r="O71" s="254"/>
      <c r="P71" s="217"/>
      <c r="Q71" s="212"/>
    </row>
    <row r="72" spans="1:17" ht="15.75" customHeight="1" x14ac:dyDescent="0.25">
      <c r="A72" s="212"/>
      <c r="B72" s="216"/>
      <c r="C72" s="253"/>
      <c r="D72" s="223"/>
      <c r="E72" s="223"/>
      <c r="F72" s="223"/>
      <c r="G72" s="223"/>
      <c r="H72" s="305" t="s">
        <v>542</v>
      </c>
      <c r="I72" s="305"/>
      <c r="J72" s="305"/>
      <c r="K72" s="305"/>
      <c r="L72" s="223"/>
      <c r="M72" s="223"/>
      <c r="N72" s="223"/>
      <c r="O72" s="254"/>
      <c r="P72" s="217"/>
      <c r="Q72" s="212"/>
    </row>
    <row r="73" spans="1:17" ht="15.75" customHeight="1" x14ac:dyDescent="0.25">
      <c r="A73" s="212"/>
      <c r="B73" s="216"/>
      <c r="C73" s="253"/>
      <c r="D73" s="223"/>
      <c r="E73" s="223"/>
      <c r="F73" s="223"/>
      <c r="G73" s="223"/>
      <c r="H73" s="305" t="s">
        <v>543</v>
      </c>
      <c r="I73" s="223"/>
      <c r="J73" s="223"/>
      <c r="K73" s="223"/>
      <c r="L73" s="223"/>
      <c r="M73" s="223"/>
      <c r="N73" s="223"/>
      <c r="O73" s="254"/>
      <c r="P73" s="306"/>
      <c r="Q73" s="212"/>
    </row>
    <row r="74" spans="1:17" ht="15.75" customHeight="1" x14ac:dyDescent="0.25">
      <c r="A74" s="212"/>
      <c r="B74" s="216"/>
      <c r="C74" s="253"/>
      <c r="D74" s="223"/>
      <c r="E74" s="223"/>
      <c r="F74" s="223"/>
      <c r="G74" s="223"/>
      <c r="H74" s="305" t="s">
        <v>544</v>
      </c>
      <c r="I74" s="223"/>
      <c r="J74" s="223"/>
      <c r="K74" s="223"/>
      <c r="L74" s="223"/>
      <c r="M74" s="223"/>
      <c r="N74" s="223"/>
      <c r="O74" s="254"/>
      <c r="P74" s="306"/>
      <c r="Q74" s="212"/>
    </row>
    <row r="75" spans="1:17" ht="15.75" customHeight="1" x14ac:dyDescent="0.25">
      <c r="A75" s="212"/>
      <c r="B75" s="216"/>
      <c r="C75" s="235"/>
      <c r="D75" s="307"/>
      <c r="E75" s="307"/>
      <c r="F75" s="307"/>
      <c r="G75" s="307"/>
      <c r="H75" s="305" t="s">
        <v>545</v>
      </c>
      <c r="I75" s="307"/>
      <c r="J75" s="307"/>
      <c r="K75" s="307"/>
      <c r="L75" s="307"/>
      <c r="M75" s="307"/>
      <c r="N75" s="307"/>
      <c r="O75" s="308"/>
      <c r="P75" s="309"/>
      <c r="Q75" s="212"/>
    </row>
    <row r="76" spans="1:17" ht="15.75" customHeight="1" x14ac:dyDescent="0.25">
      <c r="A76" s="212"/>
      <c r="B76" s="216"/>
      <c r="C76" s="253"/>
      <c r="D76" s="223"/>
      <c r="E76" s="223"/>
      <c r="F76" s="223"/>
      <c r="G76" s="223"/>
      <c r="H76" s="223" t="s">
        <v>546</v>
      </c>
      <c r="I76" s="223"/>
      <c r="J76" s="223"/>
      <c r="K76" s="223"/>
      <c r="L76" s="223"/>
      <c r="M76" s="223"/>
      <c r="N76" s="223"/>
      <c r="O76" s="254"/>
      <c r="P76" s="217"/>
      <c r="Q76" s="212"/>
    </row>
    <row r="77" spans="1:17" ht="15.75" customHeight="1" x14ac:dyDescent="0.25">
      <c r="A77" s="212"/>
      <c r="B77" s="216"/>
      <c r="C77" s="310" t="s">
        <v>547</v>
      </c>
      <c r="D77" s="311"/>
      <c r="E77" s="311"/>
      <c r="F77" s="311"/>
      <c r="G77" s="311"/>
      <c r="H77" s="311"/>
      <c r="I77" s="311"/>
      <c r="J77" s="311"/>
      <c r="K77" s="311"/>
      <c r="L77" s="311"/>
      <c r="M77" s="311"/>
      <c r="N77" s="311"/>
      <c r="O77" s="312"/>
      <c r="P77" s="217"/>
      <c r="Q77" s="212"/>
    </row>
    <row r="78" spans="1:17" ht="15.75" customHeight="1" x14ac:dyDescent="0.25">
      <c r="A78" s="212"/>
      <c r="B78" s="216"/>
      <c r="C78" s="671"/>
      <c r="D78" s="585"/>
      <c r="E78" s="585"/>
      <c r="F78" s="585"/>
      <c r="G78" s="585"/>
      <c r="H78" s="585"/>
      <c r="I78" s="585"/>
      <c r="J78" s="585"/>
      <c r="K78" s="585"/>
      <c r="L78" s="585"/>
      <c r="M78" s="585"/>
      <c r="N78" s="585"/>
      <c r="O78" s="620"/>
      <c r="P78" s="309"/>
      <c r="Q78" s="212"/>
    </row>
    <row r="79" spans="1:17" ht="15.75" customHeight="1" x14ac:dyDescent="0.25">
      <c r="A79" s="212"/>
      <c r="B79" s="216"/>
      <c r="C79" s="671"/>
      <c r="D79" s="585"/>
      <c r="E79" s="585"/>
      <c r="F79" s="585"/>
      <c r="G79" s="585"/>
      <c r="H79" s="585"/>
      <c r="I79" s="585"/>
      <c r="J79" s="585"/>
      <c r="K79" s="585"/>
      <c r="L79" s="585"/>
      <c r="M79" s="585"/>
      <c r="N79" s="585"/>
      <c r="O79" s="620"/>
      <c r="P79" s="309"/>
      <c r="Q79" s="212"/>
    </row>
    <row r="80" spans="1:17" ht="15.75" customHeight="1" x14ac:dyDescent="0.25">
      <c r="A80" s="212"/>
      <c r="B80" s="216"/>
      <c r="C80" s="235"/>
      <c r="D80" s="307"/>
      <c r="E80" s="307"/>
      <c r="F80" s="307"/>
      <c r="G80" s="307"/>
      <c r="H80" s="307"/>
      <c r="I80" s="307"/>
      <c r="J80" s="307"/>
      <c r="K80" s="307"/>
      <c r="L80" s="307"/>
      <c r="M80" s="307"/>
      <c r="N80" s="307"/>
      <c r="O80" s="308"/>
      <c r="P80" s="309"/>
      <c r="Q80" s="212"/>
    </row>
    <row r="81" spans="1:17" ht="15.75" customHeight="1" x14ac:dyDescent="0.25">
      <c r="A81" s="212"/>
      <c r="B81" s="216"/>
      <c r="C81" s="313" t="s">
        <v>548</v>
      </c>
      <c r="D81" s="307"/>
      <c r="E81" s="307"/>
      <c r="F81" s="307"/>
      <c r="G81" s="307"/>
      <c r="H81" s="307"/>
      <c r="I81" s="307"/>
      <c r="J81" s="307"/>
      <c r="K81" s="307"/>
      <c r="L81" s="307"/>
      <c r="M81" s="307"/>
      <c r="N81" s="307"/>
      <c r="O81" s="308"/>
      <c r="P81" s="309"/>
      <c r="Q81" s="212"/>
    </row>
    <row r="82" spans="1:17" ht="15.75" customHeight="1" x14ac:dyDescent="0.25">
      <c r="A82" s="212"/>
      <c r="B82" s="216"/>
      <c r="C82" s="667" t="s">
        <v>549</v>
      </c>
      <c r="D82" s="553"/>
      <c r="E82" s="553"/>
      <c r="F82" s="553"/>
      <c r="G82" s="553"/>
      <c r="H82" s="553"/>
      <c r="I82" s="553"/>
      <c r="J82" s="553"/>
      <c r="K82" s="553"/>
      <c r="L82" s="553"/>
      <c r="M82" s="553"/>
      <c r="N82" s="553"/>
      <c r="O82" s="554"/>
      <c r="P82" s="314"/>
      <c r="Q82" s="212"/>
    </row>
    <row r="83" spans="1:17" ht="15.75" customHeight="1" x14ac:dyDescent="0.25">
      <c r="A83" s="212"/>
      <c r="B83" s="216"/>
      <c r="C83" s="573"/>
      <c r="D83" s="553"/>
      <c r="E83" s="553"/>
      <c r="F83" s="553"/>
      <c r="G83" s="553"/>
      <c r="H83" s="553"/>
      <c r="I83" s="553"/>
      <c r="J83" s="553"/>
      <c r="K83" s="553"/>
      <c r="L83" s="553"/>
      <c r="M83" s="553"/>
      <c r="N83" s="553"/>
      <c r="O83" s="554"/>
      <c r="P83" s="314"/>
      <c r="Q83" s="212"/>
    </row>
    <row r="84" spans="1:17" ht="15.75" customHeight="1" x14ac:dyDescent="0.25">
      <c r="A84" s="212"/>
      <c r="B84" s="216"/>
      <c r="C84" s="667" t="s">
        <v>550</v>
      </c>
      <c r="D84" s="553"/>
      <c r="E84" s="553"/>
      <c r="F84" s="553"/>
      <c r="G84" s="553"/>
      <c r="H84" s="553"/>
      <c r="I84" s="553"/>
      <c r="J84" s="553"/>
      <c r="K84" s="553"/>
      <c r="L84" s="553"/>
      <c r="M84" s="553"/>
      <c r="N84" s="553"/>
      <c r="O84" s="554"/>
      <c r="P84" s="314"/>
      <c r="Q84" s="212"/>
    </row>
    <row r="85" spans="1:17" ht="15.75" customHeight="1" x14ac:dyDescent="0.25">
      <c r="A85" s="212"/>
      <c r="B85" s="216"/>
      <c r="C85" s="573"/>
      <c r="D85" s="553"/>
      <c r="E85" s="553"/>
      <c r="F85" s="553"/>
      <c r="G85" s="553"/>
      <c r="H85" s="553"/>
      <c r="I85" s="553"/>
      <c r="J85" s="553"/>
      <c r="K85" s="553"/>
      <c r="L85" s="553"/>
      <c r="M85" s="553"/>
      <c r="N85" s="553"/>
      <c r="O85" s="554"/>
      <c r="P85" s="314"/>
      <c r="Q85" s="212"/>
    </row>
    <row r="86" spans="1:17" ht="15.75" customHeight="1" x14ac:dyDescent="0.25">
      <c r="A86" s="212"/>
      <c r="B86" s="216"/>
      <c r="C86" s="235"/>
      <c r="D86" s="307"/>
      <c r="E86" s="307"/>
      <c r="F86" s="307"/>
      <c r="G86" s="307"/>
      <c r="H86" s="307"/>
      <c r="I86" s="307"/>
      <c r="J86" s="307"/>
      <c r="K86" s="307"/>
      <c r="L86" s="307"/>
      <c r="M86" s="307"/>
      <c r="N86" s="307"/>
      <c r="O86" s="308"/>
      <c r="P86" s="309"/>
      <c r="Q86" s="212"/>
    </row>
    <row r="87" spans="1:17" ht="15.75" customHeight="1" x14ac:dyDescent="0.25">
      <c r="A87" s="212"/>
      <c r="B87" s="216"/>
      <c r="C87" s="253"/>
      <c r="D87" s="223"/>
      <c r="E87" s="223"/>
      <c r="F87" s="223"/>
      <c r="G87" s="223"/>
      <c r="H87" s="305" t="s">
        <v>542</v>
      </c>
      <c r="I87" s="223"/>
      <c r="J87" s="223"/>
      <c r="K87" s="223"/>
      <c r="L87" s="223"/>
      <c r="M87" s="223"/>
      <c r="N87" s="223"/>
      <c r="O87" s="254"/>
      <c r="P87" s="217"/>
      <c r="Q87" s="212"/>
    </row>
    <row r="88" spans="1:17" ht="15.75" customHeight="1" x14ac:dyDescent="0.25">
      <c r="A88" s="212"/>
      <c r="B88" s="216"/>
      <c r="C88" s="253"/>
      <c r="D88" s="223"/>
      <c r="E88" s="223"/>
      <c r="F88" s="223"/>
      <c r="G88" s="223"/>
      <c r="H88" s="223" t="s">
        <v>543</v>
      </c>
      <c r="I88" s="267"/>
      <c r="J88" s="267"/>
      <c r="K88" s="267"/>
      <c r="L88" s="223"/>
      <c r="M88" s="223"/>
      <c r="N88" s="223"/>
      <c r="O88" s="254"/>
      <c r="P88" s="217"/>
      <c r="Q88" s="212"/>
    </row>
    <row r="89" spans="1:17" ht="15.75" customHeight="1" x14ac:dyDescent="0.25">
      <c r="A89" s="212"/>
      <c r="B89" s="216"/>
      <c r="C89" s="253"/>
      <c r="D89" s="223"/>
      <c r="E89" s="223"/>
      <c r="F89" s="223"/>
      <c r="G89" s="223"/>
      <c r="H89" s="223" t="s">
        <v>551</v>
      </c>
      <c r="I89" s="315"/>
      <c r="J89" s="315"/>
      <c r="K89" s="315"/>
      <c r="L89" s="223"/>
      <c r="M89" s="223"/>
      <c r="N89" s="223"/>
      <c r="O89" s="254"/>
      <c r="P89" s="217"/>
      <c r="Q89" s="212"/>
    </row>
    <row r="90" spans="1:17" ht="15.75" customHeight="1" x14ac:dyDescent="0.25">
      <c r="A90" s="212"/>
      <c r="B90" s="216"/>
      <c r="C90" s="316"/>
      <c r="D90" s="307"/>
      <c r="E90" s="307"/>
      <c r="F90" s="307"/>
      <c r="G90" s="307"/>
      <c r="H90" s="223" t="s">
        <v>545</v>
      </c>
      <c r="I90" s="223"/>
      <c r="J90" s="223"/>
      <c r="K90" s="223"/>
      <c r="L90" s="307"/>
      <c r="M90" s="307"/>
      <c r="N90" s="307"/>
      <c r="O90" s="308"/>
      <c r="P90" s="309"/>
      <c r="Q90" s="212"/>
    </row>
    <row r="91" spans="1:17" ht="15.75" customHeight="1" x14ac:dyDescent="0.25">
      <c r="A91" s="212"/>
      <c r="B91" s="216"/>
      <c r="C91" s="316"/>
      <c r="D91" s="315"/>
      <c r="E91" s="315"/>
      <c r="F91" s="223"/>
      <c r="G91" s="223"/>
      <c r="H91" s="223"/>
      <c r="I91" s="223"/>
      <c r="J91" s="223"/>
      <c r="K91" s="668"/>
      <c r="L91" s="553"/>
      <c r="M91" s="553"/>
      <c r="N91" s="553"/>
      <c r="O91" s="554"/>
      <c r="P91" s="317"/>
      <c r="Q91" s="212"/>
    </row>
    <row r="92" spans="1:17" ht="15.75" customHeight="1" x14ac:dyDescent="0.25">
      <c r="A92" s="212"/>
      <c r="B92" s="216"/>
      <c r="C92" s="669"/>
      <c r="D92" s="557"/>
      <c r="E92" s="557"/>
      <c r="F92" s="284"/>
      <c r="G92" s="284"/>
      <c r="H92" s="284"/>
      <c r="I92" s="284"/>
      <c r="J92" s="284"/>
      <c r="K92" s="557"/>
      <c r="L92" s="557"/>
      <c r="M92" s="557"/>
      <c r="N92" s="557"/>
      <c r="O92" s="558"/>
      <c r="P92" s="317"/>
      <c r="Q92" s="212"/>
    </row>
    <row r="93" spans="1:17" ht="15.75" customHeight="1" x14ac:dyDescent="0.25">
      <c r="A93" s="212"/>
      <c r="B93" s="318"/>
      <c r="C93" s="319"/>
      <c r="D93" s="319"/>
      <c r="E93" s="319"/>
      <c r="F93" s="319"/>
      <c r="G93" s="319"/>
      <c r="H93" s="319"/>
      <c r="I93" s="319"/>
      <c r="J93" s="319"/>
      <c r="K93" s="319"/>
      <c r="L93" s="319"/>
      <c r="M93" s="319"/>
      <c r="N93" s="319"/>
      <c r="O93" s="319"/>
      <c r="P93" s="320"/>
      <c r="Q93" s="212"/>
    </row>
    <row r="94" spans="1:17" ht="15.75" customHeight="1" x14ac:dyDescent="0.25">
      <c r="A94" s="212"/>
      <c r="B94" s="212"/>
      <c r="C94" s="212"/>
      <c r="D94" s="212"/>
      <c r="E94" s="212"/>
      <c r="F94" s="212"/>
      <c r="G94" s="212"/>
      <c r="H94" s="212"/>
      <c r="I94" s="212"/>
      <c r="J94" s="212"/>
      <c r="K94" s="212"/>
      <c r="L94" s="212"/>
      <c r="M94" s="212"/>
      <c r="N94" s="212"/>
      <c r="O94" s="212"/>
      <c r="P94" s="212"/>
      <c r="Q94" s="212"/>
    </row>
    <row r="95" spans="1:17" ht="15.75" customHeight="1" x14ac:dyDescent="0.25"/>
    <row r="96" spans="1:17" ht="15.75" customHeight="1" x14ac:dyDescent="0.25"/>
    <row r="97" ht="15.75" customHeight="1" x14ac:dyDescent="0.25"/>
    <row r="98" ht="15.75" customHeight="1" x14ac:dyDescent="0.25"/>
    <row r="99" ht="15.75" customHeight="1" x14ac:dyDescent="0.25"/>
    <row r="100" ht="15.75" customHeight="1" x14ac:dyDescent="0.25"/>
  </sheetData>
  <mergeCells count="78">
    <mergeCell ref="M30:N30"/>
    <mergeCell ref="C84:O85"/>
    <mergeCell ref="K91:O92"/>
    <mergeCell ref="C92:E92"/>
    <mergeCell ref="M65:N65"/>
    <mergeCell ref="C66:N66"/>
    <mergeCell ref="C68:N68"/>
    <mergeCell ref="C82:O83"/>
    <mergeCell ref="C78:O78"/>
    <mergeCell ref="C79:O79"/>
    <mergeCell ref="M64:N64"/>
    <mergeCell ref="M63:N63"/>
    <mergeCell ref="C63:I63"/>
    <mergeCell ref="C30:G30"/>
    <mergeCell ref="H30:I30"/>
    <mergeCell ref="J30:K30"/>
    <mergeCell ref="M24:N24"/>
    <mergeCell ref="D24:L24"/>
    <mergeCell ref="C3:F3"/>
    <mergeCell ref="C8:C14"/>
    <mergeCell ref="C6:O6"/>
    <mergeCell ref="D8:K8"/>
    <mergeCell ref="L8:O9"/>
    <mergeCell ref="D9:K9"/>
    <mergeCell ref="D10:K10"/>
    <mergeCell ref="L10:L11"/>
    <mergeCell ref="M10:O11"/>
    <mergeCell ref="J29:K29"/>
    <mergeCell ref="M29:N29"/>
    <mergeCell ref="D11:K11"/>
    <mergeCell ref="D12:K13"/>
    <mergeCell ref="L12:L14"/>
    <mergeCell ref="M12:M14"/>
    <mergeCell ref="N12:N14"/>
    <mergeCell ref="D25:L25"/>
    <mergeCell ref="M25:N25"/>
    <mergeCell ref="C26:O28"/>
    <mergeCell ref="C29:G29"/>
    <mergeCell ref="H29:I29"/>
    <mergeCell ref="O12:O14"/>
    <mergeCell ref="D14:K14"/>
    <mergeCell ref="C18:F18"/>
    <mergeCell ref="C22:O22"/>
    <mergeCell ref="M31:N31"/>
    <mergeCell ref="M32:N32"/>
    <mergeCell ref="M37:N37"/>
    <mergeCell ref="M38:N38"/>
    <mergeCell ref="C46:I46"/>
    <mergeCell ref="M46:N46"/>
    <mergeCell ref="M39:N39"/>
    <mergeCell ref="C39:J39"/>
    <mergeCell ref="H32:I32"/>
    <mergeCell ref="J32:K32"/>
    <mergeCell ref="C33:N33"/>
    <mergeCell ref="C34:O36"/>
    <mergeCell ref="C37:J37"/>
    <mergeCell ref="C38:J38"/>
    <mergeCell ref="C32:G32"/>
    <mergeCell ref="M54:N54"/>
    <mergeCell ref="C40:N40"/>
    <mergeCell ref="C41:O43"/>
    <mergeCell ref="C44:I44"/>
    <mergeCell ref="M44:N44"/>
    <mergeCell ref="C45:I45"/>
    <mergeCell ref="M45:N45"/>
    <mergeCell ref="C51:I51"/>
    <mergeCell ref="M51:N51"/>
    <mergeCell ref="M52:N52"/>
    <mergeCell ref="M53:N53"/>
    <mergeCell ref="C47:N47"/>
    <mergeCell ref="C48:O50"/>
    <mergeCell ref="C55:I55"/>
    <mergeCell ref="M55:N55"/>
    <mergeCell ref="C58:N58"/>
    <mergeCell ref="C59:O61"/>
    <mergeCell ref="C62:I62"/>
    <mergeCell ref="M62:N62"/>
    <mergeCell ref="C56:N56"/>
  </mergeCells>
  <pageMargins left="0.7" right="0.7" top="0.75" bottom="0.75" header="0" footer="0"/>
  <pageSetup scale="48"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PRESUPUESTO FINAL FDLU</vt:lpstr>
      <vt:lpstr>PRESUPUESTO OFICIAL AGUAS DORAD</vt:lpstr>
      <vt:lpstr>PRESUPUESTO OFICIAL EL DESTINO</vt:lpstr>
      <vt:lpstr>PRESUPUESTO LAS MARGARITAS</vt:lpstr>
      <vt:lpstr>PROPUESTA ECONOMICA(proponente)</vt:lpstr>
      <vt:lpstr>APU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Fabricio Cruz Rubio</dc:creator>
  <cp:lastModifiedBy>Administrador</cp:lastModifiedBy>
  <dcterms:created xsi:type="dcterms:W3CDTF">2021-09-13T17:21:50Z</dcterms:created>
  <dcterms:modified xsi:type="dcterms:W3CDTF">2025-07-17T21:21:29Z</dcterms:modified>
</cp:coreProperties>
</file>