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8"/>
  <workbookPr defaultThemeVersion="166925"/>
  <mc:AlternateContent xmlns:mc="http://schemas.openxmlformats.org/markup-compatibility/2006">
    <mc:Choice Requires="x15">
      <x15ac:absPath xmlns:x15ac="http://schemas.microsoft.com/office/spreadsheetml/2010/11/ac" url="/Users/CesarDimasD/Downloads/"/>
    </mc:Choice>
  </mc:AlternateContent>
  <xr:revisionPtr revIDLastSave="0" documentId="8_{090BFB5A-350E-1F48-B91F-9D4FC62C5064}" xr6:coauthVersionLast="47" xr6:coauthVersionMax="47" xr10:uidLastSave="{00000000-0000-0000-0000-000000000000}"/>
  <bookViews>
    <workbookView xWindow="0" yWindow="680" windowWidth="22960" windowHeight="14760" tabRatio="770" xr2:uid="{AC423730-FDE4-4968-B18A-4E1A6CE60C38}"/>
  </bookViews>
  <sheets>
    <sheet name="APIU" sheetId="1" r:id="rId1"/>
    <sheet name="PGIO" sheetId="9" r:id="rId2"/>
    <sheet name="EJE S&amp;SO_Examenes Ocupacionales" sheetId="10" r:id="rId3"/>
    <sheet name="COTIZACIONES" sheetId="8" r:id="rId4"/>
    <sheet name="FAC. PRES_OBRA" sheetId="11" r:id="rId5"/>
    <sheet name="analisis insumos" sheetId="7" state="hidden" r:id="rId6"/>
  </sheets>
  <definedNames>
    <definedName name="_Fill" localSheetId="5" hidden="1">#REF!</definedName>
    <definedName name="_Fill" hidden="1">#REF!</definedName>
    <definedName name="_xlnm._FilterDatabase" localSheetId="4" hidden="1">'FAC. PRES_OBRA'!$A$3:$AB$71</definedName>
    <definedName name="_Key1" localSheetId="5" hidden="1">#REF!</definedName>
    <definedName name="_Key1" localSheetId="0" hidden="1">#REF!</definedName>
    <definedName name="_Key1" localSheetId="4" hidden="1">#REF!</definedName>
    <definedName name="_Key1" hidden="1">#REF!</definedName>
    <definedName name="_Order1" hidden="1">255</definedName>
    <definedName name="_Sort" localSheetId="5" hidden="1">#REF!</definedName>
    <definedName name="_Sort" localSheetId="0" hidden="1">#REF!</definedName>
    <definedName name="_Sort" localSheetId="4" hidden="1">#REF!</definedName>
    <definedName name="_Sort" hidden="1">#REF!</definedName>
    <definedName name="\b" localSheetId="5">#REF!</definedName>
    <definedName name="\b" localSheetId="0">#REF!</definedName>
    <definedName name="\b" localSheetId="4">#REF!</definedName>
    <definedName name="\b">#REF!</definedName>
    <definedName name="\i" localSheetId="0">#REF!</definedName>
    <definedName name="\i" localSheetId="4">#REF!</definedName>
    <definedName name="\i">#REF!</definedName>
    <definedName name="\m" localSheetId="0">#REF!</definedName>
    <definedName name="\m" localSheetId="4">#REF!</definedName>
    <definedName name="\m">#REF!</definedName>
    <definedName name="\r" localSheetId="0">#REF!</definedName>
    <definedName name="\r" localSheetId="4">#REF!</definedName>
    <definedName name="\r">#REF!</definedName>
    <definedName name="\t" localSheetId="0">#REF!</definedName>
    <definedName name="\t" localSheetId="4">#REF!</definedName>
    <definedName name="\t">#REF!</definedName>
    <definedName name="\x" localSheetId="0">#REF!</definedName>
    <definedName name="\x">#REF!</definedName>
    <definedName name="a">#REF!</definedName>
    <definedName name="AHER" localSheetId="4">#REF!</definedName>
    <definedName name="AHER">#REF!</definedName>
    <definedName name="AMAT" localSheetId="4">#REF!</definedName>
    <definedName name="AMAT">#REF!</definedName>
    <definedName name="ANA" localSheetId="4">#REF!</definedName>
    <definedName name="ANA">#REF!</definedName>
    <definedName name="ANGULO" localSheetId="4">#REF!</definedName>
    <definedName name="ANGULO">#REF!</definedName>
    <definedName name="ap">#REF!</definedName>
    <definedName name="APER" localSheetId="4">#REF!</definedName>
    <definedName name="APER">#REF!</definedName>
    <definedName name="_xlnm.Print_Area" localSheetId="0">APIU!$A$1:$K$114</definedName>
    <definedName name="_xlnm.Print_Area" localSheetId="2">'EJE S&amp;SO_Examenes Ocupacionales'!$A$1:$F$15</definedName>
    <definedName name="_xlnm.Print_Area" localSheetId="1">PGIO!$A$1:$J$22</definedName>
    <definedName name="ATRS" localSheetId="4">#REF!</definedName>
    <definedName name="ATRS">#REF!</definedName>
    <definedName name="BORDE1">#N/A</definedName>
    <definedName name="CANTDS">#REF!,#REF!,#REF!,#REF!</definedName>
    <definedName name="CNT_M">#REF!</definedName>
    <definedName name="_xlnm.Criteria" localSheetId="5">#REF!</definedName>
    <definedName name="_xlnm.Criteria" localSheetId="0">#REF!</definedName>
    <definedName name="_xlnm.Criteria" localSheetId="4">#REF!</definedName>
    <definedName name="_xlnm.Criteria">#REF!</definedName>
    <definedName name="Criterios_IM" localSheetId="5">#REF!</definedName>
    <definedName name="Criterios_IM" localSheetId="0">#REF!</definedName>
    <definedName name="Criterios_IM" localSheetId="4">#REF!</definedName>
    <definedName name="Criterios_IM">#REF!</definedName>
    <definedName name="ET_DSC">#REF!</definedName>
    <definedName name="ET_IMO">#REF!</definedName>
    <definedName name="ET_IND">#REF!</definedName>
    <definedName name="inf" localSheetId="4">#REF!</definedName>
    <definedName name="inf">#REF!</definedName>
    <definedName name="INSUMOS">#N/A</definedName>
    <definedName name="j" localSheetId="5" hidden="1">#REF!</definedName>
    <definedName name="j" localSheetId="4" hidden="1">#REF!</definedName>
    <definedName name="j" hidden="1">#REF!</definedName>
    <definedName name="mama" localSheetId="5" hidden="1">#REF!</definedName>
    <definedName name="mama" hidden="1">#REF!</definedName>
    <definedName name="mkj" localSheetId="5">#REF!</definedName>
    <definedName name="mkj" localSheetId="4">#REF!</definedName>
    <definedName name="mkj">#REF!</definedName>
    <definedName name="o">#REF!</definedName>
    <definedName name="op">#REF!</definedName>
    <definedName name="Prov" localSheetId="4">#REF!</definedName>
    <definedName name="Prov">#REF!</definedName>
    <definedName name="_xlnm.Print_Titles" localSheetId="0">APIU!$1:$2</definedName>
    <definedName name="UND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76" i="1" l="1"/>
  <c r="H73" i="1"/>
  <c r="F45" i="1" l="1"/>
  <c r="D5" i="1" l="1"/>
  <c r="G89" i="1" s="1"/>
  <c r="G13" i="1" l="1"/>
  <c r="H13" i="1" s="1"/>
  <c r="G14" i="1"/>
  <c r="H14" i="1" s="1"/>
  <c r="G15" i="1"/>
  <c r="H15" i="1" s="1"/>
  <c r="G16" i="1"/>
  <c r="H16" i="1" s="1"/>
  <c r="G17" i="1"/>
  <c r="H17" i="1" s="1"/>
  <c r="G18" i="1"/>
  <c r="H18" i="1" s="1"/>
  <c r="F17" i="1"/>
  <c r="E17" i="1"/>
  <c r="G99" i="1" l="1"/>
  <c r="F16" i="1"/>
  <c r="F15" i="1" s="1"/>
  <c r="E15" i="1"/>
  <c r="E16" i="1" l="1"/>
  <c r="AA69" i="11" l="1"/>
  <c r="AA68" i="11"/>
  <c r="AA67" i="11"/>
  <c r="AA66" i="11"/>
  <c r="AA65" i="11"/>
  <c r="AA64" i="11"/>
  <c r="AA63" i="11"/>
  <c r="I63" i="11"/>
  <c r="AA62" i="11"/>
  <c r="AA61" i="11"/>
  <c r="AA60" i="11"/>
  <c r="AA59" i="11"/>
  <c r="AA58" i="11"/>
  <c r="K58" i="11"/>
  <c r="AA57" i="11"/>
  <c r="AA56" i="11"/>
  <c r="AA55" i="11"/>
  <c r="AA54" i="11"/>
  <c r="AA53" i="11"/>
  <c r="AA52" i="11"/>
  <c r="AA51" i="11"/>
  <c r="AA50" i="11"/>
  <c r="AA49" i="11"/>
  <c r="AA48" i="11"/>
  <c r="I48" i="11"/>
  <c r="F48" i="11"/>
  <c r="AA47" i="11"/>
  <c r="I47" i="11"/>
  <c r="AA46" i="11"/>
  <c r="I46" i="11"/>
  <c r="AA45" i="11"/>
  <c r="I45" i="11"/>
  <c r="K45" i="11"/>
  <c r="AA44" i="11"/>
  <c r="AA43" i="11"/>
  <c r="AA42" i="11"/>
  <c r="AA41" i="11"/>
  <c r="I41" i="11"/>
  <c r="AA40" i="11"/>
  <c r="AA39" i="11"/>
  <c r="AA38" i="11"/>
  <c r="AA37" i="11"/>
  <c r="I37" i="11"/>
  <c r="AA36" i="11"/>
  <c r="AA35" i="11"/>
  <c r="K35" i="11"/>
  <c r="I35" i="11"/>
  <c r="F35" i="11"/>
  <c r="E35" i="11"/>
  <c r="AA34" i="11"/>
  <c r="AA33" i="11"/>
  <c r="AA32" i="11"/>
  <c r="E32" i="11"/>
  <c r="AA31" i="11"/>
  <c r="AA30" i="11"/>
  <c r="AA29" i="11"/>
  <c r="AA28" i="11"/>
  <c r="F28" i="11"/>
  <c r="AA27" i="11"/>
  <c r="AA26" i="11"/>
  <c r="AA25" i="11"/>
  <c r="AA24" i="11"/>
  <c r="AA23" i="11"/>
  <c r="AA22" i="11"/>
  <c r="AA21" i="11"/>
  <c r="AA20" i="11"/>
  <c r="AA19" i="11"/>
  <c r="AA18" i="11"/>
  <c r="AA17" i="11"/>
  <c r="AA16" i="11"/>
  <c r="AA15" i="11"/>
  <c r="AA14" i="11"/>
  <c r="AA13" i="11"/>
  <c r="AA12" i="11"/>
  <c r="AA11" i="11"/>
  <c r="AA10" i="11"/>
  <c r="AA9" i="11"/>
  <c r="I9" i="11"/>
  <c r="AA8" i="11"/>
  <c r="AA7" i="11"/>
  <c r="AA6" i="11"/>
  <c r="AA5" i="11"/>
  <c r="AA4" i="11"/>
  <c r="F46" i="1"/>
  <c r="G33" i="1"/>
  <c r="F50" i="1"/>
  <c r="H50" i="1" s="1"/>
  <c r="K59" i="11" l="1"/>
  <c r="E59" i="11"/>
  <c r="E5" i="11"/>
  <c r="I17" i="11"/>
  <c r="F24" i="11"/>
  <c r="I32" i="11"/>
  <c r="E63" i="11"/>
  <c r="I7" i="11"/>
  <c r="I5" i="11"/>
  <c r="I40" i="11"/>
  <c r="K48" i="11"/>
  <c r="I51" i="11"/>
  <c r="E45" i="11"/>
  <c r="I43" i="11"/>
  <c r="F45" i="11"/>
  <c r="K28" i="11"/>
  <c r="E48" i="11"/>
  <c r="E24" i="11"/>
  <c r="K39" i="11"/>
  <c r="E8" i="11"/>
  <c r="K8" i="11"/>
  <c r="F8" i="11"/>
  <c r="K29" i="11"/>
  <c r="F29" i="11"/>
  <c r="E29" i="11"/>
  <c r="I22" i="11"/>
  <c r="F5" i="11"/>
  <c r="I44" i="11"/>
  <c r="I8" i="11"/>
  <c r="I27" i="11"/>
  <c r="K49" i="11"/>
  <c r="F49" i="11"/>
  <c r="E49" i="11"/>
  <c r="K52" i="11"/>
  <c r="F52" i="11"/>
  <c r="E52" i="11"/>
  <c r="I67" i="11"/>
  <c r="I29" i="11"/>
  <c r="I18" i="11"/>
  <c r="I33" i="11"/>
  <c r="I34" i="11"/>
  <c r="K32" i="11"/>
  <c r="I21" i="11"/>
  <c r="F32" i="11"/>
  <c r="U5" i="11"/>
  <c r="V5" i="11" s="1"/>
  <c r="W5" i="11" s="1"/>
  <c r="I4" i="11"/>
  <c r="K5" i="11"/>
  <c r="I20" i="11"/>
  <c r="F23" i="11"/>
  <c r="E23" i="11"/>
  <c r="I25" i="11"/>
  <c r="I38" i="11"/>
  <c r="F39" i="11"/>
  <c r="K57" i="11"/>
  <c r="F57" i="11"/>
  <c r="E57" i="11"/>
  <c r="I19" i="11"/>
  <c r="AA70" i="11"/>
  <c r="I10" i="11"/>
  <c r="I11" i="11"/>
  <c r="I12" i="11"/>
  <c r="I13" i="11"/>
  <c r="I14" i="11"/>
  <c r="I15" i="11"/>
  <c r="I6" i="11"/>
  <c r="I16" i="11"/>
  <c r="K24" i="11"/>
  <c r="I50" i="11"/>
  <c r="I53" i="11"/>
  <c r="K56" i="11"/>
  <c r="F56" i="11"/>
  <c r="I23" i="11"/>
  <c r="I28" i="11"/>
  <c r="E56" i="11"/>
  <c r="I31" i="11"/>
  <c r="I36" i="11"/>
  <c r="I42" i="11"/>
  <c r="F62" i="11"/>
  <c r="I26" i="11"/>
  <c r="E28" i="11"/>
  <c r="I30" i="11"/>
  <c r="K51" i="11"/>
  <c r="F51" i="11"/>
  <c r="E51" i="11"/>
  <c r="I24" i="11"/>
  <c r="U24" i="11"/>
  <c r="V24" i="11" s="1"/>
  <c r="W24" i="11" s="1"/>
  <c r="K37" i="11"/>
  <c r="I39" i="11"/>
  <c r="E41" i="11"/>
  <c r="K41" i="11"/>
  <c r="K46" i="11"/>
  <c r="F46" i="11"/>
  <c r="E46" i="11"/>
  <c r="F60" i="11"/>
  <c r="K60" i="11"/>
  <c r="E60" i="11"/>
  <c r="U35" i="11"/>
  <c r="V35" i="11" s="1"/>
  <c r="W35" i="11" s="1"/>
  <c r="I66" i="11"/>
  <c r="U32" i="11"/>
  <c r="V32" i="11" s="1"/>
  <c r="W32" i="11" s="1"/>
  <c r="U45" i="11"/>
  <c r="V45" i="11" s="1"/>
  <c r="W45" i="11" s="1"/>
  <c r="I49" i="11"/>
  <c r="I55" i="11"/>
  <c r="I59" i="11"/>
  <c r="I56" i="11"/>
  <c r="F59" i="11"/>
  <c r="I60" i="11"/>
  <c r="I62" i="11"/>
  <c r="I65" i="11"/>
  <c r="I58" i="11"/>
  <c r="F63" i="11"/>
  <c r="K63" i="11"/>
  <c r="I54" i="11"/>
  <c r="F58" i="11"/>
  <c r="I61" i="11"/>
  <c r="F64" i="11"/>
  <c r="E64" i="11"/>
  <c r="K64" i="11"/>
  <c r="I68" i="11"/>
  <c r="U48" i="11"/>
  <c r="V48" i="11" s="1"/>
  <c r="W48" i="11" s="1"/>
  <c r="E58" i="11"/>
  <c r="I64" i="11"/>
  <c r="I69" i="11"/>
  <c r="I52" i="11"/>
  <c r="I57" i="11"/>
  <c r="F90" i="1"/>
  <c r="F89" i="1"/>
  <c r="F104" i="1"/>
  <c r="J19" i="9"/>
  <c r="F105" i="1"/>
  <c r="F92" i="1"/>
  <c r="F91" i="1"/>
  <c r="F88" i="1"/>
  <c r="J9" i="9"/>
  <c r="F87" i="1" s="1"/>
  <c r="J3" i="9"/>
  <c r="F86" i="1" s="1"/>
  <c r="J18" i="9"/>
  <c r="J16" i="9"/>
  <c r="J15" i="9"/>
  <c r="E17" i="9"/>
  <c r="J17" i="9" s="1"/>
  <c r="C14" i="9"/>
  <c r="C8" i="9"/>
  <c r="D8" i="10"/>
  <c r="C8" i="10"/>
  <c r="F8" i="10" s="1"/>
  <c r="D3" i="10"/>
  <c r="C3" i="10"/>
  <c r="F3" i="10" s="1"/>
  <c r="K22" i="9"/>
  <c r="M22" i="9" s="1"/>
  <c r="K21" i="9"/>
  <c r="L21" i="9" s="1"/>
  <c r="M21" i="9" s="1"/>
  <c r="U57" i="11" l="1"/>
  <c r="V57" i="11" s="1"/>
  <c r="W57" i="11" s="1"/>
  <c r="F37" i="11"/>
  <c r="E37" i="11"/>
  <c r="K62" i="11"/>
  <c r="E62" i="11"/>
  <c r="U62" i="11" s="1"/>
  <c r="V62" i="11" s="1"/>
  <c r="W62" i="11" s="1"/>
  <c r="U41" i="11"/>
  <c r="V41" i="11" s="1"/>
  <c r="W41" i="11" s="1"/>
  <c r="F41" i="11"/>
  <c r="U37" i="11"/>
  <c r="V37" i="11" s="1"/>
  <c r="W37" i="11" s="1"/>
  <c r="AB37" i="11" s="1"/>
  <c r="K23" i="11"/>
  <c r="E39" i="11"/>
  <c r="AB45" i="11"/>
  <c r="X45" i="11"/>
  <c r="AB5" i="11"/>
  <c r="X5" i="11"/>
  <c r="X24" i="11"/>
  <c r="AB24" i="11"/>
  <c r="AB35" i="11"/>
  <c r="X35" i="11"/>
  <c r="AB48" i="11"/>
  <c r="X48" i="11"/>
  <c r="X32" i="11"/>
  <c r="AB32" i="11"/>
  <c r="X57" i="11"/>
  <c r="AB57" i="11"/>
  <c r="F68" i="11"/>
  <c r="E68" i="11"/>
  <c r="K68" i="11"/>
  <c r="F33" i="11"/>
  <c r="E33" i="11"/>
  <c r="K33" i="11"/>
  <c r="U39" i="11"/>
  <c r="V39" i="11" s="1"/>
  <c r="W39" i="11" s="1"/>
  <c r="E11" i="11"/>
  <c r="K11" i="11"/>
  <c r="F11" i="11"/>
  <c r="E13" i="11"/>
  <c r="F13" i="11"/>
  <c r="K13" i="11"/>
  <c r="E4" i="11"/>
  <c r="F4" i="11"/>
  <c r="K4" i="11"/>
  <c r="F38" i="11"/>
  <c r="K38" i="11"/>
  <c r="E38" i="11"/>
  <c r="U52" i="11"/>
  <c r="V52" i="11" s="1"/>
  <c r="W52" i="11" s="1"/>
  <c r="E15" i="11"/>
  <c r="F15" i="11"/>
  <c r="K15" i="11"/>
  <c r="F61" i="11"/>
  <c r="K61" i="11"/>
  <c r="E61" i="11"/>
  <c r="U60" i="11"/>
  <c r="V60" i="11" s="1"/>
  <c r="W60" i="11" s="1"/>
  <c r="E9" i="11"/>
  <c r="F9" i="11"/>
  <c r="K9" i="11"/>
  <c r="U63" i="11"/>
  <c r="V63" i="11" s="1"/>
  <c r="W63" i="11" s="1"/>
  <c r="F65" i="11"/>
  <c r="E65" i="11"/>
  <c r="K65" i="11"/>
  <c r="U28" i="11"/>
  <c r="V28" i="11" s="1"/>
  <c r="W28" i="11" s="1"/>
  <c r="F47" i="11"/>
  <c r="E47" i="11"/>
  <c r="K47" i="11"/>
  <c r="U56" i="11"/>
  <c r="V56" i="11" s="1"/>
  <c r="W56" i="11" s="1"/>
  <c r="E7" i="11"/>
  <c r="K7" i="11"/>
  <c r="F7" i="11"/>
  <c r="K25" i="11"/>
  <c r="F25" i="11"/>
  <c r="E25" i="11"/>
  <c r="U23" i="11"/>
  <c r="V23" i="11" s="1"/>
  <c r="W23" i="11" s="1"/>
  <c r="F18" i="11"/>
  <c r="E18" i="11"/>
  <c r="K18" i="11"/>
  <c r="E10" i="11"/>
  <c r="F10" i="11"/>
  <c r="K10" i="11"/>
  <c r="F16" i="11"/>
  <c r="K16" i="11"/>
  <c r="E16" i="11"/>
  <c r="F19" i="11"/>
  <c r="K19" i="11"/>
  <c r="E19" i="11"/>
  <c r="F22" i="11"/>
  <c r="E22" i="11"/>
  <c r="K22" i="11"/>
  <c r="F27" i="11"/>
  <c r="K27" i="11"/>
  <c r="E27" i="11"/>
  <c r="E31" i="11"/>
  <c r="K31" i="11"/>
  <c r="F31" i="11"/>
  <c r="E6" i="11"/>
  <c r="F6" i="11"/>
  <c r="K6" i="11"/>
  <c r="K34" i="11"/>
  <c r="F34" i="11"/>
  <c r="E34" i="11"/>
  <c r="K43" i="11"/>
  <c r="F43" i="11"/>
  <c r="E43" i="11"/>
  <c r="E42" i="11"/>
  <c r="F42" i="11"/>
  <c r="K42" i="11"/>
  <c r="U59" i="11"/>
  <c r="V59" i="11" s="1"/>
  <c r="W59" i="11" s="1"/>
  <c r="U58" i="11"/>
  <c r="V58" i="11" s="1"/>
  <c r="W58" i="11" s="1"/>
  <c r="K54" i="11"/>
  <c r="F54" i="11"/>
  <c r="E54" i="11"/>
  <c r="U51" i="11"/>
  <c r="V51" i="11" s="1"/>
  <c r="W51" i="11" s="1"/>
  <c r="K53" i="11"/>
  <c r="F53" i="11"/>
  <c r="E53" i="11"/>
  <c r="E40" i="11"/>
  <c r="F40" i="11"/>
  <c r="K40" i="11"/>
  <c r="E26" i="11"/>
  <c r="K26" i="11"/>
  <c r="F26" i="11"/>
  <c r="E50" i="11"/>
  <c r="K50" i="11"/>
  <c r="F50" i="11"/>
  <c r="K21" i="11"/>
  <c r="F21" i="11"/>
  <c r="E21" i="11"/>
  <c r="E12" i="11"/>
  <c r="F12" i="11"/>
  <c r="K12" i="11"/>
  <c r="E14" i="11"/>
  <c r="K14" i="11"/>
  <c r="F14" i="11"/>
  <c r="F67" i="11"/>
  <c r="E67" i="11"/>
  <c r="K67" i="11"/>
  <c r="F44" i="11"/>
  <c r="K44" i="11"/>
  <c r="E44" i="11"/>
  <c r="U8" i="11"/>
  <c r="V8" i="11" s="1"/>
  <c r="W8" i="11" s="1"/>
  <c r="F69" i="11"/>
  <c r="E69" i="11"/>
  <c r="K69" i="11"/>
  <c r="F66" i="11"/>
  <c r="E66" i="11"/>
  <c r="K66" i="11"/>
  <c r="F17" i="11"/>
  <c r="K17" i="11"/>
  <c r="E17" i="11"/>
  <c r="U64" i="11"/>
  <c r="V64" i="11" s="1"/>
  <c r="W64" i="11" s="1"/>
  <c r="F55" i="11"/>
  <c r="E55" i="11"/>
  <c r="K55" i="11"/>
  <c r="U46" i="11"/>
  <c r="V46" i="11" s="1"/>
  <c r="W46" i="11" s="1"/>
  <c r="F36" i="11"/>
  <c r="E36" i="11"/>
  <c r="K36" i="11"/>
  <c r="F30" i="11"/>
  <c r="E30" i="11"/>
  <c r="K30" i="11"/>
  <c r="E20" i="11"/>
  <c r="F20" i="11"/>
  <c r="K20" i="11"/>
  <c r="U49" i="11"/>
  <c r="V49" i="11" s="1"/>
  <c r="W49" i="11" s="1"/>
  <c r="U29" i="11"/>
  <c r="V29" i="11" s="1"/>
  <c r="W29" i="11" s="1"/>
  <c r="M18" i="9"/>
  <c r="F99" i="1" s="1"/>
  <c r="X62" i="11" l="1"/>
  <c r="AB62" i="11"/>
  <c r="U61" i="11"/>
  <c r="V61" i="11" s="1"/>
  <c r="W61" i="11" s="1"/>
  <c r="U18" i="11"/>
  <c r="V18" i="11" s="1"/>
  <c r="W18" i="11" s="1"/>
  <c r="AB18" i="11" s="1"/>
  <c r="U13" i="11"/>
  <c r="V13" i="11" s="1"/>
  <c r="W13" i="11" s="1"/>
  <c r="X13" i="11" s="1"/>
  <c r="U33" i="11"/>
  <c r="V33" i="11" s="1"/>
  <c r="W33" i="11" s="1"/>
  <c r="X33" i="11" s="1"/>
  <c r="X37" i="11"/>
  <c r="U69" i="11"/>
  <c r="V69" i="11" s="1"/>
  <c r="W69" i="11" s="1"/>
  <c r="U54" i="11"/>
  <c r="V54" i="11" s="1"/>
  <c r="W54" i="11" s="1"/>
  <c r="U44" i="11"/>
  <c r="V44" i="11" s="1"/>
  <c r="W44" i="11" s="1"/>
  <c r="AB44" i="11" s="1"/>
  <c r="U21" i="11"/>
  <c r="V21" i="11" s="1"/>
  <c r="W21" i="11" s="1"/>
  <c r="U53" i="11"/>
  <c r="V53" i="11" s="1"/>
  <c r="W53" i="11" s="1"/>
  <c r="AB46" i="11"/>
  <c r="X46" i="11"/>
  <c r="X28" i="11"/>
  <c r="AB28" i="11"/>
  <c r="AB13" i="11"/>
  <c r="U67" i="11"/>
  <c r="V67" i="11" s="1"/>
  <c r="W67" i="11" s="1"/>
  <c r="U50" i="11"/>
  <c r="V50" i="11" s="1"/>
  <c r="W50" i="11" s="1"/>
  <c r="U42" i="11"/>
  <c r="V42" i="11" s="1"/>
  <c r="W42" i="11" s="1"/>
  <c r="U31" i="11"/>
  <c r="V31" i="11" s="1"/>
  <c r="W31" i="11" s="1"/>
  <c r="AB41" i="11"/>
  <c r="X41" i="11"/>
  <c r="X29" i="11"/>
  <c r="AB29" i="11"/>
  <c r="U30" i="11"/>
  <c r="V30" i="11" s="1"/>
  <c r="W30" i="11" s="1"/>
  <c r="U55" i="11"/>
  <c r="V55" i="11" s="1"/>
  <c r="W55" i="11" s="1"/>
  <c r="X8" i="11"/>
  <c r="AB8" i="11"/>
  <c r="U12" i="11"/>
  <c r="V12" i="11" s="1"/>
  <c r="W12" i="11" s="1"/>
  <c r="U40" i="11"/>
  <c r="V40" i="11" s="1"/>
  <c r="W40" i="11" s="1"/>
  <c r="U43" i="11"/>
  <c r="V43" i="11" s="1"/>
  <c r="W43" i="11" s="1"/>
  <c r="U27" i="11"/>
  <c r="V27" i="11" s="1"/>
  <c r="W27" i="11" s="1"/>
  <c r="U19" i="11"/>
  <c r="V19" i="11" s="1"/>
  <c r="W19" i="11" s="1"/>
  <c r="X23" i="11"/>
  <c r="AB23" i="11"/>
  <c r="U7" i="11"/>
  <c r="V7" i="11" s="1"/>
  <c r="W7" i="11" s="1"/>
  <c r="U9" i="11"/>
  <c r="V9" i="11" s="1"/>
  <c r="W9" i="11" s="1"/>
  <c r="X54" i="11"/>
  <c r="AB54" i="11"/>
  <c r="AB49" i="11"/>
  <c r="X49" i="11"/>
  <c r="X60" i="11"/>
  <c r="AB60" i="11"/>
  <c r="U66" i="11"/>
  <c r="V66" i="11" s="1"/>
  <c r="W66" i="11" s="1"/>
  <c r="U65" i="11"/>
  <c r="V65" i="11" s="1"/>
  <c r="W65" i="11" s="1"/>
  <c r="U11" i="11"/>
  <c r="V11" i="11" s="1"/>
  <c r="W11" i="11" s="1"/>
  <c r="X44" i="11"/>
  <c r="U15" i="11"/>
  <c r="V15" i="11" s="1"/>
  <c r="W15" i="11" s="1"/>
  <c r="X58" i="11"/>
  <c r="AB58" i="11"/>
  <c r="U25" i="11"/>
  <c r="V25" i="11" s="1"/>
  <c r="W25" i="11" s="1"/>
  <c r="X61" i="11"/>
  <c r="AB61" i="11"/>
  <c r="X52" i="11"/>
  <c r="AB52" i="11"/>
  <c r="U4" i="11"/>
  <c r="V4" i="11" s="1"/>
  <c r="W4" i="11" s="1"/>
  <c r="U68" i="11"/>
  <c r="V68" i="11" s="1"/>
  <c r="W68" i="11" s="1"/>
  <c r="AB64" i="11"/>
  <c r="X64" i="11"/>
  <c r="X59" i="11"/>
  <c r="AB59" i="11"/>
  <c r="U6" i="11"/>
  <c r="V6" i="11" s="1"/>
  <c r="W6" i="11" s="1"/>
  <c r="U10" i="11"/>
  <c r="V10" i="11" s="1"/>
  <c r="W10" i="11" s="1"/>
  <c r="U47" i="11"/>
  <c r="V47" i="11" s="1"/>
  <c r="W47" i="11" s="1"/>
  <c r="U38" i="11"/>
  <c r="V38" i="11" s="1"/>
  <c r="W38" i="11" s="1"/>
  <c r="AB39" i="11"/>
  <c r="X39" i="11"/>
  <c r="X18" i="11"/>
  <c r="X53" i="11"/>
  <c r="AB53" i="11"/>
  <c r="X56" i="11"/>
  <c r="AB56" i="11"/>
  <c r="U14" i="11"/>
  <c r="V14" i="11" s="1"/>
  <c r="W14" i="11" s="1"/>
  <c r="U34" i="11"/>
  <c r="V34" i="11" s="1"/>
  <c r="W34" i="11" s="1"/>
  <c r="X63" i="11"/>
  <c r="AB63" i="11"/>
  <c r="AB69" i="11"/>
  <c r="X69" i="11"/>
  <c r="X21" i="11"/>
  <c r="AB21" i="11"/>
  <c r="U36" i="11"/>
  <c r="V36" i="11" s="1"/>
  <c r="W36" i="11" s="1"/>
  <c r="U26" i="11"/>
  <c r="V26" i="11" s="1"/>
  <c r="W26" i="11" s="1"/>
  <c r="U20" i="11"/>
  <c r="V20" i="11" s="1"/>
  <c r="W20" i="11" s="1"/>
  <c r="U17" i="11"/>
  <c r="V17" i="11" s="1"/>
  <c r="W17" i="11" s="1"/>
  <c r="AB51" i="11"/>
  <c r="X51" i="11"/>
  <c r="U22" i="11"/>
  <c r="V22" i="11" s="1"/>
  <c r="W22" i="11" s="1"/>
  <c r="U16" i="11"/>
  <c r="V16" i="11" s="1"/>
  <c r="W16" i="11" s="1"/>
  <c r="D26" i="7"/>
  <c r="C14" i="7"/>
  <c r="C9" i="7"/>
  <c r="C26" i="7"/>
  <c r="AB33" i="11" l="1"/>
  <c r="X27" i="11"/>
  <c r="AB27" i="11"/>
  <c r="X43" i="11"/>
  <c r="AB43" i="11"/>
  <c r="X20" i="11"/>
  <c r="AB20" i="11"/>
  <c r="AB9" i="11"/>
  <c r="X9" i="11"/>
  <c r="AB12" i="11"/>
  <c r="X12" i="11"/>
  <c r="X26" i="11"/>
  <c r="AB26" i="11"/>
  <c r="AB34" i="11"/>
  <c r="X34" i="11"/>
  <c r="X25" i="11"/>
  <c r="AB25" i="11"/>
  <c r="AB66" i="11"/>
  <c r="X66" i="11"/>
  <c r="AB7" i="11"/>
  <c r="X7" i="11"/>
  <c r="AB31" i="11"/>
  <c r="X31" i="11"/>
  <c r="AB40" i="11"/>
  <c r="X40" i="11"/>
  <c r="AB65" i="11"/>
  <c r="X65" i="11"/>
  <c r="AB14" i="11"/>
  <c r="X14" i="11"/>
  <c r="AB68" i="11"/>
  <c r="X68" i="11"/>
  <c r="X55" i="11"/>
  <c r="AB55" i="11"/>
  <c r="AB50" i="11"/>
  <c r="X50" i="11"/>
  <c r="X10" i="11"/>
  <c r="AB10" i="11"/>
  <c r="AB6" i="11"/>
  <c r="X6" i="11"/>
  <c r="X17" i="11"/>
  <c r="AB17" i="11"/>
  <c r="X11" i="11"/>
  <c r="AB11" i="11"/>
  <c r="AB36" i="11"/>
  <c r="X36" i="11"/>
  <c r="AB42" i="11"/>
  <c r="X42" i="11"/>
  <c r="AB16" i="11"/>
  <c r="X16" i="11"/>
  <c r="X38" i="11"/>
  <c r="AB38" i="11"/>
  <c r="X22" i="11"/>
  <c r="AB22" i="11"/>
  <c r="AB47" i="11"/>
  <c r="X47" i="11"/>
  <c r="AB4" i="11"/>
  <c r="X4" i="11"/>
  <c r="X15" i="11"/>
  <c r="AB15" i="11"/>
  <c r="X19" i="11"/>
  <c r="AB19" i="11"/>
  <c r="AB30" i="11"/>
  <c r="X30" i="11"/>
  <c r="AB67" i="11"/>
  <c r="X67" i="11"/>
  <c r="D21" i="7"/>
  <c r="C21" i="7"/>
  <c r="C35" i="7"/>
  <c r="E35" i="7" s="1"/>
  <c r="E42" i="7"/>
  <c r="E36" i="7"/>
  <c r="E26" i="7"/>
  <c r="E34" i="7"/>
  <c r="E43" i="7"/>
  <c r="C37" i="7"/>
  <c r="E37" i="7" s="1"/>
  <c r="E14" i="7"/>
  <c r="G22" i="1"/>
  <c r="H22" i="1" s="1"/>
  <c r="AB70" i="11" l="1"/>
  <c r="AA71" i="11" s="1"/>
  <c r="E21" i="7"/>
  <c r="E20" i="7"/>
  <c r="E9" i="7"/>
  <c r="H86" i="1" l="1"/>
  <c r="H87" i="1"/>
  <c r="H88" i="1"/>
  <c r="H89" i="1"/>
  <c r="H90" i="1"/>
  <c r="H91" i="1"/>
  <c r="H92" i="1"/>
  <c r="G93" i="1"/>
  <c r="H93" i="1" s="1"/>
  <c r="H98" i="1"/>
  <c r="H99" i="1"/>
  <c r="H104" i="1"/>
  <c r="H105" i="1"/>
  <c r="H107" i="1" l="1"/>
  <c r="H101" i="1"/>
  <c r="H95" i="1"/>
  <c r="H108" i="1" s="1"/>
  <c r="D36" i="1" l="1"/>
  <c r="F48" i="1"/>
  <c r="H48" i="1" s="1"/>
  <c r="G36" i="1"/>
  <c r="G35" i="1"/>
  <c r="G34" i="1"/>
  <c r="G30" i="1"/>
  <c r="G29" i="1"/>
  <c r="G23" i="1"/>
  <c r="G12" i="1"/>
  <c r="F51" i="1" l="1"/>
  <c r="H51" i="1" s="1"/>
  <c r="F49" i="1" l="1"/>
  <c r="H49" i="1" s="1"/>
  <c r="F36" i="1"/>
  <c r="H35" i="1"/>
  <c r="H34" i="1"/>
  <c r="H33" i="1"/>
  <c r="F30" i="1"/>
  <c r="F29" i="1"/>
  <c r="H12" i="1"/>
  <c r="H23" i="1" l="1"/>
  <c r="H24" i="1" s="1"/>
  <c r="H30" i="1"/>
  <c r="H36" i="1"/>
  <c r="H29" i="1"/>
  <c r="H45" i="1"/>
  <c r="H70" i="1"/>
  <c r="F47" i="1"/>
  <c r="H47" i="1" s="1"/>
  <c r="H46" i="1"/>
  <c r="H74" i="1" l="1"/>
  <c r="H52" i="1"/>
  <c r="H61" i="1" s="1"/>
  <c r="H37" i="1"/>
  <c r="H39" i="1" s="1"/>
  <c r="H64" i="1" l="1"/>
  <c r="I62" i="1"/>
  <c r="H62" i="1"/>
  <c r="H65" i="1" l="1"/>
  <c r="H77" i="1" s="1"/>
  <c r="H40" i="1"/>
  <c r="I40" i="1"/>
  <c r="H67" i="1" l="1"/>
</calcChain>
</file>

<file path=xl/sharedStrings.xml><?xml version="1.0" encoding="utf-8"?>
<sst xmlns="http://schemas.openxmlformats.org/spreadsheetml/2006/main" count="441" uniqueCount="308">
  <si>
    <t>APIU</t>
  </si>
  <si>
    <t>COSTO DIRECTO  DE OBRA (CD)</t>
  </si>
  <si>
    <t>TERMINO  DE EJECUCIÓN DE OBRA ( MESES )</t>
  </si>
  <si>
    <t>MESES</t>
  </si>
  <si>
    <t>EMPLEOS DIRECTOS GENERADOS</t>
  </si>
  <si>
    <t>A. ADMINISTRACIÓN</t>
  </si>
  <si>
    <t>CANTIDAD</t>
  </si>
  <si>
    <t xml:space="preserve">DESCRIPCION DEL CARGO </t>
  </si>
  <si>
    <t>DEDICACIÓN MES</t>
  </si>
  <si>
    <t xml:space="preserve"> SALARIO MENSUAL </t>
  </si>
  <si>
    <t>FACTOR PRESTACIONAL</t>
  </si>
  <si>
    <t>PLAZO CONSTRUCCION</t>
  </si>
  <si>
    <t>CANTIDAD DE PERSONAL / DEDICACION/SALARIO / PLAZO/FACTOR PRESTACIONAL</t>
  </si>
  <si>
    <t>A</t>
  </si>
  <si>
    <t>C</t>
  </si>
  <si>
    <t>D</t>
  </si>
  <si>
    <t>E</t>
  </si>
  <si>
    <t>F = A * B * C * D * E</t>
  </si>
  <si>
    <t xml:space="preserve">1.1 PERSONAL PROFESIONAL Y ESPECIALISTAS </t>
  </si>
  <si>
    <t>Director de Obra</t>
  </si>
  <si>
    <t>Residente  de Obra</t>
  </si>
  <si>
    <t>1.2 PERSONAL ADMINISTRATIVO</t>
  </si>
  <si>
    <t xml:space="preserve">Secretaria </t>
  </si>
  <si>
    <t>Conductor</t>
  </si>
  <si>
    <t xml:space="preserve">2. GASTOS OPERACIONALES </t>
  </si>
  <si>
    <t>CAMPAMENTO</t>
  </si>
  <si>
    <t>DESCRIPCION</t>
  </si>
  <si>
    <t>AREA (M2)</t>
  </si>
  <si>
    <t>COSTO ($/M2.MES)</t>
  </si>
  <si>
    <t>COSTO MES</t>
  </si>
  <si>
    <t>DURACION MESES</t>
  </si>
  <si>
    <t>VALOR ($)</t>
  </si>
  <si>
    <t>Campamento de obra para depósito de materiales, equipos, personal, exclusivo para obra,</t>
  </si>
  <si>
    <t>Campamento oficina para personal y atención al público, incluye servicios públicos provisionales</t>
  </si>
  <si>
    <t>OTROS GASTOS</t>
  </si>
  <si>
    <t>CANTIDAD/ DEDICACION</t>
  </si>
  <si>
    <t>Mantenimientos, Equipos, Herramientas</t>
  </si>
  <si>
    <t>Registro Fotografico, Videos, Informes</t>
  </si>
  <si>
    <t>Gastos de mobiliario, papelería, fotocopias, etc</t>
  </si>
  <si>
    <t>Vehiculo Campero 4x4 min 2000cc</t>
  </si>
  <si>
    <t>SUBTOTAL GASTOS OPERACIONALES MENSUALES</t>
  </si>
  <si>
    <t>TOTAL COSTOS PERSONAL + GASTOS OPERACIONALES POR EL TÉRMINO DE EJECUCIÓN</t>
  </si>
  <si>
    <t>TOTAL COSTOS PERSONAL + GASTOS OPERACIONALES POR EL TÉRMINO DE EJECUCIÓN EN PORCENTAJE DEL COSTO DIRECTO</t>
  </si>
  <si>
    <t>3. IMPUESTOS Y GARANTÍAS</t>
  </si>
  <si>
    <t>3.1 IMPUESTOS</t>
  </si>
  <si>
    <t>DESCRIPCIÓN</t>
  </si>
  <si>
    <t>VR. BASE</t>
  </si>
  <si>
    <t>IMPUESTO %</t>
  </si>
  <si>
    <t>FONDO DE SEGURIDAD SOCIAL</t>
  </si>
  <si>
    <t>ESTAMPILLA UNIVERSIDAD DE CORDOBA</t>
  </si>
  <si>
    <t xml:space="preserve">ESTAMPILLA PROCULTURA </t>
  </si>
  <si>
    <t>ESTAMPILLA RTE ICA</t>
  </si>
  <si>
    <t>ESTAMPILLA ADULTO MAYOR  2% (si el valor supera 3.850 UVT $181.200.250)</t>
  </si>
  <si>
    <t>ESTAMPILLA PRO DEPORTES</t>
  </si>
  <si>
    <t>SUBTOTAL IMPUESTOS</t>
  </si>
  <si>
    <t>3.2 GARANTIAS</t>
  </si>
  <si>
    <t>VALOR TOTAL ($)</t>
  </si>
  <si>
    <t>G.UNICA</t>
  </si>
  <si>
    <t>CUMPLIMIENTO</t>
  </si>
  <si>
    <t>SALARIOS Y PRESTACIONES SOCIALES</t>
  </si>
  <si>
    <t>ESTABILIDAD Y CALIDAD DE LA OBRA</t>
  </si>
  <si>
    <t>RESPONSABILIDAD CIVIL EXTRACONTRACTUAL</t>
  </si>
  <si>
    <t>SUBTOTAL GARANTÍAS</t>
  </si>
  <si>
    <t>TOTAL IMPUESTOS Y GARANTÍAS</t>
  </si>
  <si>
    <t>TOTAL IMPUESTOS Y GARANTÍAS EN PORCENTAJE DEL COSTO DIRECTO</t>
  </si>
  <si>
    <t>A. ADMINISTRACIÓN (1 + 2 + 3)</t>
  </si>
  <si>
    <t>I. IMPREVISTOS</t>
  </si>
  <si>
    <t xml:space="preserve">I. IMPREVISTOS </t>
  </si>
  <si>
    <t>U. UTILIDAD</t>
  </si>
  <si>
    <t xml:space="preserve">A.I.U. (ADMINISTRACIÓN, IMPREVISTOS Y UTILIDAD) </t>
  </si>
  <si>
    <t>A.I.U. (ADMINISTRACIÓN, IMPREVISTOS Y UTILIDAD)</t>
  </si>
  <si>
    <t>SUMATORIA DE (A+I+U)</t>
  </si>
  <si>
    <t>P. PROGRAMA DE IMPLEMENTACION DEL PLAN DE GESTION INTEGRAL DE OBRA (PGIO)</t>
  </si>
  <si>
    <t>UNIDAD</t>
  </si>
  <si>
    <t>1. IMPLEMETACIÓN PGIO - EJE S&amp;SO Y EJE AMBIENTAL</t>
  </si>
  <si>
    <t/>
  </si>
  <si>
    <t>Kit de Emergencias
El Kit incluye: extintor de 10 lbs (señalización en acrílico de 22 cm x 15 de extintor), camilla rígida, reflectivos y botiquín con elementos necesarios)</t>
  </si>
  <si>
    <t>UND</t>
  </si>
  <si>
    <t>Kit para trabajos en alturas
El Kit Incluye: Arnes, Barbuquejo para el casco de dotación, eslinga, linea de vida, punto de anclaje fijo.</t>
  </si>
  <si>
    <t>Kit señalización SST
El kit incluye: señal de 15 x 15 cm - uso de EPP, sustancias peligrosas, ruta de evacuación, punto de encuentro, baños.</t>
  </si>
  <si>
    <t>Examen médico ocupacional de ingreso y egreso
Examen de ingreso y egreso que incluye: agudeza visual, talla y peso, tensión arterial, serología para todo el personal excepto personal de trabajo en alturas.</t>
  </si>
  <si>
    <t>Examen médico ocupacional + examen para ingreso trabajos en alturas
Examen de ingreso y egreso que incluye: agudeza visual, talla y peso, tensión arterial, serologia  + hemograma, colesterol total y triglicéridos y glicemia en ayunas.</t>
  </si>
  <si>
    <t>Kit para desperdicios sólidos
Incluye tres (3) canecas para de 65 litros, compuesta de dos piezas (tapa y contenedor) resistente a la interperie, de facil limpieza y cargue, en polietileno de alta densidad, redonda - bolsas para basura color negra (24 mensuales), rojo (4 mensuales) y verde (4 mensuales) de material plástico de alta densidad, calibre de 2", de 65 x 85 cm-</t>
  </si>
  <si>
    <t>Alquiler baño portatil
Suministro de baño portatil</t>
  </si>
  <si>
    <t>Generación de informes, adquisición de información, capacitaciones y mantenimiento del plan de implementación de PGIO eje de segurIdad industrial y salud ocupacional, ambiente y calidad</t>
  </si>
  <si>
    <t>TOTAL IMPLEMETACIÓN PGIO - EJE S&amp;SO POR EL TÉRMINO DE EJECUCIÓN</t>
  </si>
  <si>
    <t>2. IMPLEMETACION PGIO - EJE DE SEGURIDAD Y/O OBRA</t>
  </si>
  <si>
    <t xml:space="preserve">suminstro e instlacion de valla informativa del proyecto </t>
  </si>
  <si>
    <t>Cerramiento Tipo 2: Consta de Señalizadores tubulares plasticos, norma ministerio de transporte, separados entre si como maximo 5m. Entre señalizadores debe disponerse de triple de cinta de demarcacion de peligro,calibre 4, con franjas amarillas.Adicionalmente entre señalizadores  debe disponerse de tela verde para cerramientos  con altural igual a la del señalizador tubular.</t>
  </si>
  <si>
    <t>M</t>
  </si>
  <si>
    <t>TOTAL IMPLEMETACIÓN PGIO -EJE DE SEGURIDAD Y/O OBRA POR EL TÉRMINO DE EJECUCIÓN</t>
  </si>
  <si>
    <t>3. IMPLEMETACION PGIO - EJE MANEJO DE TRAFICO</t>
  </si>
  <si>
    <t>SEÑALES INFORMATIVAS (hombres trabajando)</t>
  </si>
  <si>
    <t>CONOS MINIMO DE 0,45M DE ALTURA, CON BASE DE SUSTENTACION CUADRADA , CIRCULAR O DE CUALQUIER OTRA FORMA QUE GARANTICE SU ESTABILIDAD. LOS CONOS DE 0,45M TENDRAN 2 BANDAS DE 5CM, SEPARADAS ENTRES SI 10CM, ELABORADAS EN LAMINA REFLECTIVA BLANCA TIPO III. LOS CONOS CUYA ALTURA SEA 0,70M, O SUPERIOR DEBERAN TENER BANDAS DE 15 CM (LA SUPERIOR) Y DE 10CM PARA SEÑALIZACION CARGUE Y DESCARGUE</t>
  </si>
  <si>
    <t>TOTAL IMPLEMETACIÓN PGIO - EJE MANEJO DE TRAFICO POR EL TÉRMINO DE EJECUCIÓN</t>
  </si>
  <si>
    <t>P. PROGRAMA DE IMPLEMENTACION DEL PLAN DE GESTION INTEGRAL DE OBRA (PGIO) (1 + 2 + 3 + 4)</t>
  </si>
  <si>
    <t>ELABORÒ</t>
  </si>
  <si>
    <t>APROBÒ</t>
  </si>
  <si>
    <t>Contratista SPM</t>
  </si>
  <si>
    <t xml:space="preserve">Secretario Planeacion </t>
  </si>
  <si>
    <t>ALCALDIA DE MONTERIA</t>
  </si>
  <si>
    <t>SECRETARÍA DE INFRAESTRUCTURA</t>
  </si>
  <si>
    <t xml:space="preserve">ANALISIS INSUMOS </t>
  </si>
  <si>
    <t>OBJETO:</t>
  </si>
  <si>
    <t xml:space="preserve">ITEM </t>
  </si>
  <si>
    <t xml:space="preserve">No. 1 </t>
  </si>
  <si>
    <t>No.2</t>
  </si>
  <si>
    <t xml:space="preserve">PROMEDIO </t>
  </si>
  <si>
    <t>Elaboró:</t>
  </si>
  <si>
    <t>Contratista  S.P.M.</t>
  </si>
  <si>
    <t>COTIZACIONES</t>
  </si>
  <si>
    <t>J</t>
  </si>
  <si>
    <t>K</t>
  </si>
  <si>
    <t>L</t>
  </si>
  <si>
    <t>N</t>
  </si>
  <si>
    <t>O</t>
  </si>
  <si>
    <t>P</t>
  </si>
  <si>
    <t>Q</t>
  </si>
  <si>
    <t>R</t>
  </si>
  <si>
    <t>S</t>
  </si>
  <si>
    <t>T</t>
  </si>
  <si>
    <t>U</t>
  </si>
  <si>
    <t>V</t>
  </si>
  <si>
    <t>W</t>
  </si>
  <si>
    <t>X</t>
  </si>
  <si>
    <t>Y</t>
  </si>
  <si>
    <t>Z</t>
  </si>
  <si>
    <t>AA</t>
  </si>
  <si>
    <t>AB</t>
  </si>
  <si>
    <t>AC</t>
  </si>
  <si>
    <t>AD</t>
  </si>
  <si>
    <t>AE</t>
  </si>
  <si>
    <t>AF</t>
  </si>
  <si>
    <t>AG</t>
  </si>
  <si>
    <t>AH</t>
  </si>
  <si>
    <t>PERSONAL</t>
  </si>
  <si>
    <t>FACTOR SALARIAL</t>
  </si>
  <si>
    <t>SALARIO MENSUAL</t>
  </si>
  <si>
    <t>SALARIO DIARIO</t>
  </si>
  <si>
    <t>SALARIO     BRUTO</t>
  </si>
  <si>
    <t xml:space="preserve">TRANSPORTE ANUAL HORA EFECTIVA  </t>
  </si>
  <si>
    <t>CESANTIAS       C.S.T. Art. 249</t>
  </si>
  <si>
    <t>INTERES SOBRE CESANTIAS       Ley 52 de 1975</t>
  </si>
  <si>
    <t xml:space="preserve">PRIMAS DE SERVICIOS        Art. 306 C.S.T   </t>
  </si>
  <si>
    <t>VACACIONES  Art.186 C.S.T</t>
  </si>
  <si>
    <t xml:space="preserve">PENSION            Ley 797 de 2003 </t>
  </si>
  <si>
    <t>SALUD                 Ley 1122 del 2007 Art. 10</t>
  </si>
  <si>
    <t xml:space="preserve">RIESGOS LABORALES Dec. 1772 de 1994 Art 13 </t>
  </si>
  <si>
    <t xml:space="preserve">SENA                    Ley 89 de 1988 </t>
  </si>
  <si>
    <t>SENA  FIC                  Res 1449 de 2012</t>
  </si>
  <si>
    <t xml:space="preserve">ICBF                       Ley 21 de 1982 </t>
  </si>
  <si>
    <t xml:space="preserve">CAJA DE COMP. FAM.                 DEC. 562 DE 1990
(Marzo 8) </t>
  </si>
  <si>
    <t xml:space="preserve">DOTACION       </t>
  </si>
  <si>
    <t xml:space="preserve">IMPLEMENTO DE SEGURIDAD    </t>
  </si>
  <si>
    <t xml:space="preserve">SALARIO INTEGRAL </t>
  </si>
  <si>
    <t>% FACTOR PRESTACIONAL</t>
  </si>
  <si>
    <t>% FACTOR PRESTACIONAL REDONDEADA</t>
  </si>
  <si>
    <t>SALARIO INTEGRAL CORREGIDO</t>
  </si>
  <si>
    <t>#        PERSONAL</t>
  </si>
  <si>
    <t>%          DEDICACION</t>
  </si>
  <si>
    <t>INCIDENCIA</t>
  </si>
  <si>
    <t>PONDERACION</t>
  </si>
  <si>
    <t>TIPO DE LABOR</t>
  </si>
  <si>
    <t>SMMLV</t>
  </si>
  <si>
    <t>L x A</t>
  </si>
  <si>
    <t>M/30</t>
  </si>
  <si>
    <t>M x 12 MESES</t>
  </si>
  <si>
    <t>F</t>
  </si>
  <si>
    <t>L x A + B</t>
  </si>
  <si>
    <t>Q x 12% = 12% cesantias</t>
  </si>
  <si>
    <t>M + B</t>
  </si>
  <si>
    <t>M/2 = 15 DIAS DE SALARIO</t>
  </si>
  <si>
    <t>L x D x 12% =12% SALARIO</t>
  </si>
  <si>
    <t>L x D x 8.5%= 8.5% SALARIO</t>
  </si>
  <si>
    <t>L x D x 6.96% = 6.96% SALARIO</t>
  </si>
  <si>
    <t>L x D x 2% = 2% SALARIO</t>
  </si>
  <si>
    <t>SALARIO MINIMO/40/ 30DIAS</t>
  </si>
  <si>
    <t>L x D x 3% =3% SALARIO</t>
  </si>
  <si>
    <t>L x D x 4% = 4% SALARIO</t>
  </si>
  <si>
    <t>H</t>
  </si>
  <si>
    <t>I</t>
  </si>
  <si>
    <t>= ∑ (O HASTA AB)</t>
  </si>
  <si>
    <t>AC/O -1</t>
  </si>
  <si>
    <t>DEDICACION</t>
  </si>
  <si>
    <t>CANT. x DEDIC.</t>
  </si>
  <si>
    <t>INCIDENCIA X % FACTOR PRESTACIONAL</t>
  </si>
  <si>
    <t>MEDIA PONDERADA</t>
  </si>
  <si>
    <t>Examen médico ocupacional de ingreso</t>
  </si>
  <si>
    <t>Examen médico ocupacional de egreso</t>
  </si>
  <si>
    <t xml:space="preserve">agudeza visual </t>
  </si>
  <si>
    <t>serologia II</t>
  </si>
  <si>
    <t xml:space="preserve">serologia </t>
  </si>
  <si>
    <t xml:space="preserve">hemograma </t>
  </si>
  <si>
    <t>paquete alturas de ingreso</t>
  </si>
  <si>
    <t>paquete alturas de egreso</t>
  </si>
  <si>
    <t>glicemia</t>
  </si>
  <si>
    <t xml:space="preserve">colesterol </t>
  </si>
  <si>
    <t>extintor de 10 lbs</t>
  </si>
  <si>
    <t>camilla rígida</t>
  </si>
  <si>
    <t xml:space="preserve">botiquín </t>
  </si>
  <si>
    <t>señalización</t>
  </si>
  <si>
    <t>Arnes</t>
  </si>
  <si>
    <t>Barbuquejo</t>
  </si>
  <si>
    <t>eslinga</t>
  </si>
  <si>
    <t>linea de vida</t>
  </si>
  <si>
    <t>punto de anclaje fijo</t>
  </si>
  <si>
    <t xml:space="preserve">ITEMS </t>
  </si>
  <si>
    <t>EQUIPSEG PLUS MONTERIA S.A.S.</t>
  </si>
  <si>
    <t>HOME CENTER</t>
  </si>
  <si>
    <t>Kit de Emergencias
El Kit incluye: extintor de 10 lbs (señalización en acrílico de extintor), camilla rígida, reflectivos y botiquín con elementos necesarios)</t>
  </si>
  <si>
    <t>arnes</t>
  </si>
  <si>
    <t>Eslinga</t>
  </si>
  <si>
    <t>Cerramiento Tipo 2: Consta de Señalizadores tubulares plasticos, norma ministerio de transporte, separados entre si como maximo 5m. Entre señalizadores debe disponerse de doble cinta de demarcacion de peligro,calibre 4, con franjas amarillas.Adicionalmente entre señalizadores  debe disponerse de tela verde para cerramientos  con altural igual a la del señalizador tubular. (reutilizable y movil)</t>
  </si>
  <si>
    <t>1 CADA 5MTS</t>
  </si>
  <si>
    <t>SE REUTILIZA 5 VECES</t>
  </si>
  <si>
    <t>señalador tubular plastico</t>
  </si>
  <si>
    <t>VALOR PROMEDIO COTIZACIONES POR EXAMEN</t>
  </si>
  <si>
    <t>Examen médico ocupacional de ingreso o egreso
Examen de ingreso o egreso que incluye: agudeza visual, talla y peso, tensión arterial, serología para todo el personal excepto personal de trabajo en alturas.</t>
  </si>
  <si>
    <t>Examen médico ocupacional + examen para ingreso o egreso trabajos en alturas
Examen de ingreso o egreso que incluye: agudeza visual, talla y peso, tensión arterial, serologia  + hemograma, colesterol total y triglicéridos y glicemia en ayunas.</t>
  </si>
  <si>
    <t>Cotización No. 1: SALUD OCUPACIONAL TOTAL SAS</t>
  </si>
  <si>
    <t>FECHA: 18/01/2024</t>
  </si>
  <si>
    <t>Cotización No. 2: CEDIATRA</t>
  </si>
  <si>
    <t>FECHA: 17/01/2024</t>
  </si>
  <si>
    <t xml:space="preserve">FERROMATERIALES EL PUENTE </t>
  </si>
  <si>
    <t>RAPIBAÑOS COLOMBIA</t>
  </si>
  <si>
    <t>SPACE LOGISTICA Y PUBLICIDAD S.A.S</t>
  </si>
  <si>
    <t>FECHA: 24/01/2024</t>
  </si>
  <si>
    <t>ACD CONSTRUCCIONES SAS</t>
  </si>
  <si>
    <t>tela verde para cerramiento x 50ml</t>
  </si>
  <si>
    <t>VALOR PROMEDIO</t>
  </si>
  <si>
    <t>PLASTEMPAC</t>
  </si>
  <si>
    <t>FECHA: 26/01/2024</t>
  </si>
  <si>
    <t>MES</t>
  </si>
  <si>
    <t>conos minimo de 0,45m de altura, con base de sustentacion cuadrada , circular o de cualquier otra forma que garantice su estabilidad. los conos de 0,45m tendran 2 bandas de 5cm, separadas entres si 10cm, elaboradas en lamina reflectiva blanca tipo iii. los conos cuya altura sea 0,70m, o superior deberan tener bandas de 15 cm (la superior) y de 10cm para señalizacion cargue y descargue</t>
  </si>
  <si>
    <t>señales infromativas(hombres trabajando)</t>
  </si>
  <si>
    <t>JUSTICIA FAMILIAR</t>
  </si>
  <si>
    <t>Ayudante</t>
  </si>
  <si>
    <t>EPP</t>
  </si>
  <si>
    <t>Cadeneros</t>
  </si>
  <si>
    <t>Mensajero</t>
  </si>
  <si>
    <t>Paletero</t>
  </si>
  <si>
    <t>Personal De Servicios De Vigilancia</t>
  </si>
  <si>
    <t>Jardinero</t>
  </si>
  <si>
    <t>Oficial Y Operario De Cortadora</t>
  </si>
  <si>
    <t>Auxiliar En Redes</t>
  </si>
  <si>
    <t>Almacenista</t>
  </si>
  <si>
    <t>Auxiliar Contable</t>
  </si>
  <si>
    <t>Auxiliar De Laboratorio</t>
  </si>
  <si>
    <t>Secretaria De Oficina Principal</t>
  </si>
  <si>
    <t>Secretaria En Obra</t>
  </si>
  <si>
    <t>Encuestadores</t>
  </si>
  <si>
    <t xml:space="preserve">Paileros Navales </t>
  </si>
  <si>
    <t>Oficial Electricista</t>
  </si>
  <si>
    <t>Cerrajero</t>
  </si>
  <si>
    <t>Operador De Motosierra</t>
  </si>
  <si>
    <t>Pintor</t>
  </si>
  <si>
    <t>Plomero</t>
  </si>
  <si>
    <t>Soldador</t>
  </si>
  <si>
    <t xml:space="preserve">Inspector De Obras </t>
  </si>
  <si>
    <t>Inspector De Interventoría</t>
  </si>
  <si>
    <t>Soldador Raso</t>
  </si>
  <si>
    <t>Supervisor De Encuestadores</t>
  </si>
  <si>
    <t>Tecnico Electricista</t>
  </si>
  <si>
    <t>Carpintero</t>
  </si>
  <si>
    <t>Soldadores Primera Clase</t>
  </si>
  <si>
    <t>Coordinador De Encuestas</t>
  </si>
  <si>
    <t>Topografo</t>
  </si>
  <si>
    <t>Maestro General</t>
  </si>
  <si>
    <t>Operador Maquina</t>
  </si>
  <si>
    <t>Cordinador SG-SST</t>
  </si>
  <si>
    <t>Supervisor Electrico</t>
  </si>
  <si>
    <t>Abogado</t>
  </si>
  <si>
    <t>Contador</t>
  </si>
  <si>
    <t>Ingeniero Ambiental</t>
  </si>
  <si>
    <t>Geógrafo</t>
  </si>
  <si>
    <t>Ingeniero Electricista</t>
  </si>
  <si>
    <t>Ingeniero Forestal</t>
  </si>
  <si>
    <t>Ingeniero Hidraulico</t>
  </si>
  <si>
    <t>Ingeniero Mecánico</t>
  </si>
  <si>
    <t>Ingeniero O Arquitecto De Costos</t>
  </si>
  <si>
    <t>Profesional SG-SST</t>
  </si>
  <si>
    <t>Profesional En recursos Hidricos</t>
  </si>
  <si>
    <t>Residente De Obra</t>
  </si>
  <si>
    <t>Profesional Residente De Interventoría</t>
  </si>
  <si>
    <t>Residente De Obra Electrico</t>
  </si>
  <si>
    <t>Trabajador(a) Social</t>
  </si>
  <si>
    <t>Soldadores Segunda Clase</t>
  </si>
  <si>
    <t>Soldador Exotermica</t>
  </si>
  <si>
    <t>Ingeniero civil con estudios de postgrado en el Area de Estructuras</t>
  </si>
  <si>
    <t>Ingeniero civil con estudios de postgrado en el Area de Geotecnia</t>
  </si>
  <si>
    <t>Ingeniero civil con estudios de postgrado en el Area de Hidraulica</t>
  </si>
  <si>
    <t>Ingeniero civil con estudios de postgrado en el Area de Gestión de Riesgos de Desastre</t>
  </si>
  <si>
    <t>Ingeniero civil con estudios de postgrado en el Area de Recursos Hídricos</t>
  </si>
  <si>
    <t>Ingeniero Civil Esp. Naval</t>
  </si>
  <si>
    <t>Director De Obra</t>
  </si>
  <si>
    <t>Director De Interventoría</t>
  </si>
  <si>
    <t>Director De Consultoría</t>
  </si>
  <si>
    <r>
      <t xml:space="preserve">TOTAL </t>
    </r>
    <r>
      <rPr>
        <b/>
        <sz val="8"/>
        <color theme="1"/>
        <rFont val="Calibri"/>
        <family val="2"/>
      </rPr>
      <t>∑</t>
    </r>
  </si>
  <si>
    <t>∑ PONDERACION / ∑ INCIDENCIA</t>
  </si>
  <si>
    <t>Profesional  SG-SST</t>
  </si>
  <si>
    <t>Economista</t>
  </si>
  <si>
    <t>Especialista Social</t>
  </si>
  <si>
    <t>REALIZACIÓN DE ESTUDIOS Y DISEÑOS PARA LA FORMULACIÓN DE PROYECTOS DE MICROACUEDUCTOS RURALES A REALIZAR POR LA SECRETARIA DE INFRAESTRUCTURA DEL MUNICIPIO DE MONTERÍA.</t>
  </si>
  <si>
    <t>IU. IVA SOBRE UTILIDAD</t>
  </si>
  <si>
    <t>Ingeniero forestal</t>
  </si>
  <si>
    <t>Trabajador social</t>
  </si>
  <si>
    <t>Tecnico II</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</si>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</sst>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42" formatCode="_-&quot;$&quot;\ * #,##0_-;\-&quot;$&quot;\ * #,##0_-;_-&quot;$&quot;\ * &quot;-&quot;_-;_-@_-"/>
    <numFmt numFmtId="41" formatCode="_-* #,##0_-;\-* #,##0_-;_-* &quot;-&quot;_-;_-@_-"/>
    <numFmt numFmtId="43" formatCode="_-* #,##0.00_-;\-* #,##0.00_-;_-* &quot;-&quot;??_-;_-@_-"/>
    <numFmt numFmtId="164" formatCode="_-* #,##0\ &quot;€&quot;_-;\-* #,##0\ &quot;€&quot;_-;_-* &quot;-&quot;\ &quot;€&quot;_-;_-@_-"/>
    <numFmt numFmtId="165" formatCode="[$$-240A]#,##0;[Red]\([$$-240A]#,##0\)"/>
    <numFmt numFmtId="166" formatCode="_-&quot;$&quot;* #,##0.00_-;\-&quot;$&quot;* #,##0.00_-;_-&quot;$&quot;* &quot;-&quot;??_-;_-@_-"/>
    <numFmt numFmtId="167" formatCode="0.0000"/>
    <numFmt numFmtId="168" formatCode="[$$-240A]\ #,##0.00;[Red][$$-240A]\ #,##0.00"/>
    <numFmt numFmtId="169" formatCode="0.00000%"/>
    <numFmt numFmtId="170" formatCode="[$$-240A]\ #,##0.00"/>
    <numFmt numFmtId="171" formatCode="#,##0.0;[Red]#,##0.0"/>
    <numFmt numFmtId="172" formatCode="0.0"/>
    <numFmt numFmtId="173" formatCode="#,##0;[Red]#,##0"/>
    <numFmt numFmtId="174" formatCode="[$$-240A]#,##0.00;[Red]\([$$-240A]#,##0.00\)"/>
    <numFmt numFmtId="175" formatCode="[$$-240A]\ #,##0.0000_);[Red]\([$$-240A]\ #,##0.0000\)"/>
    <numFmt numFmtId="176" formatCode="#,##0.0000"/>
    <numFmt numFmtId="177" formatCode="[$$-240A]\ #,##0"/>
    <numFmt numFmtId="178" formatCode="0.000%"/>
    <numFmt numFmtId="179" formatCode="#,##0.00;[Red]#,##0.00"/>
    <numFmt numFmtId="180" formatCode="0.0%"/>
    <numFmt numFmtId="181" formatCode="[$$-240A]#,##0.00;[Red][$$-240A]#,##0.00"/>
    <numFmt numFmtId="182" formatCode="_-* #,##0.00_-;\-* #,##0.00_-;_-* &quot;-&quot;_-;_-@_-"/>
    <numFmt numFmtId="183" formatCode="0.00\ &quot;SMMLV&quot;"/>
    <numFmt numFmtId="184" formatCode="[$$-240A]\ #,##0.00;\-[$$-240A]\ #,##0.00"/>
    <numFmt numFmtId="185" formatCode="_-[$$-240A]\ * #,##0.00_-;\-[$$-240A]\ * #,##0.00_-;_-[$$-240A]\ * &quot;-&quot;??_-;_-@_-"/>
    <numFmt numFmtId="186" formatCode="&quot;$&quot;#,##0.00"/>
    <numFmt numFmtId="187" formatCode="_-&quot;$&quot;\ * #,##0.0_-;\-&quot;$&quot;\ * #,##0.0_-;_-&quot;$&quot;\ * &quot;-&quot;_-;_-@_-"/>
    <numFmt numFmtId="188" formatCode="_ * #,##0.00_ ;_ * \-#,##0.00_ ;_ * &quot;-&quot;??_ ;_ @_ "/>
    <numFmt numFmtId="189" formatCode="_(&quot;$&quot;\ * #,##0.00_);_(&quot;$&quot;\ * \(#,##0.00\);_(&quot;$&quot;\ * &quot;-&quot;??_);_(@_)"/>
    <numFmt numFmtId="190" formatCode="_(* #,##0.00_);_(* \(#,##0.00\);_(* &quot;-&quot;??_);_(@_)"/>
    <numFmt numFmtId="191" formatCode="_-[$$-409]* #,##0.00_ ;_-[$$-409]* \-#,##0.00\ ;_-[$$-409]* &quot;-&quot;??_ ;_-@_ "/>
    <numFmt numFmtId="192" formatCode="#,##0.0"/>
    <numFmt numFmtId="193" formatCode="0.000\ &quot;SMMLV&quot;"/>
    <numFmt numFmtId="194" formatCode="[$$-240A]#,##0.0;[Red]\([$$-240A]#,##0.0\)"/>
    <numFmt numFmtId="202" formatCode="_-&quot;$&quot;\ * #,##0.00_-;\-&quot;$&quot;\ * #,##0.00_-;_-&quot;$&quot;\ * &quot;-&quot;_-;_-@_-"/>
    <numFmt numFmtId="205" formatCode="_-&quot;$&quot;\ * #,##0.00000_-;\-&quot;$&quot;\ * #,##0.00000_-;_-&quot;$&quot;\ * &quot;-&quot;_-;_-@_-"/>
    <numFmt numFmtId="206" formatCode="_-&quot;$&quot;\ * #,##0.000000_-;\-&quot;$&quot;\ * #,##0.000000_-;_-&quot;$&quot;\ * &quot;-&quot;_-;_-@_-"/>
  </numFmts>
  <fonts count="55" x14ac:knownFonts="1">
    <font>
      <sz val="11"/>
      <color theme="1"/>
      <name val="Calibri"/>
      <family val="2"/>
      <scheme val="minor"/>
    </font>
    <font>
      <sz val="11"/>
      <color theme="1"/>
      <name val="Calibri"/>
      <family val="2"/>
      <scheme val="minor"/>
    </font>
    <font>
      <sz val="10"/>
      <name val="Arial"/>
      <family val="2"/>
    </font>
    <font>
      <b/>
      <sz val="14"/>
      <name val="Arial"/>
      <family val="2"/>
    </font>
    <font>
      <sz val="14"/>
      <name val="Arial"/>
      <family val="2"/>
    </font>
    <font>
      <sz val="11"/>
      <name val="Arial"/>
      <family val="2"/>
      <charset val="1"/>
    </font>
    <font>
      <b/>
      <sz val="11"/>
      <name val="Arial"/>
      <family val="2"/>
      <charset val="1"/>
    </font>
    <font>
      <sz val="12"/>
      <color theme="1"/>
      <name val="Calibri"/>
      <family val="2"/>
      <scheme val="minor"/>
    </font>
    <font>
      <b/>
      <sz val="11"/>
      <color rgb="FFFF0000"/>
      <name val="Arial"/>
      <family val="2"/>
    </font>
    <font>
      <sz val="8"/>
      <name val="Arial"/>
      <family val="2"/>
      <charset val="1"/>
    </font>
    <font>
      <sz val="11"/>
      <name val="Arial"/>
      <family val="2"/>
    </font>
    <font>
      <sz val="12"/>
      <color theme="1"/>
      <name val="Arial"/>
      <family val="2"/>
    </font>
    <font>
      <b/>
      <sz val="11"/>
      <name val="Arial"/>
      <family val="2"/>
    </font>
    <font>
      <sz val="11"/>
      <color indexed="8"/>
      <name val="Calibri"/>
      <family val="2"/>
    </font>
    <font>
      <sz val="11"/>
      <color rgb="FFFF0000"/>
      <name val="Arial"/>
      <family val="2"/>
      <charset val="1"/>
    </font>
    <font>
      <b/>
      <sz val="16"/>
      <name val="Arial"/>
      <family val="2"/>
      <charset val="1"/>
    </font>
    <font>
      <sz val="11"/>
      <color indexed="10"/>
      <name val="Arial"/>
      <family val="2"/>
      <charset val="1"/>
    </font>
    <font>
      <sz val="12"/>
      <name val="Arial"/>
      <family val="2"/>
    </font>
    <font>
      <sz val="11"/>
      <color rgb="FF000000"/>
      <name val="Calibri"/>
      <family val="2"/>
    </font>
    <font>
      <sz val="8"/>
      <color theme="1"/>
      <name val="Calibri"/>
      <family val="2"/>
      <scheme val="minor"/>
    </font>
    <font>
      <sz val="8"/>
      <name val="Calibri"/>
      <family val="2"/>
      <scheme val="minor"/>
    </font>
    <font>
      <sz val="8"/>
      <color rgb="FFFF0000"/>
      <name val="Calibri"/>
      <family val="2"/>
      <scheme val="minor"/>
    </font>
    <font>
      <b/>
      <sz val="8"/>
      <color theme="1"/>
      <name val="Calibri"/>
      <family val="2"/>
      <scheme val="minor"/>
    </font>
    <font>
      <b/>
      <sz val="8"/>
      <name val="Calibri"/>
      <family val="2"/>
      <scheme val="minor"/>
    </font>
    <font>
      <b/>
      <sz val="12"/>
      <name val="Arial"/>
      <family val="2"/>
    </font>
    <font>
      <b/>
      <sz val="14"/>
      <color rgb="FF002060"/>
      <name val="Arial"/>
      <family val="2"/>
    </font>
    <font>
      <sz val="14"/>
      <color rgb="FF002060"/>
      <name val="Arial"/>
      <family val="2"/>
    </font>
    <font>
      <sz val="11"/>
      <color rgb="FF002060"/>
      <name val="Arial"/>
      <family val="2"/>
      <charset val="1"/>
    </font>
    <font>
      <b/>
      <sz val="11"/>
      <color rgb="FF002060"/>
      <name val="Arial"/>
      <family val="2"/>
      <charset val="1"/>
    </font>
    <font>
      <sz val="8"/>
      <color rgb="FF002060"/>
      <name val="Arial"/>
      <family val="2"/>
      <charset val="1"/>
    </font>
    <font>
      <b/>
      <sz val="11"/>
      <color rgb="FF002060"/>
      <name val="Arial"/>
      <family val="2"/>
    </font>
    <font>
      <sz val="11"/>
      <color rgb="FF002060"/>
      <name val="Arial"/>
      <family val="2"/>
    </font>
    <font>
      <sz val="12"/>
      <color rgb="FF002060"/>
      <name val="Arial"/>
      <family val="2"/>
    </font>
    <font>
      <b/>
      <sz val="11"/>
      <color rgb="FFFF0000"/>
      <name val="Arial"/>
      <family val="2"/>
      <charset val="1"/>
    </font>
    <font>
      <sz val="11"/>
      <color theme="1"/>
      <name val="Arial"/>
      <family val="2"/>
      <charset val="1"/>
    </font>
    <font>
      <sz val="8"/>
      <name val="Arial"/>
      <family val="2"/>
    </font>
    <font>
      <sz val="9"/>
      <name val="Arial"/>
      <family val="2"/>
    </font>
    <font>
      <b/>
      <sz val="8"/>
      <name val="Arial"/>
      <family val="2"/>
    </font>
    <font>
      <b/>
      <sz val="9"/>
      <name val="Arial"/>
      <family val="2"/>
    </font>
    <font>
      <sz val="10"/>
      <color theme="1"/>
      <name val="Calibri"/>
      <family val="2"/>
      <scheme val="minor"/>
    </font>
    <font>
      <b/>
      <sz val="10"/>
      <name val="Arial"/>
      <family val="2"/>
    </font>
    <font>
      <b/>
      <sz val="9"/>
      <color theme="0"/>
      <name val="Arial"/>
      <family val="2"/>
    </font>
    <font>
      <b/>
      <sz val="11"/>
      <color theme="1"/>
      <name val="Calibri"/>
      <family val="2"/>
      <scheme val="minor"/>
    </font>
    <font>
      <sz val="9"/>
      <color theme="1"/>
      <name val="Arial Nova"/>
      <family val="2"/>
    </font>
    <font>
      <sz val="11"/>
      <color theme="2" tint="-0.249977111117893"/>
      <name val="Calibri"/>
      <family val="2"/>
      <scheme val="minor"/>
    </font>
    <font>
      <sz val="10"/>
      <color theme="1"/>
      <name val="Arial Nova"/>
      <family val="2"/>
    </font>
    <font>
      <i/>
      <u/>
      <sz val="10"/>
      <color theme="1"/>
      <name val="Arial Nova"/>
      <family val="2"/>
    </font>
    <font>
      <b/>
      <sz val="10"/>
      <color theme="1"/>
      <name val="Arial Nova"/>
      <family val="2"/>
    </font>
    <font>
      <b/>
      <i/>
      <u/>
      <sz val="10"/>
      <color theme="1"/>
      <name val="Arial Nova"/>
      <family val="2"/>
    </font>
    <font>
      <sz val="11"/>
      <name val="Calibri"/>
      <family val="2"/>
      <scheme val="minor"/>
    </font>
    <font>
      <b/>
      <sz val="11"/>
      <name val="Calibri"/>
      <family val="2"/>
      <scheme val="minor"/>
    </font>
    <font>
      <sz val="9"/>
      <color rgb="FFFF0000"/>
      <name val="Arial Nova"/>
      <family val="2"/>
    </font>
    <font>
      <sz val="10"/>
      <name val="Arial"/>
      <family val="2"/>
    </font>
    <font>
      <b/>
      <sz val="8"/>
      <color theme="1"/>
      <name val="Calibri"/>
      <family val="2"/>
    </font>
    <font>
      <b/>
      <sz val="8"/>
      <name val="Calibri"/>
      <family val="2"/>
    </font>
  </fonts>
  <fills count="15">
    <fill>
      <patternFill patternType="none"/>
    </fill>
    <fill>
      <patternFill patternType="gray125"/>
    </fill>
    <fill>
      <patternFill patternType="solid">
        <fgColor theme="0" tint="-0.249977111117893"/>
        <bgColor indexed="64"/>
      </patternFill>
    </fill>
    <fill>
      <patternFill patternType="solid">
        <fgColor rgb="FFFF6600"/>
        <bgColor indexed="64"/>
      </patternFill>
    </fill>
    <fill>
      <patternFill patternType="solid">
        <fgColor theme="0"/>
        <bgColor indexed="64"/>
      </patternFill>
    </fill>
    <fill>
      <patternFill patternType="solid">
        <fgColor theme="3" tint="0.59999389629810485"/>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7" tint="0.79998168889431442"/>
        <bgColor indexed="64"/>
      </patternFill>
    </fill>
    <fill>
      <patternFill patternType="solid">
        <fgColor theme="0" tint="-4.9989318521683403E-2"/>
        <bgColor indexed="64"/>
      </patternFill>
    </fill>
    <fill>
      <patternFill patternType="solid">
        <fgColor theme="2"/>
        <bgColor indexed="64"/>
      </patternFill>
    </fill>
    <fill>
      <patternFill patternType="solid">
        <fgColor rgb="FFFFFF00"/>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theme="9" tint="0.39997558519241921"/>
        <bgColor indexed="64"/>
      </patternFill>
    </fill>
  </fills>
  <borders count="7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double">
        <color auto="1"/>
      </left>
      <right style="double">
        <color auto="1"/>
      </right>
      <top style="double">
        <color auto="1"/>
      </top>
      <bottom style="double">
        <color auto="1"/>
      </bottom>
      <diagonal/>
    </border>
    <border>
      <left/>
      <right style="medium">
        <color indexed="64"/>
      </right>
      <top/>
      <bottom/>
      <diagonal/>
    </border>
    <border>
      <left style="medium">
        <color indexed="64"/>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medium">
        <color indexed="64"/>
      </right>
      <top style="hair">
        <color indexed="8"/>
      </top>
      <bottom style="hair">
        <color indexed="8"/>
      </bottom>
      <diagonal/>
    </border>
    <border>
      <left style="medium">
        <color indexed="64"/>
      </left>
      <right/>
      <top style="hair">
        <color indexed="8"/>
      </top>
      <bottom style="hair">
        <color indexed="8"/>
      </bottom>
      <diagonal/>
    </border>
    <border>
      <left/>
      <right style="hair">
        <color indexed="8"/>
      </right>
      <top style="hair">
        <color indexed="8"/>
      </top>
      <bottom style="hair">
        <color indexed="8"/>
      </bottom>
      <diagonal/>
    </border>
    <border>
      <left/>
      <right/>
      <top style="hair">
        <color indexed="8"/>
      </top>
      <bottom style="hair">
        <color indexed="8"/>
      </bottom>
      <diagonal/>
    </border>
    <border>
      <left/>
      <right style="medium">
        <color indexed="64"/>
      </right>
      <top style="hair">
        <color indexed="8"/>
      </top>
      <bottom style="hair">
        <color indexed="8"/>
      </bottom>
      <diagonal/>
    </border>
    <border>
      <left style="hair">
        <color indexed="8"/>
      </left>
      <right/>
      <top style="hair">
        <color indexed="8"/>
      </top>
      <bottom style="hair">
        <color indexed="8"/>
      </bottom>
      <diagonal/>
    </border>
    <border>
      <left style="medium">
        <color indexed="64"/>
      </left>
      <right style="hair">
        <color indexed="8"/>
      </right>
      <top style="hair">
        <color indexed="8"/>
      </top>
      <bottom/>
      <diagonal/>
    </border>
    <border>
      <left style="medium">
        <color indexed="64"/>
      </left>
      <right style="hair">
        <color indexed="8"/>
      </right>
      <top/>
      <bottom/>
      <diagonal/>
    </border>
    <border>
      <left style="medium">
        <color indexed="64"/>
      </left>
      <right style="hair">
        <color indexed="8"/>
      </right>
      <top/>
      <bottom style="hair">
        <color indexed="8"/>
      </bottom>
      <diagonal/>
    </border>
    <border>
      <left style="double">
        <color indexed="8"/>
      </left>
      <right style="medium">
        <color indexed="64"/>
      </right>
      <top style="double">
        <color indexed="8"/>
      </top>
      <bottom style="double">
        <color indexed="8"/>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hair">
        <color indexed="8"/>
      </left>
      <right style="hair">
        <color indexed="8"/>
      </right>
      <top style="hair">
        <color indexed="8"/>
      </top>
      <bottom/>
      <diagonal/>
    </border>
    <border>
      <left style="hair">
        <color indexed="8"/>
      </left>
      <right style="hair">
        <color indexed="8"/>
      </right>
      <top/>
      <bottom/>
      <diagonal/>
    </border>
    <border>
      <left style="hair">
        <color indexed="8"/>
      </left>
      <right style="hair">
        <color indexed="8"/>
      </right>
      <top/>
      <bottom style="hair">
        <color indexed="8"/>
      </bottom>
      <diagonal/>
    </border>
    <border>
      <left style="hair">
        <color indexed="8"/>
      </left>
      <right style="medium">
        <color indexed="64"/>
      </right>
      <top style="hair">
        <color indexed="8"/>
      </top>
      <bottom/>
      <diagonal/>
    </border>
    <border>
      <left style="hair">
        <color indexed="8"/>
      </left>
      <right style="medium">
        <color indexed="64"/>
      </right>
      <top/>
      <bottom/>
      <diagonal/>
    </border>
    <border>
      <left style="hair">
        <color indexed="8"/>
      </left>
      <right style="medium">
        <color indexed="64"/>
      </right>
      <top/>
      <bottom style="hair">
        <color indexed="8"/>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41">
    <xf numFmtId="0" fontId="0" fillId="0" borderId="0"/>
    <xf numFmtId="43"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applyBorder="0"/>
    <xf numFmtId="166" fontId="7" fillId="0" borderId="0" applyFont="0" applyFill="0" applyBorder="0" applyAlignment="0" applyProtection="0"/>
    <xf numFmtId="9" fontId="7" fillId="0" borderId="0" applyFont="0" applyFill="0" applyBorder="0" applyAlignment="0" applyProtection="0"/>
    <xf numFmtId="0" fontId="2" fillId="0" borderId="0" applyBorder="0"/>
    <xf numFmtId="0" fontId="7" fillId="0" borderId="0"/>
    <xf numFmtId="9" fontId="13" fillId="0" borderId="0" applyFont="0" applyFill="0" applyBorder="0" applyAlignment="0" applyProtection="0"/>
    <xf numFmtId="9" fontId="2" fillId="0" borderId="0" applyFill="0" applyBorder="0" applyAlignment="0" applyProtection="0"/>
    <xf numFmtId="0" fontId="1" fillId="0" borderId="0"/>
    <xf numFmtId="43" fontId="1" fillId="0" borderId="0" applyFont="0" applyFill="0" applyBorder="0" applyAlignment="0" applyProtection="0"/>
    <xf numFmtId="166" fontId="1" fillId="0" borderId="0" applyFont="0" applyFill="0" applyBorder="0" applyAlignment="0" applyProtection="0"/>
    <xf numFmtId="42" fontId="1" fillId="0" borderId="0" applyFont="0" applyFill="0" applyBorder="0" applyAlignment="0" applyProtection="0"/>
    <xf numFmtId="41"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18" fillId="0" borderId="0"/>
    <xf numFmtId="0" fontId="2" fillId="0" borderId="0"/>
    <xf numFmtId="0" fontId="1" fillId="0" borderId="0"/>
    <xf numFmtId="41" fontId="1" fillId="0" borderId="0" applyFont="0" applyFill="0" applyBorder="0" applyAlignment="0" applyProtection="0"/>
    <xf numFmtId="41"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164" fontId="1" fillId="0" borderId="0" applyFont="0" applyFill="0" applyBorder="0" applyAlignment="0" applyProtection="0"/>
    <xf numFmtId="164" fontId="1" fillId="0" borderId="0" applyFont="0" applyFill="0" applyBorder="0" applyAlignment="0" applyProtection="0"/>
    <xf numFmtId="0" fontId="1" fillId="0" borderId="0"/>
    <xf numFmtId="188" fontId="2" fillId="0" borderId="0" applyFont="0" applyFill="0" applyBorder="0" applyAlignment="0" applyProtection="0"/>
    <xf numFmtId="189" fontId="1" fillId="0" borderId="0" applyFont="0" applyFill="0" applyBorder="0" applyAlignment="0" applyProtection="0"/>
    <xf numFmtId="190" fontId="2" fillId="0" borderId="0" applyFont="0" applyFill="0" applyBorder="0" applyAlignment="0" applyProtection="0"/>
    <xf numFmtId="0" fontId="1" fillId="0" borderId="0"/>
    <xf numFmtId="41"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52" fillId="0" borderId="0"/>
    <xf numFmtId="43" fontId="52" fillId="0" borderId="0" applyFont="0" applyFill="0" applyBorder="0" applyAlignment="0" applyProtection="0"/>
    <xf numFmtId="41" fontId="52" fillId="0" borderId="0" applyFont="0" applyFill="0" applyBorder="0" applyAlignment="0" applyProtection="0"/>
    <xf numFmtId="164" fontId="1" fillId="0" borderId="0" applyFont="0" applyFill="0" applyBorder="0" applyAlignment="0" applyProtection="0"/>
  </cellStyleXfs>
  <cellXfs count="574">
    <xf numFmtId="0" fontId="0" fillId="0" borderId="0" xfId="0"/>
    <xf numFmtId="0" fontId="3" fillId="3" borderId="0" xfId="5" applyFont="1" applyFill="1" applyAlignment="1">
      <alignment horizontal="center" vertical="center"/>
    </xf>
    <xf numFmtId="0" fontId="4" fillId="3" borderId="0" xfId="5" applyFont="1" applyFill="1" applyAlignment="1">
      <alignment vertical="center"/>
    </xf>
    <xf numFmtId="0" fontId="5" fillId="4" borderId="7" xfId="5" applyFont="1" applyFill="1" applyBorder="1" applyAlignment="1">
      <alignment vertical="center"/>
    </xf>
    <xf numFmtId="0" fontId="5" fillId="4" borderId="0" xfId="5" applyFont="1" applyFill="1" applyBorder="1" applyAlignment="1">
      <alignment vertical="center"/>
    </xf>
    <xf numFmtId="0" fontId="6" fillId="4" borderId="0" xfId="5" applyFont="1" applyFill="1" applyBorder="1" applyAlignment="1">
      <alignment horizontal="left" vertical="center"/>
    </xf>
    <xf numFmtId="166" fontId="5" fillId="4" borderId="0" xfId="6" applyFont="1" applyFill="1" applyBorder="1" applyAlignment="1">
      <alignment vertical="center"/>
    </xf>
    <xf numFmtId="167" fontId="5" fillId="4" borderId="0" xfId="5" applyNumberFormat="1" applyFont="1" applyFill="1" applyBorder="1" applyAlignment="1">
      <alignment vertical="center"/>
    </xf>
    <xf numFmtId="0" fontId="5" fillId="4" borderId="9" xfId="5" applyFont="1" applyFill="1" applyBorder="1" applyAlignment="1">
      <alignment vertical="center"/>
    </xf>
    <xf numFmtId="0" fontId="6" fillId="4" borderId="0" xfId="5" applyFont="1" applyFill="1" applyAlignment="1">
      <alignment horizontal="left" vertical="center"/>
    </xf>
    <xf numFmtId="0" fontId="5" fillId="4" borderId="0" xfId="5" applyFont="1" applyFill="1" applyAlignment="1">
      <alignment vertical="center"/>
    </xf>
    <xf numFmtId="0" fontId="6" fillId="4" borderId="0" xfId="5" applyFont="1" applyFill="1" applyBorder="1" applyAlignment="1">
      <alignment vertical="center"/>
    </xf>
    <xf numFmtId="0" fontId="6" fillId="0" borderId="8" xfId="5" applyFont="1" applyBorder="1" applyAlignment="1">
      <alignment horizontal="center" vertical="center"/>
    </xf>
    <xf numFmtId="0" fontId="6" fillId="4" borderId="0" xfId="5" applyFont="1" applyFill="1" applyAlignment="1">
      <alignment vertical="center"/>
    </xf>
    <xf numFmtId="0" fontId="6" fillId="4" borderId="7" xfId="5" applyFont="1" applyFill="1" applyBorder="1" applyAlignment="1">
      <alignment vertical="center"/>
    </xf>
    <xf numFmtId="167" fontId="6" fillId="4" borderId="0" xfId="5" applyNumberFormat="1" applyFont="1" applyFill="1" applyBorder="1" applyAlignment="1">
      <alignment vertical="center"/>
    </xf>
    <xf numFmtId="0" fontId="6" fillId="4" borderId="9" xfId="5" applyFont="1" applyFill="1" applyBorder="1" applyAlignment="1">
      <alignment vertical="center"/>
    </xf>
    <xf numFmtId="0" fontId="6" fillId="4" borderId="11" xfId="5" applyFont="1" applyFill="1" applyBorder="1" applyAlignment="1">
      <alignment horizontal="center" vertical="center" wrapText="1"/>
    </xf>
    <xf numFmtId="167" fontId="6" fillId="0" borderId="11" xfId="5" applyNumberFormat="1" applyFont="1" applyBorder="1" applyAlignment="1">
      <alignment horizontal="center" vertical="center" wrapText="1"/>
    </xf>
    <xf numFmtId="0" fontId="6" fillId="4" borderId="12" xfId="5" applyFont="1" applyFill="1" applyBorder="1" applyAlignment="1">
      <alignment horizontal="center" vertical="center" wrapText="1"/>
    </xf>
    <xf numFmtId="0" fontId="5" fillId="4" borderId="0" xfId="5" applyFont="1" applyFill="1" applyAlignment="1">
      <alignment vertical="center" wrapText="1"/>
    </xf>
    <xf numFmtId="169" fontId="8" fillId="4" borderId="0" xfId="7" applyNumberFormat="1" applyFont="1" applyFill="1" applyAlignment="1">
      <alignment vertical="center" wrapText="1"/>
    </xf>
    <xf numFmtId="0" fontId="6" fillId="4" borderId="11" xfId="5" applyFont="1" applyFill="1" applyBorder="1" applyAlignment="1">
      <alignment vertical="center" wrapText="1"/>
    </xf>
    <xf numFmtId="167" fontId="6" fillId="4" borderId="11" xfId="5" applyNumberFormat="1" applyFont="1" applyFill="1" applyBorder="1" applyAlignment="1">
      <alignment horizontal="center" vertical="center" wrapText="1"/>
    </xf>
    <xf numFmtId="0" fontId="6" fillId="4" borderId="15" xfId="5" applyFont="1" applyFill="1" applyBorder="1" applyAlignment="1">
      <alignment vertical="center"/>
    </xf>
    <xf numFmtId="0" fontId="6" fillId="0" borderId="15" xfId="5" applyFont="1" applyBorder="1" applyAlignment="1">
      <alignment vertical="center"/>
    </xf>
    <xf numFmtId="167" fontId="6" fillId="0" borderId="15" xfId="5" applyNumberFormat="1" applyFont="1" applyBorder="1" applyAlignment="1">
      <alignment vertical="center"/>
    </xf>
    <xf numFmtId="0" fontId="6" fillId="0" borderId="16" xfId="5" applyFont="1" applyBorder="1" applyAlignment="1">
      <alignment vertical="center"/>
    </xf>
    <xf numFmtId="170" fontId="5" fillId="4" borderId="0" xfId="5" applyNumberFormat="1" applyFont="1" applyFill="1" applyAlignment="1">
      <alignment vertical="center"/>
    </xf>
    <xf numFmtId="0" fontId="5" fillId="4" borderId="0" xfId="5" applyFont="1" applyFill="1" applyAlignment="1">
      <alignment horizontal="justify" vertical="center"/>
    </xf>
    <xf numFmtId="167" fontId="6" fillId="4" borderId="15" xfId="5" applyNumberFormat="1" applyFont="1" applyFill="1" applyBorder="1" applyAlignment="1">
      <alignment vertical="center"/>
    </xf>
    <xf numFmtId="0" fontId="6" fillId="4" borderId="16" xfId="5" applyFont="1" applyFill="1" applyBorder="1" applyAlignment="1">
      <alignment vertical="center"/>
    </xf>
    <xf numFmtId="0" fontId="5" fillId="0" borderId="11" xfId="5" applyFont="1" applyBorder="1" applyAlignment="1">
      <alignment horizontal="left" vertical="center" wrapText="1"/>
    </xf>
    <xf numFmtId="165" fontId="5" fillId="4" borderId="0" xfId="5" applyNumberFormat="1" applyFont="1" applyFill="1" applyAlignment="1">
      <alignment vertical="center"/>
    </xf>
    <xf numFmtId="0" fontId="6" fillId="4" borderId="13" xfId="5" applyFont="1" applyFill="1" applyBorder="1" applyAlignment="1">
      <alignment horizontal="centerContinuous" vertical="center"/>
    </xf>
    <xf numFmtId="0" fontId="6" fillId="4" borderId="15" xfId="5" applyFont="1" applyFill="1" applyBorder="1" applyAlignment="1">
      <alignment horizontal="centerContinuous" vertical="center"/>
    </xf>
    <xf numFmtId="167" fontId="6" fillId="4" borderId="15" xfId="5" applyNumberFormat="1" applyFont="1" applyFill="1" applyBorder="1" applyAlignment="1">
      <alignment horizontal="centerContinuous" vertical="center"/>
    </xf>
    <xf numFmtId="0" fontId="6" fillId="4" borderId="16" xfId="5" applyFont="1" applyFill="1" applyBorder="1" applyAlignment="1">
      <alignment horizontal="centerContinuous" vertical="center"/>
    </xf>
    <xf numFmtId="0" fontId="5" fillId="4" borderId="0" xfId="5" applyFont="1" applyFill="1" applyAlignment="1">
      <alignment horizontal="center" vertical="center" wrapText="1"/>
    </xf>
    <xf numFmtId="0" fontId="12" fillId="4" borderId="0" xfId="5" applyFont="1" applyFill="1" applyAlignment="1">
      <alignment horizontal="center" vertical="center"/>
    </xf>
    <xf numFmtId="0" fontId="5" fillId="4" borderId="7" xfId="5" applyFont="1" applyFill="1" applyBorder="1" applyAlignment="1">
      <alignment horizontal="left" vertical="center"/>
    </xf>
    <xf numFmtId="0" fontId="5" fillId="4" borderId="0" xfId="5" applyFont="1" applyFill="1" applyBorder="1" applyAlignment="1">
      <alignment horizontal="left" vertical="center"/>
    </xf>
    <xf numFmtId="167" fontId="5" fillId="4" borderId="0" xfId="5" applyNumberFormat="1" applyFont="1" applyFill="1" applyBorder="1" applyAlignment="1">
      <alignment horizontal="left" vertical="center"/>
    </xf>
    <xf numFmtId="37" fontId="5" fillId="0" borderId="9" xfId="5" applyNumberFormat="1" applyFont="1" applyBorder="1" applyAlignment="1">
      <alignment horizontal="center" vertical="center"/>
    </xf>
    <xf numFmtId="0" fontId="6" fillId="0" borderId="13" xfId="5" applyFont="1" applyBorder="1" applyAlignment="1">
      <alignment horizontal="left" vertical="center"/>
    </xf>
    <xf numFmtId="0" fontId="6" fillId="0" borderId="15" xfId="5" applyFont="1" applyBorder="1" applyAlignment="1">
      <alignment horizontal="left" vertical="center"/>
    </xf>
    <xf numFmtId="0" fontId="5" fillId="0" borderId="15" xfId="5" applyFont="1" applyBorder="1" applyAlignment="1">
      <alignment horizontal="left" vertical="center"/>
    </xf>
    <xf numFmtId="167" fontId="5" fillId="0" borderId="15" xfId="5" applyNumberFormat="1" applyFont="1" applyBorder="1" applyAlignment="1">
      <alignment horizontal="left" vertical="center"/>
    </xf>
    <xf numFmtId="0" fontId="5" fillId="0" borderId="14" xfId="5" applyFont="1" applyBorder="1" applyAlignment="1">
      <alignment horizontal="left" vertical="center"/>
    </xf>
    <xf numFmtId="10" fontId="6" fillId="0" borderId="12" xfId="5" applyNumberFormat="1" applyFont="1" applyBorder="1" applyAlignment="1">
      <alignment horizontal="center" vertical="center"/>
    </xf>
    <xf numFmtId="10" fontId="6" fillId="4" borderId="14" xfId="5" applyNumberFormat="1" applyFont="1" applyFill="1" applyBorder="1" applyAlignment="1">
      <alignment horizontal="center" vertical="center"/>
    </xf>
    <xf numFmtId="37" fontId="5" fillId="4" borderId="9" xfId="5" applyNumberFormat="1" applyFont="1" applyFill="1" applyBorder="1" applyAlignment="1">
      <alignment vertical="center"/>
    </xf>
    <xf numFmtId="10" fontId="5" fillId="4" borderId="0" xfId="10" applyNumberFormat="1" applyFont="1" applyFill="1" applyAlignment="1">
      <alignment vertical="center"/>
    </xf>
    <xf numFmtId="0" fontId="6" fillId="4" borderId="0" xfId="5" applyFont="1" applyFill="1" applyAlignment="1">
      <alignment horizontal="center" vertical="center"/>
    </xf>
    <xf numFmtId="167" fontId="6" fillId="4" borderId="11" xfId="5" applyNumberFormat="1" applyFont="1" applyFill="1" applyBorder="1" applyAlignment="1">
      <alignment horizontal="center" vertical="center"/>
    </xf>
    <xf numFmtId="0" fontId="6" fillId="4" borderId="17" xfId="5" applyFont="1" applyFill="1" applyBorder="1" applyAlignment="1">
      <alignment horizontal="center" vertical="center"/>
    </xf>
    <xf numFmtId="0" fontId="6" fillId="4" borderId="12" xfId="5" applyFont="1" applyFill="1" applyBorder="1" applyAlignment="1">
      <alignment horizontal="center" vertical="center"/>
    </xf>
    <xf numFmtId="10" fontId="5" fillId="4" borderId="0" xfId="5" applyNumberFormat="1" applyFont="1" applyFill="1" applyAlignment="1">
      <alignment vertical="center"/>
    </xf>
    <xf numFmtId="165" fontId="5" fillId="0" borderId="11" xfId="5" applyNumberFormat="1" applyFont="1" applyBorder="1" applyAlignment="1">
      <alignment horizontal="center" vertical="center" wrapText="1"/>
    </xf>
    <xf numFmtId="42" fontId="5" fillId="4" borderId="11" xfId="2" applyFont="1" applyFill="1" applyBorder="1" applyAlignment="1">
      <alignment horizontal="center" vertical="center" wrapText="1"/>
    </xf>
    <xf numFmtId="179" fontId="5" fillId="4" borderId="11" xfId="5" applyNumberFormat="1" applyFont="1" applyFill="1" applyBorder="1" applyAlignment="1">
      <alignment horizontal="center" vertical="center" wrapText="1"/>
    </xf>
    <xf numFmtId="9" fontId="5" fillId="4" borderId="0" xfId="11" applyFont="1" applyFill="1" applyBorder="1" applyAlignment="1">
      <alignment vertical="center"/>
    </xf>
    <xf numFmtId="0" fontId="5" fillId="4" borderId="0" xfId="5" applyFont="1" applyFill="1" applyBorder="1" applyAlignment="1">
      <alignment horizontal="right" vertical="center"/>
    </xf>
    <xf numFmtId="167" fontId="5" fillId="4" borderId="0" xfId="5" applyNumberFormat="1" applyFont="1" applyFill="1" applyBorder="1" applyAlignment="1">
      <alignment horizontal="right" vertical="center"/>
    </xf>
    <xf numFmtId="10" fontId="5" fillId="0" borderId="9" xfId="5" applyNumberFormat="1" applyFont="1" applyBorder="1" applyAlignment="1">
      <alignment horizontal="center" vertical="center"/>
    </xf>
    <xf numFmtId="9" fontId="5" fillId="0" borderId="15" xfId="11" applyFont="1" applyBorder="1" applyAlignment="1">
      <alignment vertical="center"/>
    </xf>
    <xf numFmtId="0" fontId="5" fillId="0" borderId="15" xfId="5" applyFont="1" applyBorder="1" applyAlignment="1">
      <alignment horizontal="right" vertical="center"/>
    </xf>
    <xf numFmtId="167" fontId="5" fillId="0" borderId="15" xfId="5" applyNumberFormat="1" applyFont="1" applyBorder="1" applyAlignment="1">
      <alignment horizontal="right" vertical="center"/>
    </xf>
    <xf numFmtId="10" fontId="5" fillId="0" borderId="14" xfId="5" applyNumberFormat="1" applyFont="1" applyBorder="1" applyAlignment="1">
      <alignment horizontal="right" vertical="center"/>
    </xf>
    <xf numFmtId="167" fontId="5" fillId="0" borderId="15" xfId="6" applyNumberFormat="1" applyFont="1" applyBorder="1" applyAlignment="1">
      <alignment horizontal="right" vertical="center"/>
    </xf>
    <xf numFmtId="0" fontId="5" fillId="0" borderId="14" xfId="5" applyFont="1" applyBorder="1" applyAlignment="1">
      <alignment horizontal="right" vertical="center"/>
    </xf>
    <xf numFmtId="178" fontId="6" fillId="4" borderId="14" xfId="5" applyNumberFormat="1" applyFont="1" applyFill="1" applyBorder="1" applyAlignment="1">
      <alignment horizontal="center" vertical="center"/>
    </xf>
    <xf numFmtId="170" fontId="5" fillId="4" borderId="0" xfId="5" applyNumberFormat="1" applyFont="1" applyFill="1" applyBorder="1" applyAlignment="1">
      <alignment horizontal="right" vertical="center"/>
    </xf>
    <xf numFmtId="10" fontId="5" fillId="4" borderId="9" xfId="5" applyNumberFormat="1" applyFont="1" applyFill="1" applyBorder="1" applyAlignment="1">
      <alignment horizontal="center" vertical="center"/>
    </xf>
    <xf numFmtId="177" fontId="5" fillId="4" borderId="0" xfId="5" applyNumberFormat="1" applyFont="1" applyFill="1" applyAlignment="1">
      <alignment vertical="center"/>
    </xf>
    <xf numFmtId="0" fontId="6" fillId="5" borderId="13" xfId="5" applyFont="1" applyFill="1" applyBorder="1" applyAlignment="1">
      <alignment horizontal="left" vertical="center"/>
    </xf>
    <xf numFmtId="0" fontId="6" fillId="5" borderId="15" xfId="5" applyFont="1" applyFill="1" applyBorder="1" applyAlignment="1">
      <alignment horizontal="left" vertical="center"/>
    </xf>
    <xf numFmtId="0" fontId="5" fillId="5" borderId="15" xfId="5" applyFont="1" applyFill="1" applyBorder="1" applyAlignment="1">
      <alignment horizontal="left" vertical="center"/>
    </xf>
    <xf numFmtId="9" fontId="5" fillId="5" borderId="15" xfId="11" applyFont="1" applyFill="1" applyBorder="1" applyAlignment="1">
      <alignment vertical="center"/>
    </xf>
    <xf numFmtId="0" fontId="5" fillId="5" borderId="15" xfId="5" applyFont="1" applyFill="1" applyBorder="1" applyAlignment="1">
      <alignment horizontal="right" vertical="center"/>
    </xf>
    <xf numFmtId="167" fontId="5" fillId="5" borderId="15" xfId="5" applyNumberFormat="1" applyFont="1" applyFill="1" applyBorder="1" applyAlignment="1">
      <alignment horizontal="right" vertical="center"/>
    </xf>
    <xf numFmtId="10" fontId="5" fillId="5" borderId="14" xfId="5" applyNumberFormat="1" applyFont="1" applyFill="1" applyBorder="1" applyAlignment="1">
      <alignment horizontal="right" vertical="center"/>
    </xf>
    <xf numFmtId="10" fontId="6" fillId="5" borderId="12" xfId="3" applyNumberFormat="1" applyFont="1" applyFill="1" applyBorder="1" applyAlignment="1">
      <alignment horizontal="center" vertical="center"/>
    </xf>
    <xf numFmtId="0" fontId="6" fillId="4" borderId="13" xfId="5" applyFont="1" applyFill="1" applyBorder="1" applyAlignment="1">
      <alignment horizontal="left" vertical="center"/>
    </xf>
    <xf numFmtId="0" fontId="6" fillId="4" borderId="15" xfId="5" applyFont="1" applyFill="1" applyBorder="1" applyAlignment="1">
      <alignment horizontal="left" vertical="center"/>
    </xf>
    <xf numFmtId="9" fontId="6" fillId="4" borderId="15" xfId="11" applyFont="1" applyFill="1" applyBorder="1" applyAlignment="1">
      <alignment vertical="center"/>
    </xf>
    <xf numFmtId="0" fontId="6" fillId="4" borderId="15" xfId="5" applyFont="1" applyFill="1" applyBorder="1" applyAlignment="1">
      <alignment horizontal="right" vertical="center"/>
    </xf>
    <xf numFmtId="167" fontId="6" fillId="4" borderId="15" xfId="5" applyNumberFormat="1" applyFont="1" applyFill="1" applyBorder="1" applyAlignment="1">
      <alignment horizontal="right" vertical="center"/>
    </xf>
    <xf numFmtId="168" fontId="6" fillId="4" borderId="14" xfId="5" applyNumberFormat="1" applyFont="1" applyFill="1" applyBorder="1" applyAlignment="1">
      <alignment horizontal="center" vertical="center"/>
    </xf>
    <xf numFmtId="10" fontId="6" fillId="4" borderId="12" xfId="5" applyNumberFormat="1" applyFont="1" applyFill="1" applyBorder="1" applyAlignment="1">
      <alignment horizontal="center" vertical="center"/>
    </xf>
    <xf numFmtId="0" fontId="12" fillId="4" borderId="13" xfId="5" applyFont="1" applyFill="1" applyBorder="1" applyAlignment="1">
      <alignment horizontal="left" vertical="center"/>
    </xf>
    <xf numFmtId="0" fontId="12" fillId="4" borderId="15" xfId="5" applyFont="1" applyFill="1" applyBorder="1" applyAlignment="1">
      <alignment horizontal="left" vertical="center"/>
    </xf>
    <xf numFmtId="9" fontId="12" fillId="4" borderId="15" xfId="11" applyFont="1" applyFill="1" applyBorder="1" applyAlignment="1">
      <alignment vertical="center"/>
    </xf>
    <xf numFmtId="0" fontId="12" fillId="4" borderId="15" xfId="5" applyFont="1" applyFill="1" applyBorder="1" applyAlignment="1">
      <alignment horizontal="right" vertical="center"/>
    </xf>
    <xf numFmtId="167" fontId="12" fillId="4" borderId="15" xfId="5" applyNumberFormat="1" applyFont="1" applyFill="1" applyBorder="1" applyAlignment="1">
      <alignment horizontal="right" vertical="center"/>
    </xf>
    <xf numFmtId="168" fontId="12" fillId="4" borderId="15" xfId="5" applyNumberFormat="1" applyFont="1" applyFill="1" applyBorder="1" applyAlignment="1">
      <alignment horizontal="center" vertical="center"/>
    </xf>
    <xf numFmtId="10" fontId="12" fillId="4" borderId="16" xfId="5" applyNumberFormat="1" applyFont="1" applyFill="1" applyBorder="1" applyAlignment="1">
      <alignment horizontal="center" vertical="center"/>
    </xf>
    <xf numFmtId="177" fontId="12" fillId="4" borderId="0" xfId="5" applyNumberFormat="1" applyFont="1" applyFill="1" applyAlignment="1">
      <alignment vertical="center"/>
    </xf>
    <xf numFmtId="0" fontId="12" fillId="4" borderId="0" xfId="5" applyFont="1" applyFill="1" applyAlignment="1">
      <alignment vertical="center"/>
    </xf>
    <xf numFmtId="0" fontId="5" fillId="4" borderId="15" xfId="5" applyFont="1" applyFill="1" applyBorder="1" applyAlignment="1">
      <alignment horizontal="left" vertical="center"/>
    </xf>
    <xf numFmtId="0" fontId="5" fillId="4" borderId="14" xfId="5" applyFont="1" applyFill="1" applyBorder="1" applyAlignment="1">
      <alignment horizontal="left" vertical="center"/>
    </xf>
    <xf numFmtId="168" fontId="6" fillId="0" borderId="14" xfId="5" applyNumberFormat="1" applyFont="1" applyBorder="1" applyAlignment="1">
      <alignment horizontal="center" vertical="center"/>
    </xf>
    <xf numFmtId="168" fontId="12" fillId="0" borderId="15" xfId="5" applyNumberFormat="1" applyFont="1" applyBorder="1" applyAlignment="1">
      <alignment horizontal="center" vertical="center"/>
    </xf>
    <xf numFmtId="167" fontId="5" fillId="4" borderId="15" xfId="5" applyNumberFormat="1" applyFont="1" applyFill="1" applyBorder="1" applyAlignment="1">
      <alignment horizontal="left" vertical="center"/>
    </xf>
    <xf numFmtId="181" fontId="5" fillId="4" borderId="0" xfId="5" applyNumberFormat="1" applyFont="1" applyFill="1" applyAlignment="1">
      <alignment vertical="center"/>
    </xf>
    <xf numFmtId="167" fontId="5" fillId="5" borderId="15" xfId="6" applyNumberFormat="1" applyFont="1" applyFill="1" applyBorder="1" applyAlignment="1">
      <alignment horizontal="right" vertical="center"/>
    </xf>
    <xf numFmtId="0" fontId="5" fillId="5" borderId="14" xfId="5" applyFont="1" applyFill="1" applyBorder="1" applyAlignment="1">
      <alignment horizontal="right" vertical="center"/>
    </xf>
    <xf numFmtId="170" fontId="6" fillId="4" borderId="15" xfId="5" applyNumberFormat="1" applyFont="1" applyFill="1" applyBorder="1" applyAlignment="1">
      <alignment horizontal="center" vertical="center" wrapText="1"/>
    </xf>
    <xf numFmtId="43" fontId="16" fillId="4" borderId="0" xfId="1" applyFont="1" applyFill="1" applyAlignment="1">
      <alignment horizontal="center" vertical="center"/>
    </xf>
    <xf numFmtId="10" fontId="15" fillId="4" borderId="21" xfId="5" applyNumberFormat="1" applyFont="1" applyFill="1" applyBorder="1" applyAlignment="1">
      <alignment horizontal="center" vertical="center"/>
    </xf>
    <xf numFmtId="0" fontId="11" fillId="0" borderId="0" xfId="0" applyFont="1"/>
    <xf numFmtId="167" fontId="5" fillId="4" borderId="0" xfId="5" applyNumberFormat="1" applyFont="1" applyFill="1" applyAlignment="1">
      <alignment vertical="center"/>
    </xf>
    <xf numFmtId="42" fontId="10" fillId="0" borderId="11" xfId="2" applyFont="1" applyFill="1" applyBorder="1" applyAlignment="1">
      <alignment horizontal="right" vertical="center"/>
    </xf>
    <xf numFmtId="42" fontId="6" fillId="4" borderId="15" xfId="2" applyFont="1" applyFill="1" applyBorder="1" applyAlignment="1">
      <alignment horizontal="right" vertical="center"/>
    </xf>
    <xf numFmtId="42" fontId="5" fillId="4" borderId="15" xfId="2" applyFont="1" applyFill="1" applyBorder="1" applyAlignment="1">
      <alignment horizontal="left" vertical="center"/>
    </xf>
    <xf numFmtId="42" fontId="6" fillId="0" borderId="15" xfId="2" applyFont="1" applyBorder="1" applyAlignment="1">
      <alignment horizontal="right" vertical="center"/>
    </xf>
    <xf numFmtId="42" fontId="12" fillId="0" borderId="15" xfId="2" applyFont="1" applyBorder="1" applyAlignment="1">
      <alignment horizontal="right" vertical="center"/>
    </xf>
    <xf numFmtId="42" fontId="12" fillId="4" borderId="15" xfId="2" applyFont="1" applyFill="1" applyBorder="1" applyAlignment="1">
      <alignment horizontal="right" vertical="center"/>
    </xf>
    <xf numFmtId="43" fontId="10" fillId="0" borderId="11" xfId="13" applyFont="1" applyFill="1" applyBorder="1" applyAlignment="1">
      <alignment horizontal="right" vertical="center"/>
    </xf>
    <xf numFmtId="0" fontId="6" fillId="4" borderId="11" xfId="5" applyFont="1" applyFill="1" applyBorder="1" applyAlignment="1">
      <alignment horizontal="center" vertical="center"/>
    </xf>
    <xf numFmtId="0" fontId="6" fillId="4" borderId="13" xfId="5" applyFont="1" applyFill="1" applyBorder="1" applyAlignment="1">
      <alignment vertical="center"/>
    </xf>
    <xf numFmtId="9" fontId="5" fillId="0" borderId="11" xfId="3" applyFont="1" applyFill="1" applyBorder="1" applyAlignment="1">
      <alignment horizontal="center" vertical="center"/>
    </xf>
    <xf numFmtId="0" fontId="10" fillId="0" borderId="13" xfId="5" applyFont="1" applyBorder="1" applyAlignment="1">
      <alignment horizontal="left" vertical="center"/>
    </xf>
    <xf numFmtId="9" fontId="10" fillId="0" borderId="11" xfId="11" applyFont="1" applyFill="1" applyBorder="1" applyAlignment="1">
      <alignment horizontal="center" vertical="center"/>
    </xf>
    <xf numFmtId="0" fontId="17" fillId="0" borderId="7" xfId="0" applyFont="1" applyBorder="1"/>
    <xf numFmtId="0" fontId="24" fillId="0" borderId="0" xfId="0" applyFont="1"/>
    <xf numFmtId="42" fontId="17" fillId="0" borderId="0" xfId="2" applyFont="1" applyBorder="1"/>
    <xf numFmtId="167" fontId="17" fillId="0" borderId="0" xfId="0" applyNumberFormat="1" applyFont="1" applyAlignment="1">
      <alignment horizontal="center"/>
    </xf>
    <xf numFmtId="0" fontId="17" fillId="0" borderId="9" xfId="0" applyFont="1" applyBorder="1"/>
    <xf numFmtId="0" fontId="17" fillId="0" borderId="0" xfId="0" applyFont="1"/>
    <xf numFmtId="0" fontId="10" fillId="4" borderId="23" xfId="5" applyFont="1" applyFill="1" applyBorder="1" applyAlignment="1">
      <alignment vertical="center"/>
    </xf>
    <xf numFmtId="0" fontId="10" fillId="4" borderId="24" xfId="5" applyFont="1" applyFill="1" applyBorder="1" applyAlignment="1">
      <alignment vertical="center"/>
    </xf>
    <xf numFmtId="167" fontId="10" fillId="4" borderId="24" xfId="3" applyNumberFormat="1" applyFont="1" applyFill="1" applyBorder="1" applyAlignment="1">
      <alignment vertical="center"/>
    </xf>
    <xf numFmtId="43" fontId="10" fillId="4" borderId="25" xfId="1" applyFont="1" applyFill="1" applyBorder="1" applyAlignment="1">
      <alignment vertical="center"/>
    </xf>
    <xf numFmtId="0" fontId="17" fillId="0" borderId="36" xfId="0" applyFont="1" applyBorder="1" applyAlignment="1">
      <alignment horizontal="center"/>
    </xf>
    <xf numFmtId="0" fontId="17" fillId="0" borderId="36" xfId="0" applyFont="1" applyBorder="1" applyAlignment="1">
      <alignment horizontal="center" vertical="center"/>
    </xf>
    <xf numFmtId="0" fontId="26" fillId="3" borderId="0" xfId="5" applyFont="1" applyFill="1" applyAlignment="1">
      <alignment vertical="center"/>
    </xf>
    <xf numFmtId="0" fontId="27" fillId="4" borderId="0" xfId="5" applyFont="1" applyFill="1" applyAlignment="1">
      <alignment vertical="center"/>
    </xf>
    <xf numFmtId="0" fontId="28" fillId="4" borderId="0" xfId="5" applyFont="1" applyFill="1" applyAlignment="1">
      <alignment vertical="center"/>
    </xf>
    <xf numFmtId="0" fontId="27" fillId="4" borderId="0" xfId="5" applyFont="1" applyFill="1" applyAlignment="1">
      <alignment vertical="center" wrapText="1"/>
    </xf>
    <xf numFmtId="0" fontId="27" fillId="4" borderId="0" xfId="5" applyFont="1" applyFill="1" applyAlignment="1">
      <alignment horizontal="center" vertical="center" wrapText="1"/>
    </xf>
    <xf numFmtId="0" fontId="30" fillId="4" borderId="0" xfId="5" applyFont="1" applyFill="1" applyAlignment="1">
      <alignment horizontal="center" vertical="center"/>
    </xf>
    <xf numFmtId="0" fontId="28" fillId="4" borderId="0" xfId="5" applyFont="1" applyFill="1" applyAlignment="1">
      <alignment horizontal="center" vertical="center"/>
    </xf>
    <xf numFmtId="2" fontId="27" fillId="4" borderId="0" xfId="5" applyNumberFormat="1" applyFont="1" applyFill="1" applyAlignment="1">
      <alignment vertical="center"/>
    </xf>
    <xf numFmtId="0" fontId="31" fillId="4" borderId="0" xfId="5" applyFont="1" applyFill="1" applyAlignment="1">
      <alignment vertical="center"/>
    </xf>
    <xf numFmtId="168" fontId="30" fillId="4" borderId="0" xfId="5" applyNumberFormat="1" applyFont="1" applyFill="1" applyAlignment="1">
      <alignment vertical="center"/>
    </xf>
    <xf numFmtId="0" fontId="30" fillId="4" borderId="0" xfId="5" applyFont="1" applyFill="1" applyAlignment="1">
      <alignment vertical="center"/>
    </xf>
    <xf numFmtId="42" fontId="25" fillId="4" borderId="0" xfId="2" applyFont="1" applyFill="1" applyAlignment="1">
      <alignment vertical="center"/>
    </xf>
    <xf numFmtId="168" fontId="27" fillId="4" borderId="0" xfId="5" applyNumberFormat="1" applyFont="1" applyFill="1" applyAlignment="1">
      <alignment vertical="center"/>
    </xf>
    <xf numFmtId="0" fontId="32" fillId="0" borderId="0" xfId="0" applyFont="1"/>
    <xf numFmtId="42" fontId="25" fillId="3" borderId="0" xfId="2" applyFont="1" applyFill="1" applyAlignment="1">
      <alignment vertical="center"/>
    </xf>
    <xf numFmtId="42" fontId="25" fillId="4" borderId="0" xfId="2" applyFont="1" applyFill="1" applyAlignment="1">
      <alignment vertical="center" wrapText="1"/>
    </xf>
    <xf numFmtId="42" fontId="25" fillId="4" borderId="0" xfId="2" applyFont="1" applyFill="1" applyAlignment="1">
      <alignment horizontal="center" vertical="center"/>
    </xf>
    <xf numFmtId="42" fontId="25" fillId="0" borderId="0" xfId="2" applyFont="1" applyAlignment="1">
      <alignment vertical="center"/>
    </xf>
    <xf numFmtId="42" fontId="25" fillId="4" borderId="0" xfId="2" applyFont="1" applyFill="1" applyBorder="1" applyAlignment="1">
      <alignment vertical="center"/>
    </xf>
    <xf numFmtId="42" fontId="27" fillId="4" borderId="0" xfId="2" applyFont="1" applyFill="1" applyAlignment="1">
      <alignment horizontal="left" vertical="center"/>
    </xf>
    <xf numFmtId="42" fontId="25" fillId="4" borderId="0" xfId="2" applyFont="1" applyFill="1" applyAlignment="1">
      <alignment horizontal="right" vertical="center"/>
    </xf>
    <xf numFmtId="42" fontId="25" fillId="4" borderId="0" xfId="2" applyFont="1" applyFill="1" applyAlignment="1">
      <alignment horizontal="left" vertical="center"/>
    </xf>
    <xf numFmtId="42" fontId="32" fillId="0" borderId="0" xfId="2" applyFont="1"/>
    <xf numFmtId="0" fontId="6" fillId="0" borderId="0" xfId="5" applyFont="1" applyBorder="1" applyAlignment="1">
      <alignment horizontal="center" vertical="center"/>
    </xf>
    <xf numFmtId="42" fontId="5" fillId="0" borderId="11" xfId="2" applyFont="1" applyFill="1" applyBorder="1" applyAlignment="1">
      <alignment horizontal="center" vertical="center" wrapText="1"/>
    </xf>
    <xf numFmtId="178" fontId="5" fillId="0" borderId="11" xfId="5" applyNumberFormat="1" applyFont="1" applyBorder="1" applyAlignment="1">
      <alignment horizontal="center" vertical="center" wrapText="1"/>
    </xf>
    <xf numFmtId="165" fontId="14" fillId="0" borderId="0" xfId="5" applyNumberFormat="1" applyFont="1" applyAlignment="1">
      <alignment horizontal="justify" vertical="center"/>
    </xf>
    <xf numFmtId="0" fontId="5" fillId="0" borderId="0" xfId="5" applyFont="1" applyAlignment="1">
      <alignment vertical="center"/>
    </xf>
    <xf numFmtId="10" fontId="5" fillId="0" borderId="0" xfId="5" applyNumberFormat="1" applyFont="1" applyAlignment="1">
      <alignment vertical="center"/>
    </xf>
    <xf numFmtId="42" fontId="25" fillId="0" borderId="0" xfId="2" applyFont="1" applyFill="1" applyAlignment="1">
      <alignment vertical="center"/>
    </xf>
    <xf numFmtId="0" fontId="27" fillId="0" borderId="0" xfId="5" applyFont="1" applyAlignment="1">
      <alignment vertical="center"/>
    </xf>
    <xf numFmtId="9" fontId="5" fillId="0" borderId="11" xfId="5" applyNumberFormat="1" applyFont="1" applyBorder="1" applyAlignment="1">
      <alignment horizontal="center" vertical="center" wrapText="1"/>
    </xf>
    <xf numFmtId="42" fontId="5" fillId="0" borderId="11" xfId="2" applyFont="1" applyFill="1" applyBorder="1" applyAlignment="1">
      <alignment horizontal="center" vertical="center"/>
    </xf>
    <xf numFmtId="0" fontId="6" fillId="7" borderId="13" xfId="5" applyFont="1" applyFill="1" applyBorder="1" applyAlignment="1">
      <alignment horizontal="left" vertical="center"/>
    </xf>
    <xf numFmtId="0" fontId="6" fillId="7" borderId="15" xfId="5" applyFont="1" applyFill="1" applyBorder="1" applyAlignment="1">
      <alignment horizontal="left" vertical="center"/>
    </xf>
    <xf numFmtId="9" fontId="6" fillId="7" borderId="15" xfId="11" applyFont="1" applyFill="1" applyBorder="1" applyAlignment="1">
      <alignment vertical="center"/>
    </xf>
    <xf numFmtId="0" fontId="6" fillId="7" borderId="15" xfId="5" applyFont="1" applyFill="1" applyBorder="1" applyAlignment="1">
      <alignment horizontal="right" vertical="center"/>
    </xf>
    <xf numFmtId="167" fontId="6" fillId="7" borderId="15" xfId="5" applyNumberFormat="1" applyFont="1" applyFill="1" applyBorder="1" applyAlignment="1">
      <alignment horizontal="right" vertical="center"/>
    </xf>
    <xf numFmtId="168" fontId="6" fillId="7" borderId="14" xfId="5" applyNumberFormat="1" applyFont="1" applyFill="1" applyBorder="1" applyAlignment="1">
      <alignment horizontal="center" vertical="center"/>
    </xf>
    <xf numFmtId="10" fontId="6" fillId="7" borderId="12" xfId="5" applyNumberFormat="1" applyFont="1" applyFill="1" applyBorder="1" applyAlignment="1">
      <alignment horizontal="center" vertical="center"/>
    </xf>
    <xf numFmtId="177" fontId="5" fillId="7" borderId="0" xfId="5" applyNumberFormat="1" applyFont="1" applyFill="1" applyAlignment="1">
      <alignment vertical="center"/>
    </xf>
    <xf numFmtId="0" fontId="5" fillId="7" borderId="0" xfId="5" applyFont="1" applyFill="1" applyAlignment="1">
      <alignment vertical="center"/>
    </xf>
    <xf numFmtId="42" fontId="25" fillId="7" borderId="0" xfId="2" applyFont="1" applyFill="1" applyAlignment="1">
      <alignment vertical="center"/>
    </xf>
    <xf numFmtId="0" fontId="27" fillId="7" borderId="0" xfId="5" applyFont="1" applyFill="1" applyAlignment="1">
      <alignment vertical="center"/>
    </xf>
    <xf numFmtId="9" fontId="5" fillId="0" borderId="15" xfId="11" applyFont="1" applyFill="1" applyBorder="1" applyAlignment="1">
      <alignment vertical="center"/>
    </xf>
    <xf numFmtId="10" fontId="6" fillId="0" borderId="12" xfId="3" applyNumberFormat="1" applyFont="1" applyFill="1" applyBorder="1" applyAlignment="1">
      <alignment horizontal="center" vertical="center"/>
    </xf>
    <xf numFmtId="165" fontId="5" fillId="0" borderId="0" xfId="5" applyNumberFormat="1" applyFont="1" applyAlignment="1">
      <alignment vertical="center"/>
    </xf>
    <xf numFmtId="42" fontId="25" fillId="0" borderId="0" xfId="2" applyFont="1" applyFill="1" applyBorder="1" applyAlignment="1">
      <alignment horizontal="left" vertical="center"/>
    </xf>
    <xf numFmtId="0" fontId="31" fillId="0" borderId="0" xfId="5" applyFont="1" applyAlignment="1">
      <alignment vertical="center"/>
    </xf>
    <xf numFmtId="0" fontId="6" fillId="0" borderId="12" xfId="5" applyFont="1" applyBorder="1" applyAlignment="1">
      <alignment horizontal="center" vertical="center"/>
    </xf>
    <xf numFmtId="0" fontId="5" fillId="0" borderId="38" xfId="5" applyFont="1" applyBorder="1" applyAlignment="1">
      <alignment vertical="center" wrapText="1"/>
    </xf>
    <xf numFmtId="0" fontId="5" fillId="0" borderId="39" xfId="5" applyFont="1" applyBorder="1" applyAlignment="1">
      <alignment vertical="center" wrapText="1"/>
    </xf>
    <xf numFmtId="0" fontId="5" fillId="0" borderId="15" xfId="5" applyFont="1" applyBorder="1" applyAlignment="1">
      <alignment horizontal="left" vertical="center" wrapText="1"/>
    </xf>
    <xf numFmtId="177" fontId="10" fillId="0" borderId="0" xfId="5" applyNumberFormat="1" applyFont="1" applyAlignment="1">
      <alignment vertical="center"/>
    </xf>
    <xf numFmtId="0" fontId="10" fillId="0" borderId="0" xfId="5" applyFont="1" applyAlignment="1">
      <alignment vertical="center"/>
    </xf>
    <xf numFmtId="166" fontId="31" fillId="0" borderId="0" xfId="5" applyNumberFormat="1" applyFont="1" applyAlignment="1">
      <alignment vertical="center"/>
    </xf>
    <xf numFmtId="166" fontId="27" fillId="0" borderId="0" xfId="5" applyNumberFormat="1" applyFont="1" applyAlignment="1">
      <alignment vertical="center"/>
    </xf>
    <xf numFmtId="177" fontId="12" fillId="0" borderId="0" xfId="5" applyNumberFormat="1" applyFont="1" applyAlignment="1">
      <alignment vertical="center"/>
    </xf>
    <xf numFmtId="0" fontId="12" fillId="0" borderId="0" xfId="5" applyFont="1" applyAlignment="1">
      <alignment vertical="center"/>
    </xf>
    <xf numFmtId="0" fontId="30" fillId="0" borderId="0" xfId="5" applyFont="1" applyAlignment="1">
      <alignment vertical="center"/>
    </xf>
    <xf numFmtId="43" fontId="31" fillId="0" borderId="11" xfId="13" applyFont="1" applyFill="1" applyBorder="1" applyAlignment="1">
      <alignment horizontal="right" vertical="center"/>
    </xf>
    <xf numFmtId="0" fontId="5" fillId="8" borderId="0" xfId="5" applyFont="1" applyFill="1" applyAlignment="1">
      <alignment vertical="center"/>
    </xf>
    <xf numFmtId="42" fontId="25" fillId="8" borderId="0" xfId="2" applyFont="1" applyFill="1" applyAlignment="1">
      <alignment vertical="center"/>
    </xf>
    <xf numFmtId="0" fontId="5" fillId="8" borderId="0" xfId="5" applyFont="1" applyFill="1" applyAlignment="1">
      <alignment horizontal="justify" vertical="center"/>
    </xf>
    <xf numFmtId="0" fontId="27" fillId="8" borderId="0" xfId="5" applyFont="1" applyFill="1" applyAlignment="1">
      <alignment vertical="center"/>
    </xf>
    <xf numFmtId="0" fontId="5" fillId="0" borderId="37" xfId="5" applyFont="1" applyBorder="1" applyAlignment="1">
      <alignment vertical="center" wrapText="1"/>
    </xf>
    <xf numFmtId="187" fontId="25" fillId="4" borderId="0" xfId="2" applyNumberFormat="1" applyFont="1" applyFill="1" applyBorder="1" applyAlignment="1">
      <alignment horizontal="left" vertical="center"/>
    </xf>
    <xf numFmtId="165" fontId="25" fillId="4" borderId="0" xfId="2" applyNumberFormat="1" applyFont="1" applyFill="1" applyAlignment="1">
      <alignment horizontal="right" vertical="center"/>
    </xf>
    <xf numFmtId="174" fontId="25" fillId="4" borderId="0" xfId="2" applyNumberFormat="1" applyFont="1" applyFill="1" applyAlignment="1">
      <alignment horizontal="right" vertical="center"/>
    </xf>
    <xf numFmtId="0" fontId="5" fillId="0" borderId="13" xfId="5" applyFont="1" applyBorder="1" applyAlignment="1">
      <alignment horizontal="center" vertical="center"/>
    </xf>
    <xf numFmtId="0" fontId="5" fillId="0" borderId="11" xfId="5" applyFont="1" applyBorder="1" applyAlignment="1">
      <alignment horizontal="left" vertical="center"/>
    </xf>
    <xf numFmtId="167" fontId="5" fillId="0" borderId="11" xfId="5" applyNumberFormat="1" applyFont="1" applyBorder="1" applyAlignment="1">
      <alignment horizontal="center" vertical="center"/>
    </xf>
    <xf numFmtId="171" fontId="5" fillId="0" borderId="11" xfId="5" applyNumberFormat="1" applyFont="1" applyBorder="1" applyAlignment="1">
      <alignment horizontal="center" vertical="center"/>
    </xf>
    <xf numFmtId="170" fontId="27" fillId="0" borderId="0" xfId="5" applyNumberFormat="1" applyFont="1" applyAlignment="1">
      <alignment vertical="center"/>
    </xf>
    <xf numFmtId="0" fontId="9" fillId="0" borderId="0" xfId="5" applyFont="1" applyAlignment="1">
      <alignment vertical="center"/>
    </xf>
    <xf numFmtId="0" fontId="29" fillId="0" borderId="0" xfId="5" applyFont="1" applyAlignment="1">
      <alignment vertical="center"/>
    </xf>
    <xf numFmtId="0" fontId="5" fillId="0" borderId="0" xfId="5" applyFont="1" applyAlignment="1">
      <alignment horizontal="justify" vertical="center"/>
    </xf>
    <xf numFmtId="0" fontId="9" fillId="0" borderId="0" xfId="5" applyFont="1" applyAlignment="1">
      <alignment horizontal="justify" vertical="center"/>
    </xf>
    <xf numFmtId="0" fontId="5" fillId="0" borderId="17" xfId="5" applyFont="1" applyBorder="1" applyAlignment="1">
      <alignment horizontal="left" vertical="center" wrapText="1"/>
    </xf>
    <xf numFmtId="0" fontId="5" fillId="0" borderId="7" xfId="5" applyFont="1" applyBorder="1" applyAlignment="1">
      <alignment vertical="center"/>
    </xf>
    <xf numFmtId="0" fontId="5" fillId="0" borderId="0" xfId="5" applyFont="1" applyBorder="1" applyAlignment="1">
      <alignment vertical="center"/>
    </xf>
    <xf numFmtId="167" fontId="5" fillId="0" borderId="0" xfId="5" applyNumberFormat="1" applyFont="1" applyBorder="1" applyAlignment="1">
      <alignment vertical="center"/>
    </xf>
    <xf numFmtId="0" fontId="5" fillId="0" borderId="9" xfId="5" applyFont="1" applyBorder="1" applyAlignment="1">
      <alignment vertical="center"/>
    </xf>
    <xf numFmtId="0" fontId="6" fillId="0" borderId="13" xfId="5" applyFont="1" applyBorder="1" applyAlignment="1">
      <alignment vertical="center"/>
    </xf>
    <xf numFmtId="0" fontId="5" fillId="0" borderId="0" xfId="5" applyFont="1" applyAlignment="1">
      <alignment vertical="center" wrapText="1"/>
    </xf>
    <xf numFmtId="42" fontId="25" fillId="0" borderId="0" xfId="2" applyFont="1" applyFill="1" applyAlignment="1">
      <alignment vertical="center" wrapText="1"/>
    </xf>
    <xf numFmtId="175" fontId="5" fillId="0" borderId="0" xfId="5" applyNumberFormat="1" applyFont="1" applyAlignment="1">
      <alignment horizontal="justify" vertical="center"/>
    </xf>
    <xf numFmtId="176" fontId="5" fillId="0" borderId="0" xfId="5" applyNumberFormat="1" applyFont="1" applyAlignment="1">
      <alignment vertical="center" wrapText="1"/>
    </xf>
    <xf numFmtId="0" fontId="5" fillId="0" borderId="15" xfId="5" applyFont="1" applyBorder="1" applyAlignment="1">
      <alignment horizontal="center" vertical="center"/>
    </xf>
    <xf numFmtId="9" fontId="5" fillId="0" borderId="15" xfId="3" applyFont="1" applyFill="1" applyBorder="1" applyAlignment="1">
      <alignment horizontal="center" vertical="center"/>
    </xf>
    <xf numFmtId="170" fontId="5" fillId="0" borderId="15" xfId="5" applyNumberFormat="1" applyFont="1" applyBorder="1" applyAlignment="1">
      <alignment horizontal="center" vertical="center"/>
    </xf>
    <xf numFmtId="167" fontId="5" fillId="0" borderId="15" xfId="5" applyNumberFormat="1" applyFont="1" applyBorder="1" applyAlignment="1">
      <alignment horizontal="center" vertical="center"/>
    </xf>
    <xf numFmtId="173" fontId="5" fillId="0" borderId="15" xfId="5" applyNumberFormat="1" applyFont="1" applyBorder="1" applyAlignment="1">
      <alignment horizontal="center" vertical="center"/>
    </xf>
    <xf numFmtId="174" fontId="5" fillId="0" borderId="16" xfId="5" applyNumberFormat="1" applyFont="1" applyBorder="1" applyAlignment="1">
      <alignment horizontal="center" vertical="center"/>
    </xf>
    <xf numFmtId="37" fontId="6" fillId="0" borderId="11" xfId="5" applyNumberFormat="1" applyFont="1" applyBorder="1" applyAlignment="1">
      <alignment vertical="center"/>
    </xf>
    <xf numFmtId="170" fontId="5" fillId="0" borderId="0" xfId="5" applyNumberFormat="1" applyFont="1" applyAlignment="1">
      <alignment vertical="center"/>
    </xf>
    <xf numFmtId="165" fontId="5" fillId="0" borderId="0" xfId="5" applyNumberFormat="1" applyFont="1" applyBorder="1" applyAlignment="1">
      <alignment vertical="center"/>
    </xf>
    <xf numFmtId="3" fontId="5" fillId="0" borderId="11" xfId="5" applyNumberFormat="1" applyFont="1" applyBorder="1" applyAlignment="1">
      <alignment horizontal="center" vertical="center" wrapText="1"/>
    </xf>
    <xf numFmtId="0" fontId="6" fillId="0" borderId="13" xfId="5" applyFont="1" applyBorder="1" applyAlignment="1">
      <alignment horizontal="centerContinuous" vertical="center"/>
    </xf>
    <xf numFmtId="0" fontId="6" fillId="0" borderId="15" xfId="5" applyFont="1" applyBorder="1" applyAlignment="1">
      <alignment horizontal="centerContinuous" vertical="center"/>
    </xf>
    <xf numFmtId="167" fontId="6" fillId="0" borderId="15" xfId="5" applyNumberFormat="1" applyFont="1" applyBorder="1" applyAlignment="1">
      <alignment horizontal="centerContinuous" vertical="center"/>
    </xf>
    <xf numFmtId="0" fontId="6" fillId="0" borderId="16" xfId="5" applyFont="1" applyBorder="1" applyAlignment="1">
      <alignment horizontal="centerContinuous" vertical="center"/>
    </xf>
    <xf numFmtId="0" fontId="12" fillId="0" borderId="11" xfId="5" applyFont="1" applyBorder="1" applyAlignment="1">
      <alignment horizontal="center" vertical="center" wrapText="1"/>
    </xf>
    <xf numFmtId="167" fontId="12" fillId="0" borderId="11" xfId="5" applyNumberFormat="1" applyFont="1" applyBorder="1" applyAlignment="1">
      <alignment horizontal="center" vertical="center" wrapText="1"/>
    </xf>
    <xf numFmtId="0" fontId="12" fillId="0" borderId="12" xfId="5" applyFont="1" applyBorder="1" applyAlignment="1">
      <alignment horizontal="center" vertical="center" wrapText="1"/>
    </xf>
    <xf numFmtId="167" fontId="5" fillId="0" borderId="11" xfId="3" applyNumberFormat="1" applyFont="1" applyFill="1" applyBorder="1" applyAlignment="1">
      <alignment horizontal="center" vertical="center"/>
    </xf>
    <xf numFmtId="0" fontId="10" fillId="0" borderId="15" xfId="5" applyFont="1" applyBorder="1" applyAlignment="1">
      <alignment vertical="center"/>
    </xf>
    <xf numFmtId="0" fontId="35" fillId="0" borderId="43" xfId="26" applyFont="1" applyBorder="1" applyAlignment="1">
      <alignment horizontal="left"/>
    </xf>
    <xf numFmtId="0" fontId="2" fillId="0" borderId="0" xfId="26"/>
    <xf numFmtId="0" fontId="35" fillId="0" borderId="7" xfId="26" applyFont="1" applyBorder="1" applyAlignment="1">
      <alignment horizontal="left"/>
    </xf>
    <xf numFmtId="0" fontId="36" fillId="0" borderId="0" xfId="26" applyFont="1" applyAlignment="1">
      <alignment horizontal="center"/>
    </xf>
    <xf numFmtId="0" fontId="35" fillId="0" borderId="7" xfId="26" applyFont="1" applyBorder="1" applyAlignment="1">
      <alignment horizontal="center"/>
    </xf>
    <xf numFmtId="0" fontId="37" fillId="0" borderId="7" xfId="26" applyFont="1" applyBorder="1" applyAlignment="1">
      <alignment horizontal="left"/>
    </xf>
    <xf numFmtId="0" fontId="2" fillId="0" borderId="7" xfId="26" applyBorder="1"/>
    <xf numFmtId="0" fontId="39" fillId="0" borderId="0" xfId="29" applyFont="1" applyAlignment="1">
      <alignment horizontal="center" vertical="center" wrapText="1"/>
    </xf>
    <xf numFmtId="0" fontId="39" fillId="0" borderId="0" xfId="29" applyFont="1" applyAlignment="1">
      <alignment vertical="center" wrapText="1"/>
    </xf>
    <xf numFmtId="0" fontId="38" fillId="9" borderId="45" xfId="26" applyFont="1" applyFill="1" applyBorder="1" applyAlignment="1">
      <alignment horizontal="center"/>
    </xf>
    <xf numFmtId="0" fontId="38" fillId="9" borderId="46" xfId="26" applyFont="1" applyFill="1" applyBorder="1" applyAlignment="1">
      <alignment horizontal="center"/>
    </xf>
    <xf numFmtId="0" fontId="38" fillId="9" borderId="49" xfId="26" applyFont="1" applyFill="1" applyBorder="1" applyAlignment="1">
      <alignment horizontal="center"/>
    </xf>
    <xf numFmtId="0" fontId="38" fillId="0" borderId="0" xfId="26" applyFont="1"/>
    <xf numFmtId="0" fontId="36" fillId="0" borderId="7" xfId="26" applyFont="1" applyBorder="1"/>
    <xf numFmtId="189" fontId="2" fillId="0" borderId="7" xfId="31" applyFont="1" applyBorder="1" applyAlignment="1">
      <alignment horizontal="right" wrapText="1"/>
    </xf>
    <xf numFmtId="0" fontId="2" fillId="0" borderId="0" xfId="20"/>
    <xf numFmtId="190" fontId="2" fillId="0" borderId="0" xfId="32" applyFont="1"/>
    <xf numFmtId="0" fontId="2" fillId="0" borderId="7" xfId="20" applyBorder="1" applyAlignment="1">
      <alignment horizontal="right"/>
    </xf>
    <xf numFmtId="0" fontId="37" fillId="0" borderId="0" xfId="20" applyFont="1"/>
    <xf numFmtId="0" fontId="40" fillId="0" borderId="0" xfId="20" applyFont="1"/>
    <xf numFmtId="0" fontId="2" fillId="0" borderId="23" xfId="20" applyBorder="1" applyAlignment="1">
      <alignment horizontal="right"/>
    </xf>
    <xf numFmtId="0" fontId="2" fillId="0" borderId="24" xfId="20" applyBorder="1"/>
    <xf numFmtId="0" fontId="36" fillId="0" borderId="0" xfId="26" applyFont="1"/>
    <xf numFmtId="0" fontId="41" fillId="0" borderId="0" xfId="26" applyFont="1"/>
    <xf numFmtId="0" fontId="10" fillId="0" borderId="0" xfId="5" applyFont="1" applyBorder="1" applyAlignment="1">
      <alignment vertical="center" wrapText="1"/>
    </xf>
    <xf numFmtId="0" fontId="36" fillId="0" borderId="30" xfId="26" applyFont="1" applyBorder="1"/>
    <xf numFmtId="0" fontId="10" fillId="0" borderId="30" xfId="5" applyFont="1" applyBorder="1" applyAlignment="1">
      <alignment vertical="center" wrapText="1"/>
    </xf>
    <xf numFmtId="0" fontId="38" fillId="0" borderId="30" xfId="26" applyFont="1" applyBorder="1"/>
    <xf numFmtId="0" fontId="36" fillId="0" borderId="35" xfId="26" applyFont="1" applyBorder="1"/>
    <xf numFmtId="0" fontId="10" fillId="0" borderId="35" xfId="5" applyFont="1" applyBorder="1" applyAlignment="1">
      <alignment vertical="center" wrapText="1"/>
    </xf>
    <xf numFmtId="191" fontId="36" fillId="0" borderId="0" xfId="26" applyNumberFormat="1" applyFont="1" applyAlignment="1">
      <alignment horizontal="center"/>
    </xf>
    <xf numFmtId="191" fontId="39" fillId="0" borderId="0" xfId="29" applyNumberFormat="1" applyFont="1" applyAlignment="1">
      <alignment horizontal="center" vertical="center" wrapText="1"/>
    </xf>
    <xf numFmtId="191" fontId="38" fillId="9" borderId="47" xfId="26" applyNumberFormat="1" applyFont="1" applyFill="1" applyBorder="1" applyAlignment="1">
      <alignment horizontal="center" wrapText="1"/>
    </xf>
    <xf numFmtId="191" fontId="10" fillId="0" borderId="0" xfId="5" applyNumberFormat="1" applyFont="1" applyBorder="1" applyAlignment="1">
      <alignment vertical="center" wrapText="1"/>
    </xf>
    <xf numFmtId="191" fontId="38" fillId="0" borderId="0" xfId="30" applyNumberFormat="1" applyFont="1" applyFill="1" applyBorder="1"/>
    <xf numFmtId="191" fontId="2" fillId="0" borderId="0" xfId="20" applyNumberFormat="1"/>
    <xf numFmtId="191" fontId="2" fillId="0" borderId="24" xfId="20" applyNumberFormat="1" applyBorder="1"/>
    <xf numFmtId="191" fontId="2" fillId="0" borderId="0" xfId="26" applyNumberFormat="1"/>
    <xf numFmtId="191" fontId="38" fillId="9" borderId="48" xfId="26" applyNumberFormat="1" applyFont="1" applyFill="1" applyBorder="1" applyAlignment="1">
      <alignment horizontal="center" wrapText="1"/>
    </xf>
    <xf numFmtId="0" fontId="0" fillId="0" borderId="0" xfId="0" applyAlignment="1">
      <alignment horizontal="center"/>
    </xf>
    <xf numFmtId="191" fontId="10" fillId="0" borderId="35" xfId="5" applyNumberFormat="1" applyFont="1" applyBorder="1" applyAlignment="1">
      <alignment horizontal="center" vertical="center" wrapText="1"/>
    </xf>
    <xf numFmtId="191" fontId="10" fillId="0" borderId="30" xfId="5" applyNumberFormat="1" applyFont="1" applyBorder="1" applyAlignment="1">
      <alignment horizontal="center" vertical="center" wrapText="1"/>
    </xf>
    <xf numFmtId="191" fontId="10" fillId="0" borderId="30" xfId="5" applyNumberFormat="1" applyFont="1" applyBorder="1" applyAlignment="1">
      <alignment horizontal="center" vertical="center"/>
    </xf>
    <xf numFmtId="188" fontId="38" fillId="9" borderId="35" xfId="30" applyFont="1" applyFill="1" applyBorder="1" applyAlignment="1">
      <alignment vertical="center"/>
    </xf>
    <xf numFmtId="191" fontId="10" fillId="6" borderId="30" xfId="5" applyNumberFormat="1" applyFont="1" applyFill="1" applyBorder="1" applyAlignment="1">
      <alignment horizontal="center" vertical="center" wrapText="1"/>
    </xf>
    <xf numFmtId="42" fontId="0" fillId="0" borderId="0" xfId="2" applyFont="1"/>
    <xf numFmtId="188" fontId="38" fillId="11" borderId="35" xfId="30" applyFont="1" applyFill="1" applyBorder="1" applyAlignment="1">
      <alignment vertical="center"/>
    </xf>
    <xf numFmtId="191" fontId="10" fillId="11" borderId="30" xfId="5" applyNumberFormat="1" applyFont="1" applyFill="1" applyBorder="1" applyAlignment="1">
      <alignment horizontal="center" vertical="center" wrapText="1"/>
    </xf>
    <xf numFmtId="191" fontId="10" fillId="12" borderId="30" xfId="5" applyNumberFormat="1" applyFont="1" applyFill="1" applyBorder="1" applyAlignment="1">
      <alignment horizontal="center" vertical="center" wrapText="1"/>
    </xf>
    <xf numFmtId="191" fontId="10" fillId="13" borderId="35" xfId="5" applyNumberFormat="1" applyFont="1" applyFill="1" applyBorder="1" applyAlignment="1">
      <alignment horizontal="center" vertical="center" wrapText="1"/>
    </xf>
    <xf numFmtId="191" fontId="10" fillId="13" borderId="30" xfId="5" applyNumberFormat="1" applyFont="1" applyFill="1" applyBorder="1" applyAlignment="1">
      <alignment horizontal="center" vertical="center" wrapText="1"/>
    </xf>
    <xf numFmtId="0" fontId="43" fillId="10" borderId="30" xfId="0" applyFont="1" applyFill="1" applyBorder="1" applyAlignment="1">
      <alignment horizontal="center" vertical="center"/>
    </xf>
    <xf numFmtId="0" fontId="42" fillId="6" borderId="47" xfId="0" applyFont="1" applyFill="1" applyBorder="1" applyAlignment="1">
      <alignment horizontal="center" vertical="center"/>
    </xf>
    <xf numFmtId="0" fontId="42" fillId="6" borderId="48" xfId="0" applyFont="1" applyFill="1" applyBorder="1" applyAlignment="1">
      <alignment horizontal="center" vertical="center" wrapText="1"/>
    </xf>
    <xf numFmtId="42" fontId="42" fillId="6" borderId="55" xfId="2" applyFont="1" applyFill="1" applyBorder="1" applyAlignment="1">
      <alignment horizontal="center" vertical="center" wrapText="1"/>
    </xf>
    <xf numFmtId="42" fontId="42" fillId="6" borderId="48" xfId="2" applyFont="1" applyFill="1" applyBorder="1" applyAlignment="1">
      <alignment horizontal="center" vertical="center" wrapText="1"/>
    </xf>
    <xf numFmtId="42" fontId="42" fillId="6" borderId="49" xfId="2" applyFont="1" applyFill="1" applyBorder="1" applyAlignment="1">
      <alignment horizontal="center" vertical="center" wrapText="1"/>
    </xf>
    <xf numFmtId="0" fontId="0" fillId="0" borderId="0" xfId="0" applyAlignment="1">
      <alignment vertical="center"/>
    </xf>
    <xf numFmtId="42" fontId="0" fillId="0" borderId="48" xfId="2" applyFont="1" applyBorder="1" applyAlignment="1">
      <alignment vertical="center" wrapText="1"/>
    </xf>
    <xf numFmtId="0" fontId="45" fillId="0" borderId="0" xfId="0" applyFont="1" applyAlignment="1">
      <alignment horizontal="center" vertical="center"/>
    </xf>
    <xf numFmtId="0" fontId="46" fillId="10" borderId="30" xfId="0" applyFont="1" applyFill="1" applyBorder="1" applyAlignment="1">
      <alignment horizontal="center" vertical="center" wrapText="1"/>
    </xf>
    <xf numFmtId="0" fontId="47" fillId="0" borderId="30" xfId="0" applyFont="1" applyBorder="1" applyAlignment="1">
      <alignment horizontal="center" vertical="center"/>
    </xf>
    <xf numFmtId="186" fontId="45" fillId="0" borderId="30" xfId="0" applyNumberFormat="1" applyFont="1" applyBorder="1" applyAlignment="1">
      <alignment horizontal="center" vertical="center"/>
    </xf>
    <xf numFmtId="0" fontId="45" fillId="0" borderId="0" xfId="0" applyFont="1" applyAlignment="1">
      <alignment horizontal="justify" vertical="center"/>
    </xf>
    <xf numFmtId="186" fontId="48" fillId="0" borderId="68" xfId="0" applyNumberFormat="1" applyFont="1" applyBorder="1" applyAlignment="1">
      <alignment horizontal="center" vertical="center"/>
    </xf>
    <xf numFmtId="0" fontId="45" fillId="10" borderId="26" xfId="0" applyFont="1" applyFill="1" applyBorder="1" applyAlignment="1">
      <alignment horizontal="justify" vertical="center"/>
    </xf>
    <xf numFmtId="0" fontId="45" fillId="10" borderId="27" xfId="0" applyFont="1" applyFill="1" applyBorder="1" applyAlignment="1">
      <alignment horizontal="center" vertical="center"/>
    </xf>
    <xf numFmtId="0" fontId="43" fillId="10" borderId="27" xfId="0" applyFont="1" applyFill="1" applyBorder="1" applyAlignment="1">
      <alignment horizontal="center" vertical="center"/>
    </xf>
    <xf numFmtId="0" fontId="45" fillId="0" borderId="44" xfId="0" applyFont="1" applyBorder="1" applyAlignment="1">
      <alignment horizontal="center" vertical="center"/>
    </xf>
    <xf numFmtId="0" fontId="46" fillId="10" borderId="29" xfId="0" applyFont="1" applyFill="1" applyBorder="1" applyAlignment="1">
      <alignment horizontal="center" vertical="center" wrapText="1"/>
    </xf>
    <xf numFmtId="0" fontId="46" fillId="0" borderId="0" xfId="0" applyFont="1" applyAlignment="1">
      <alignment horizontal="center" vertical="center" wrapText="1"/>
    </xf>
    <xf numFmtId="0" fontId="45" fillId="0" borderId="0" xfId="0" applyFont="1" applyAlignment="1">
      <alignment horizontal="center" vertical="center" wrapText="1"/>
    </xf>
    <xf numFmtId="0" fontId="10" fillId="0" borderId="29" xfId="5" applyFont="1" applyBorder="1" applyAlignment="1">
      <alignment vertical="center" wrapText="1"/>
    </xf>
    <xf numFmtId="191" fontId="10" fillId="0" borderId="32" xfId="5" applyNumberFormat="1" applyFont="1" applyBorder="1" applyAlignment="1">
      <alignment horizontal="center" vertical="center" wrapText="1"/>
    </xf>
    <xf numFmtId="0" fontId="45" fillId="0" borderId="24" xfId="0" applyFont="1" applyBorder="1" applyAlignment="1">
      <alignment horizontal="center" vertical="center" wrapText="1"/>
    </xf>
    <xf numFmtId="186" fontId="48" fillId="0" borderId="67" xfId="0" applyNumberFormat="1" applyFont="1" applyBorder="1" applyAlignment="1">
      <alignment horizontal="center" vertical="center"/>
    </xf>
    <xf numFmtId="186" fontId="48" fillId="0" borderId="48" xfId="0" applyNumberFormat="1" applyFont="1" applyBorder="1" applyAlignment="1">
      <alignment horizontal="center" vertical="center"/>
    </xf>
    <xf numFmtId="42" fontId="0" fillId="0" borderId="55" xfId="2" applyFont="1" applyBorder="1" applyAlignment="1">
      <alignment vertical="center"/>
    </xf>
    <xf numFmtId="0" fontId="43" fillId="10" borderId="0" xfId="0" applyFont="1" applyFill="1" applyAlignment="1">
      <alignment horizontal="center" vertical="center"/>
    </xf>
    <xf numFmtId="0" fontId="10" fillId="11" borderId="35" xfId="5" applyFont="1" applyFill="1" applyBorder="1" applyAlignment="1">
      <alignment vertical="center" wrapText="1"/>
    </xf>
    <xf numFmtId="0" fontId="10" fillId="11" borderId="30" xfId="5" applyFont="1" applyFill="1" applyBorder="1" applyAlignment="1">
      <alignment vertical="center" wrapText="1"/>
    </xf>
    <xf numFmtId="188" fontId="38" fillId="9" borderId="48" xfId="30" applyFont="1" applyFill="1" applyBorder="1" applyAlignment="1">
      <alignment vertical="center"/>
    </xf>
    <xf numFmtId="188" fontId="38" fillId="9" borderId="46" xfId="30" applyFont="1" applyFill="1" applyBorder="1" applyAlignment="1">
      <alignment vertical="center"/>
    </xf>
    <xf numFmtId="0" fontId="10" fillId="0" borderId="23" xfId="5" applyFont="1" applyBorder="1" applyAlignment="1">
      <alignment vertical="center" wrapText="1"/>
    </xf>
    <xf numFmtId="0" fontId="45" fillId="0" borderId="29" xfId="0" applyFont="1" applyBorder="1" applyAlignment="1">
      <alignment horizontal="justify" vertical="center" wrapText="1"/>
    </xf>
    <xf numFmtId="0" fontId="10" fillId="0" borderId="31" xfId="5" applyFont="1" applyBorder="1" applyAlignment="1">
      <alignment vertical="center" wrapText="1"/>
    </xf>
    <xf numFmtId="0" fontId="51" fillId="10" borderId="30" xfId="0" applyFont="1" applyFill="1" applyBorder="1" applyAlignment="1">
      <alignment horizontal="center" vertical="center"/>
    </xf>
    <xf numFmtId="192" fontId="5" fillId="0" borderId="11" xfId="5" applyNumberFormat="1" applyFont="1" applyBorder="1" applyAlignment="1">
      <alignment horizontal="center" vertical="center" wrapText="1"/>
    </xf>
    <xf numFmtId="10" fontId="5" fillId="0" borderId="0" xfId="5" applyNumberFormat="1" applyFont="1" applyAlignment="1">
      <alignment horizontal="center" vertical="center" wrapText="1"/>
    </xf>
    <xf numFmtId="0" fontId="22" fillId="6" borderId="26" xfId="33" applyFont="1" applyFill="1" applyBorder="1" applyAlignment="1">
      <alignment horizontal="center" vertical="center"/>
    </xf>
    <xf numFmtId="0" fontId="22" fillId="6" borderId="27" xfId="33" applyFont="1" applyFill="1" applyBorder="1" applyAlignment="1">
      <alignment horizontal="center" vertical="center"/>
    </xf>
    <xf numFmtId="193" fontId="22" fillId="6" borderId="27" xfId="33" applyNumberFormat="1" applyFont="1" applyFill="1" applyBorder="1" applyAlignment="1">
      <alignment horizontal="center" vertical="center"/>
    </xf>
    <xf numFmtId="0" fontId="23" fillId="0" borderId="27" xfId="33" applyFont="1" applyBorder="1" applyAlignment="1">
      <alignment horizontal="center" vertical="center"/>
    </xf>
    <xf numFmtId="0" fontId="23" fillId="0" borderId="27" xfId="33" applyFont="1" applyBorder="1" applyAlignment="1">
      <alignment horizontal="center" vertical="center" wrapText="1"/>
    </xf>
    <xf numFmtId="182" fontId="23" fillId="0" borderId="27" xfId="34" applyNumberFormat="1" applyFont="1" applyFill="1" applyBorder="1" applyAlignment="1">
      <alignment horizontal="center" vertical="center" wrapText="1"/>
    </xf>
    <xf numFmtId="10" fontId="22" fillId="6" borderId="28" xfId="35" applyNumberFormat="1" applyFont="1" applyFill="1" applyBorder="1" applyAlignment="1">
      <alignment horizontal="center" vertical="center"/>
    </xf>
    <xf numFmtId="0" fontId="19" fillId="0" borderId="0" xfId="33" applyFont="1"/>
    <xf numFmtId="0" fontId="22" fillId="6" borderId="29" xfId="33" applyFont="1" applyFill="1" applyBorder="1" applyAlignment="1">
      <alignment horizontal="center" vertical="center"/>
    </xf>
    <xf numFmtId="0" fontId="22" fillId="6" borderId="30" xfId="33" applyFont="1" applyFill="1" applyBorder="1" applyAlignment="1">
      <alignment horizontal="center" vertical="center"/>
    </xf>
    <xf numFmtId="193" fontId="22" fillId="6" borderId="30" xfId="33" applyNumberFormat="1" applyFont="1" applyFill="1" applyBorder="1" applyAlignment="1">
      <alignment horizontal="center" vertical="center" wrapText="1"/>
    </xf>
    <xf numFmtId="0" fontId="23" fillId="0" borderId="30" xfId="33" applyFont="1" applyBorder="1" applyAlignment="1">
      <alignment horizontal="center" vertical="center" wrapText="1"/>
    </xf>
    <xf numFmtId="182" fontId="23" fillId="0" borderId="30" xfId="34" applyNumberFormat="1" applyFont="1" applyFill="1" applyBorder="1" applyAlignment="1">
      <alignment horizontal="center" vertical="center" wrapText="1"/>
    </xf>
    <xf numFmtId="0" fontId="22" fillId="6" borderId="30" xfId="33" applyFont="1" applyFill="1" applyBorder="1" applyAlignment="1">
      <alignment horizontal="center" vertical="center" wrapText="1"/>
    </xf>
    <xf numFmtId="10" fontId="22" fillId="6" borderId="22" xfId="35" applyNumberFormat="1" applyFont="1" applyFill="1" applyBorder="1" applyAlignment="1">
      <alignment horizontal="center" vertical="center"/>
    </xf>
    <xf numFmtId="0" fontId="19" fillId="6" borderId="31" xfId="33" applyFont="1" applyFill="1" applyBorder="1" applyAlignment="1">
      <alignment horizontal="center" vertical="center"/>
    </xf>
    <xf numFmtId="0" fontId="22" fillId="6" borderId="32" xfId="33" applyFont="1" applyFill="1" applyBorder="1" applyAlignment="1">
      <alignment horizontal="center" vertical="center" wrapText="1"/>
    </xf>
    <xf numFmtId="193" fontId="22" fillId="6" borderId="32" xfId="33" applyNumberFormat="1" applyFont="1" applyFill="1" applyBorder="1" applyAlignment="1">
      <alignment horizontal="center" vertical="center" wrapText="1"/>
    </xf>
    <xf numFmtId="0" fontId="23" fillId="0" borderId="32" xfId="33" applyFont="1" applyBorder="1" applyAlignment="1">
      <alignment horizontal="center" vertical="center"/>
    </xf>
    <xf numFmtId="0" fontId="23" fillId="0" borderId="32" xfId="33" applyFont="1" applyBorder="1" applyAlignment="1">
      <alignment horizontal="center" vertical="center" wrapText="1"/>
    </xf>
    <xf numFmtId="49" fontId="23" fillId="0" borderId="32" xfId="33" applyNumberFormat="1" applyFont="1" applyBorder="1" applyAlignment="1">
      <alignment horizontal="center" vertical="center"/>
    </xf>
    <xf numFmtId="182" fontId="23" fillId="0" borderId="32" xfId="34" applyNumberFormat="1" applyFont="1" applyFill="1" applyBorder="1" applyAlignment="1">
      <alignment horizontal="center" vertical="center"/>
    </xf>
    <xf numFmtId="0" fontId="22" fillId="6" borderId="32" xfId="33" applyFont="1" applyFill="1" applyBorder="1" applyAlignment="1">
      <alignment horizontal="center" vertical="center"/>
    </xf>
    <xf numFmtId="10" fontId="22" fillId="6" borderId="33" xfId="35" applyNumberFormat="1" applyFont="1" applyFill="1" applyBorder="1" applyAlignment="1">
      <alignment horizontal="center" vertical="center" wrapText="1"/>
    </xf>
    <xf numFmtId="0" fontId="19" fillId="0" borderId="34" xfId="33" applyFont="1" applyBorder="1" applyAlignment="1">
      <alignment vertical="center" wrapText="1"/>
    </xf>
    <xf numFmtId="0" fontId="21" fillId="0" borderId="35" xfId="33" applyFont="1" applyBorder="1" applyAlignment="1">
      <alignment horizontal="center"/>
    </xf>
    <xf numFmtId="193" fontId="21" fillId="0" borderId="30" xfId="36" applyNumberFormat="1" applyFont="1" applyFill="1" applyBorder="1" applyAlignment="1"/>
    <xf numFmtId="184" fontId="20" fillId="0" borderId="35" xfId="33" applyNumberFormat="1" applyFont="1" applyBorder="1"/>
    <xf numFmtId="10" fontId="20" fillId="0" borderId="35" xfId="35" applyNumberFormat="1" applyFont="1" applyFill="1" applyBorder="1"/>
    <xf numFmtId="10" fontId="19" fillId="0" borderId="35" xfId="35" applyNumberFormat="1" applyFont="1" applyFill="1" applyBorder="1"/>
    <xf numFmtId="182" fontId="19" fillId="0" borderId="35" xfId="34" applyNumberFormat="1" applyFont="1" applyFill="1" applyBorder="1"/>
    <xf numFmtId="43" fontId="21" fillId="0" borderId="35" xfId="36" applyFont="1" applyFill="1" applyBorder="1"/>
    <xf numFmtId="180" fontId="21" fillId="0" borderId="35" xfId="35" applyNumberFormat="1" applyFont="1" applyFill="1" applyBorder="1"/>
    <xf numFmtId="180" fontId="19" fillId="0" borderId="35" xfId="35" applyNumberFormat="1" applyFont="1" applyFill="1" applyBorder="1"/>
    <xf numFmtId="10" fontId="19" fillId="0" borderId="71" xfId="35" applyNumberFormat="1" applyFont="1" applyFill="1" applyBorder="1"/>
    <xf numFmtId="0" fontId="19" fillId="0" borderId="29" xfId="33" applyFont="1" applyBorder="1" applyAlignment="1">
      <alignment vertical="center" wrapText="1"/>
    </xf>
    <xf numFmtId="0" fontId="21" fillId="0" borderId="30" xfId="33" applyFont="1" applyBorder="1" applyAlignment="1">
      <alignment horizontal="center"/>
    </xf>
    <xf numFmtId="184" fontId="20" fillId="0" borderId="30" xfId="33" applyNumberFormat="1" applyFont="1" applyBorder="1"/>
    <xf numFmtId="43" fontId="21" fillId="0" borderId="30" xfId="36" applyFont="1" applyFill="1" applyBorder="1"/>
    <xf numFmtId="180" fontId="21" fillId="0" borderId="30" xfId="35" applyNumberFormat="1" applyFont="1" applyFill="1" applyBorder="1"/>
    <xf numFmtId="180" fontId="19" fillId="0" borderId="30" xfId="35" applyNumberFormat="1" applyFont="1" applyFill="1" applyBorder="1"/>
    <xf numFmtId="0" fontId="19" fillId="0" borderId="30" xfId="33" applyFont="1" applyBorder="1"/>
    <xf numFmtId="0" fontId="19" fillId="14" borderId="29" xfId="33" applyFont="1" applyFill="1" applyBorder="1" applyAlignment="1">
      <alignment vertical="center" wrapText="1"/>
    </xf>
    <xf numFmtId="0" fontId="21" fillId="14" borderId="30" xfId="33" applyFont="1" applyFill="1" applyBorder="1" applyAlignment="1">
      <alignment horizontal="center"/>
    </xf>
    <xf numFmtId="193" fontId="21" fillId="14" borderId="30" xfId="36" applyNumberFormat="1" applyFont="1" applyFill="1" applyBorder="1" applyAlignment="1"/>
    <xf numFmtId="184" fontId="20" fillId="14" borderId="30" xfId="33" applyNumberFormat="1" applyFont="1" applyFill="1" applyBorder="1"/>
    <xf numFmtId="184" fontId="20" fillId="14" borderId="35" xfId="33" applyNumberFormat="1" applyFont="1" applyFill="1" applyBorder="1"/>
    <xf numFmtId="10" fontId="20" fillId="14" borderId="35" xfId="35" applyNumberFormat="1" applyFont="1" applyFill="1" applyBorder="1"/>
    <xf numFmtId="10" fontId="19" fillId="14" borderId="35" xfId="35" applyNumberFormat="1" applyFont="1" applyFill="1" applyBorder="1"/>
    <xf numFmtId="182" fontId="19" fillId="14" borderId="35" xfId="34" applyNumberFormat="1" applyFont="1" applyFill="1" applyBorder="1"/>
    <xf numFmtId="43" fontId="21" fillId="14" borderId="30" xfId="36" applyFont="1" applyFill="1" applyBorder="1"/>
    <xf numFmtId="180" fontId="21" fillId="14" borderId="30" xfId="35" applyNumberFormat="1" applyFont="1" applyFill="1" applyBorder="1"/>
    <xf numFmtId="180" fontId="19" fillId="14" borderId="30" xfId="35" applyNumberFormat="1" applyFont="1" applyFill="1" applyBorder="1"/>
    <xf numFmtId="10" fontId="19" fillId="14" borderId="71" xfId="35" applyNumberFormat="1" applyFont="1" applyFill="1" applyBorder="1"/>
    <xf numFmtId="0" fontId="19" fillId="11" borderId="0" xfId="33" applyFont="1" applyFill="1"/>
    <xf numFmtId="10" fontId="20" fillId="14" borderId="30" xfId="35" applyNumberFormat="1" applyFont="1" applyFill="1" applyBorder="1"/>
    <xf numFmtId="10" fontId="19" fillId="14" borderId="72" xfId="35" applyNumberFormat="1" applyFont="1" applyFill="1" applyBorder="1"/>
    <xf numFmtId="0" fontId="22" fillId="0" borderId="47" xfId="37" applyFont="1" applyBorder="1"/>
    <xf numFmtId="0" fontId="22" fillId="0" borderId="55" xfId="37" applyFont="1" applyBorder="1"/>
    <xf numFmtId="10" fontId="21" fillId="0" borderId="49" xfId="24" applyNumberFormat="1" applyFont="1" applyFill="1" applyBorder="1"/>
    <xf numFmtId="0" fontId="20" fillId="0" borderId="55" xfId="37" applyFont="1" applyBorder="1"/>
    <xf numFmtId="183" fontId="21" fillId="0" borderId="55" xfId="38" applyNumberFormat="1" applyFont="1" applyFill="1" applyBorder="1" applyAlignment="1"/>
    <xf numFmtId="184" fontId="20" fillId="0" borderId="55" xfId="37" applyNumberFormat="1" applyFont="1" applyBorder="1"/>
    <xf numFmtId="184" fontId="20" fillId="0" borderId="73" xfId="37" applyNumberFormat="1" applyFont="1" applyBorder="1"/>
    <xf numFmtId="184" fontId="20" fillId="0" borderId="74" xfId="37" applyNumberFormat="1" applyFont="1" applyBorder="1"/>
    <xf numFmtId="10" fontId="20" fillId="0" borderId="74" xfId="24" applyNumberFormat="1" applyFont="1" applyFill="1" applyBorder="1"/>
    <xf numFmtId="182" fontId="20" fillId="0" borderId="74" xfId="39" applyNumberFormat="1" applyFont="1" applyFill="1" applyBorder="1"/>
    <xf numFmtId="43" fontId="54" fillId="0" borderId="74" xfId="38" applyFont="1" applyFill="1" applyBorder="1" applyAlignment="1">
      <alignment horizontal="left" indent="3"/>
    </xf>
    <xf numFmtId="180" fontId="23" fillId="0" borderId="74" xfId="24" applyNumberFormat="1" applyFont="1" applyFill="1" applyBorder="1"/>
    <xf numFmtId="180" fontId="19" fillId="0" borderId="46" xfId="24" applyNumberFormat="1" applyFont="1" applyFill="1" applyBorder="1"/>
    <xf numFmtId="0" fontId="20" fillId="0" borderId="0" xfId="33" applyFont="1"/>
    <xf numFmtId="0" fontId="20" fillId="0" borderId="0" xfId="33" applyFont="1" applyAlignment="1">
      <alignment horizontal="center"/>
    </xf>
    <xf numFmtId="193" fontId="20" fillId="0" borderId="0" xfId="33" applyNumberFormat="1" applyFont="1" applyAlignment="1">
      <alignment horizontal="center"/>
    </xf>
    <xf numFmtId="184" fontId="20" fillId="0" borderId="0" xfId="33" applyNumberFormat="1" applyFont="1"/>
    <xf numFmtId="9" fontId="20" fillId="0" borderId="0" xfId="35" applyFont="1" applyFill="1" applyBorder="1"/>
    <xf numFmtId="10" fontId="20" fillId="0" borderId="0" xfId="35" applyNumberFormat="1" applyFont="1" applyFill="1" applyBorder="1"/>
    <xf numFmtId="185" fontId="20" fillId="0" borderId="0" xfId="40" applyNumberFormat="1" applyFont="1" applyFill="1" applyBorder="1" applyAlignment="1">
      <alignment horizontal="center"/>
    </xf>
    <xf numFmtId="185" fontId="20" fillId="0" borderId="0" xfId="33" applyNumberFormat="1" applyFont="1"/>
    <xf numFmtId="182" fontId="20" fillId="0" borderId="0" xfId="34" applyNumberFormat="1" applyFont="1" applyFill="1" applyBorder="1"/>
    <xf numFmtId="0" fontId="19" fillId="0" borderId="0" xfId="33" applyFont="1" applyAlignment="1">
      <alignment horizontal="center"/>
    </xf>
    <xf numFmtId="193" fontId="19" fillId="0" borderId="0" xfId="33" applyNumberFormat="1" applyFont="1" applyAlignment="1">
      <alignment horizontal="center"/>
    </xf>
    <xf numFmtId="0" fontId="21" fillId="0" borderId="0" xfId="33" applyFont="1"/>
    <xf numFmtId="0" fontId="21" fillId="0" borderId="0" xfId="33" applyFont="1" applyAlignment="1">
      <alignment horizontal="center"/>
    </xf>
    <xf numFmtId="182" fontId="21" fillId="0" borderId="0" xfId="34" applyNumberFormat="1" applyFont="1"/>
    <xf numFmtId="10" fontId="21" fillId="0" borderId="0" xfId="35" applyNumberFormat="1" applyFont="1"/>
    <xf numFmtId="42" fontId="10" fillId="0" borderId="12" xfId="2" applyFont="1" applyFill="1" applyBorder="1" applyAlignment="1">
      <alignment horizontal="center" vertical="center"/>
    </xf>
    <xf numFmtId="42" fontId="6" fillId="0" borderId="12" xfId="2" applyFont="1" applyBorder="1" applyAlignment="1">
      <alignment horizontal="center" vertical="center"/>
    </xf>
    <xf numFmtId="42" fontId="6" fillId="5" borderId="12" xfId="2" applyFont="1" applyFill="1" applyBorder="1" applyAlignment="1">
      <alignment horizontal="center" vertical="center"/>
    </xf>
    <xf numFmtId="42" fontId="5" fillId="0" borderId="12" xfId="2" applyFont="1" applyBorder="1" applyAlignment="1">
      <alignment horizontal="center" vertical="center" wrapText="1"/>
    </xf>
    <xf numFmtId="42" fontId="5" fillId="0" borderId="11" xfId="2" applyFont="1" applyBorder="1" applyAlignment="1">
      <alignment horizontal="center" vertical="center"/>
    </xf>
    <xf numFmtId="42" fontId="5" fillId="0" borderId="12" xfId="2" applyFont="1" applyBorder="1" applyAlignment="1">
      <alignment horizontal="center" vertical="center"/>
    </xf>
    <xf numFmtId="42" fontId="10" fillId="0" borderId="15" xfId="2" applyFont="1" applyFill="1" applyBorder="1" applyAlignment="1">
      <alignment horizontal="right" vertical="center"/>
    </xf>
    <xf numFmtId="0" fontId="0" fillId="0" borderId="47" xfId="0" applyBorder="1" applyAlignment="1">
      <alignment vertical="center" wrapText="1"/>
    </xf>
    <xf numFmtId="0" fontId="0" fillId="0" borderId="48" xfId="0" applyBorder="1" applyAlignment="1">
      <alignment vertical="center"/>
    </xf>
    <xf numFmtId="42" fontId="0" fillId="0" borderId="48" xfId="2" applyFont="1" applyBorder="1" applyAlignment="1">
      <alignment vertical="center"/>
    </xf>
    <xf numFmtId="42" fontId="0" fillId="0" borderId="49" xfId="2" applyFont="1" applyBorder="1" applyAlignment="1">
      <alignment vertical="center"/>
    </xf>
    <xf numFmtId="0" fontId="0" fillId="0" borderId="4" xfId="0" applyBorder="1" applyAlignment="1">
      <alignment vertical="center"/>
    </xf>
    <xf numFmtId="42" fontId="0" fillId="0" borderId="56" xfId="2" applyFont="1" applyBorder="1" applyAlignment="1">
      <alignment vertical="center"/>
    </xf>
    <xf numFmtId="42" fontId="0" fillId="0" borderId="2" xfId="2" applyFont="1" applyBorder="1" applyAlignment="1">
      <alignment vertical="center"/>
    </xf>
    <xf numFmtId="0" fontId="0" fillId="0" borderId="56" xfId="0" applyBorder="1" applyAlignment="1">
      <alignment vertical="center"/>
    </xf>
    <xf numFmtId="42" fontId="0" fillId="0" borderId="3" xfId="2" applyFont="1" applyBorder="1" applyAlignment="1">
      <alignment vertical="center"/>
    </xf>
    <xf numFmtId="42" fontId="0" fillId="0" borderId="57" xfId="2" applyFont="1" applyBorder="1" applyAlignment="1">
      <alignment vertical="center"/>
    </xf>
    <xf numFmtId="42" fontId="0" fillId="0" borderId="36" xfId="2" applyFont="1" applyBorder="1" applyAlignment="1">
      <alignment vertical="center"/>
    </xf>
    <xf numFmtId="0" fontId="0" fillId="0" borderId="69" xfId="0" applyBorder="1" applyAlignment="1">
      <alignment vertical="center"/>
    </xf>
    <xf numFmtId="42" fontId="0" fillId="0" borderId="69" xfId="2" applyFont="1" applyBorder="1" applyAlignment="1">
      <alignment vertical="center"/>
    </xf>
    <xf numFmtId="42" fontId="0" fillId="0" borderId="70" xfId="2" applyFont="1" applyBorder="1" applyAlignment="1">
      <alignment vertical="center"/>
    </xf>
    <xf numFmtId="42" fontId="0" fillId="0" borderId="5" xfId="2" applyFont="1" applyBorder="1" applyAlignment="1">
      <alignment vertical="center"/>
    </xf>
    <xf numFmtId="0" fontId="0" fillId="0" borderId="57" xfId="0" applyBorder="1" applyAlignment="1">
      <alignment vertical="center"/>
    </xf>
    <xf numFmtId="42" fontId="0" fillId="0" borderId="6" xfId="2" applyFont="1" applyBorder="1" applyAlignment="1">
      <alignment vertical="center"/>
    </xf>
    <xf numFmtId="42" fontId="42" fillId="0" borderId="67" xfId="2" applyFont="1" applyBorder="1" applyAlignment="1">
      <alignment vertical="center"/>
    </xf>
    <xf numFmtId="42" fontId="42" fillId="0" borderId="24" xfId="2" applyFont="1" applyBorder="1" applyAlignment="1">
      <alignment vertical="center"/>
    </xf>
    <xf numFmtId="0" fontId="0" fillId="0" borderId="67" xfId="0" applyBorder="1" applyAlignment="1">
      <alignment vertical="center"/>
    </xf>
    <xf numFmtId="42" fontId="0" fillId="0" borderId="24" xfId="2" applyFont="1" applyBorder="1" applyAlignment="1">
      <alignment vertical="center"/>
    </xf>
    <xf numFmtId="42" fontId="0" fillId="0" borderId="67" xfId="2" applyFont="1" applyBorder="1" applyAlignment="1">
      <alignment vertical="center"/>
    </xf>
    <xf numFmtId="42" fontId="0" fillId="0" borderId="25" xfId="2" applyFont="1" applyBorder="1" applyAlignment="1">
      <alignment vertical="center"/>
    </xf>
    <xf numFmtId="0" fontId="0" fillId="0" borderId="1" xfId="0" applyBorder="1" applyAlignment="1">
      <alignment vertical="center" wrapText="1"/>
    </xf>
    <xf numFmtId="0" fontId="0" fillId="0" borderId="56" xfId="0" applyBorder="1" applyAlignment="1">
      <alignment vertical="center" wrapText="1"/>
    </xf>
    <xf numFmtId="0" fontId="0" fillId="0" borderId="58" xfId="0" applyBorder="1" applyAlignment="1">
      <alignment vertical="center"/>
    </xf>
    <xf numFmtId="42" fontId="42" fillId="0" borderId="59" xfId="2" applyFont="1" applyBorder="1" applyAlignment="1">
      <alignment vertical="center"/>
    </xf>
    <xf numFmtId="42" fontId="42" fillId="0" borderId="60" xfId="2" applyFont="1" applyBorder="1" applyAlignment="1">
      <alignment vertical="center"/>
    </xf>
    <xf numFmtId="0" fontId="0" fillId="0" borderId="59" xfId="0" applyBorder="1" applyAlignment="1">
      <alignment vertical="center"/>
    </xf>
    <xf numFmtId="42" fontId="0" fillId="0" borderId="60" xfId="2" applyFont="1" applyBorder="1" applyAlignment="1">
      <alignment vertical="center"/>
    </xf>
    <xf numFmtId="42" fontId="0" fillId="0" borderId="59" xfId="2" applyFont="1" applyBorder="1" applyAlignment="1">
      <alignment vertical="center"/>
    </xf>
    <xf numFmtId="42" fontId="0" fillId="0" borderId="61" xfId="2" applyFont="1" applyBorder="1" applyAlignment="1">
      <alignment vertical="center"/>
    </xf>
    <xf numFmtId="42" fontId="42" fillId="0" borderId="48" xfId="2" applyFont="1" applyBorder="1" applyAlignment="1">
      <alignment vertical="center"/>
    </xf>
    <xf numFmtId="42" fontId="42" fillId="0" borderId="55" xfId="2" applyFont="1" applyBorder="1" applyAlignment="1">
      <alignment vertical="center"/>
    </xf>
    <xf numFmtId="0" fontId="0" fillId="0" borderId="23" xfId="0" applyBorder="1" applyAlignment="1">
      <alignment vertical="center" wrapText="1"/>
    </xf>
    <xf numFmtId="0" fontId="42" fillId="0" borderId="48" xfId="0" applyFont="1" applyBorder="1" applyAlignment="1">
      <alignment vertical="center"/>
    </xf>
    <xf numFmtId="42" fontId="42" fillId="0" borderId="49" xfId="2" applyFont="1" applyBorder="1" applyAlignment="1">
      <alignment vertical="center"/>
    </xf>
    <xf numFmtId="42" fontId="49" fillId="0" borderId="0" xfId="0" applyNumberFormat="1" applyFont="1" applyAlignment="1">
      <alignment vertical="center"/>
    </xf>
    <xf numFmtId="0" fontId="49" fillId="0" borderId="0" xfId="0" applyFont="1" applyAlignment="1">
      <alignment vertical="center"/>
    </xf>
    <xf numFmtId="42" fontId="50" fillId="0" borderId="0" xfId="0" applyNumberFormat="1" applyFont="1" applyAlignment="1">
      <alignment vertical="center"/>
    </xf>
    <xf numFmtId="0" fontId="44" fillId="0" borderId="0" xfId="0" applyFont="1" applyAlignment="1">
      <alignment vertical="center"/>
    </xf>
    <xf numFmtId="0" fontId="0" fillId="0" borderId="62" xfId="0" applyBorder="1" applyAlignment="1">
      <alignment vertical="center" wrapText="1"/>
    </xf>
    <xf numFmtId="0" fontId="0" fillId="0" borderId="63" xfId="0" applyBorder="1" applyAlignment="1">
      <alignment vertical="center"/>
    </xf>
    <xf numFmtId="42" fontId="0" fillId="0" borderId="64" xfId="2" applyFont="1" applyFill="1" applyBorder="1" applyAlignment="1">
      <alignment vertical="center"/>
    </xf>
    <xf numFmtId="42" fontId="0" fillId="0" borderId="63" xfId="2" applyFont="1" applyFill="1" applyBorder="1" applyAlignment="1">
      <alignment vertical="center"/>
    </xf>
    <xf numFmtId="42" fontId="42" fillId="0" borderId="65" xfId="2" applyFont="1" applyFill="1" applyBorder="1" applyAlignment="1">
      <alignment vertical="center"/>
    </xf>
    <xf numFmtId="42" fontId="0" fillId="0" borderId="65" xfId="2" applyFont="1" applyFill="1" applyBorder="1" applyAlignment="1">
      <alignment vertical="center"/>
    </xf>
    <xf numFmtId="42" fontId="0" fillId="0" borderId="0" xfId="2" applyFont="1" applyBorder="1" applyAlignment="1">
      <alignment vertical="center"/>
    </xf>
    <xf numFmtId="0" fontId="49" fillId="0" borderId="0" xfId="0" applyFont="1" applyAlignment="1">
      <alignment vertical="center" wrapText="1"/>
    </xf>
    <xf numFmtId="0" fontId="0" fillId="0" borderId="4" xfId="0" applyBorder="1" applyAlignment="1">
      <alignment vertical="center" wrapText="1"/>
    </xf>
    <xf numFmtId="42" fontId="0" fillId="0" borderId="63" xfId="2" applyFont="1" applyBorder="1" applyAlignment="1">
      <alignment vertical="center"/>
    </xf>
    <xf numFmtId="42" fontId="0" fillId="0" borderId="64" xfId="2" applyFont="1" applyBorder="1" applyAlignment="1">
      <alignment vertical="center"/>
    </xf>
    <xf numFmtId="42" fontId="0" fillId="0" borderId="65" xfId="2" applyFont="1" applyBorder="1" applyAlignment="1">
      <alignment vertical="center"/>
    </xf>
    <xf numFmtId="42" fontId="0" fillId="0" borderId="0" xfId="2" applyFont="1" applyAlignment="1">
      <alignment vertical="center"/>
    </xf>
    <xf numFmtId="0" fontId="5" fillId="0" borderId="17" xfId="5" applyFont="1" applyBorder="1" applyAlignment="1">
      <alignment horizontal="left" vertical="center"/>
    </xf>
    <xf numFmtId="42" fontId="27" fillId="4" borderId="0" xfId="5" applyNumberFormat="1" applyFont="1" applyFill="1" applyAlignment="1">
      <alignment vertical="center"/>
    </xf>
    <xf numFmtId="0" fontId="2" fillId="0" borderId="13" xfId="8" applyBorder="1" applyAlignment="1">
      <alignment horizontal="center" vertical="center"/>
    </xf>
    <xf numFmtId="0" fontId="2" fillId="0" borderId="14" xfId="8" applyBorder="1" applyAlignment="1">
      <alignment horizontal="center" vertical="center"/>
    </xf>
    <xf numFmtId="0" fontId="5" fillId="0" borderId="13" xfId="5" applyFont="1" applyBorder="1" applyAlignment="1">
      <alignment horizontal="left" vertical="center" wrapText="1"/>
    </xf>
    <xf numFmtId="0" fontId="5" fillId="0" borderId="15" xfId="5" applyFont="1" applyBorder="1" applyAlignment="1">
      <alignment horizontal="left" vertical="center" wrapText="1"/>
    </xf>
    <xf numFmtId="0" fontId="5" fillId="0" borderId="14" xfId="5" applyFont="1" applyBorder="1" applyAlignment="1">
      <alignment horizontal="left" vertical="center" wrapText="1"/>
    </xf>
    <xf numFmtId="0" fontId="10" fillId="0" borderId="15" xfId="5" applyFont="1" applyBorder="1" applyAlignment="1">
      <alignment horizontal="justify" vertical="center" wrapText="1"/>
    </xf>
    <xf numFmtId="0" fontId="10" fillId="0" borderId="14" xfId="5" applyFont="1" applyBorder="1" applyAlignment="1">
      <alignment horizontal="justify" vertical="center" wrapText="1"/>
    </xf>
    <xf numFmtId="0" fontId="10" fillId="0" borderId="15" xfId="5" applyFont="1" applyBorder="1" applyAlignment="1">
      <alignment horizontal="left" vertical="center"/>
    </xf>
    <xf numFmtId="0" fontId="10" fillId="0" borderId="14" xfId="5" applyFont="1" applyBorder="1" applyAlignment="1">
      <alignment horizontal="left" vertical="center"/>
    </xf>
    <xf numFmtId="0" fontId="6" fillId="4" borderId="13" xfId="5" applyFont="1" applyFill="1" applyBorder="1" applyAlignment="1">
      <alignment horizontal="center" vertical="center"/>
    </xf>
    <xf numFmtId="0" fontId="6" fillId="4" borderId="15" xfId="5" applyFont="1" applyFill="1" applyBorder="1" applyAlignment="1">
      <alignment horizontal="center" vertical="center"/>
    </xf>
    <xf numFmtId="0" fontId="6" fillId="4" borderId="14" xfId="5" applyFont="1" applyFill="1" applyBorder="1" applyAlignment="1">
      <alignment horizontal="center" vertical="center"/>
    </xf>
    <xf numFmtId="37" fontId="6" fillId="4" borderId="10" xfId="5" applyNumberFormat="1" applyFont="1" applyFill="1" applyBorder="1" applyAlignment="1">
      <alignment horizontal="left" vertical="center"/>
    </xf>
    <xf numFmtId="37" fontId="6" fillId="4" borderId="11" xfId="5" applyNumberFormat="1" applyFont="1" applyFill="1" applyBorder="1" applyAlignment="1">
      <alignment horizontal="left" vertical="center"/>
    </xf>
    <xf numFmtId="0" fontId="6" fillId="4" borderId="13" xfId="5" applyFont="1" applyFill="1" applyBorder="1" applyAlignment="1">
      <alignment vertical="center"/>
    </xf>
    <xf numFmtId="0" fontId="6" fillId="4" borderId="17" xfId="5" applyFont="1" applyFill="1" applyBorder="1" applyAlignment="1">
      <alignment vertical="center"/>
    </xf>
    <xf numFmtId="0" fontId="6" fillId="4" borderId="12" xfId="5" applyFont="1" applyFill="1" applyBorder="1" applyAlignment="1">
      <alignment vertical="center"/>
    </xf>
    <xf numFmtId="0" fontId="6" fillId="4" borderId="10" xfId="5" applyFont="1" applyFill="1" applyBorder="1" applyAlignment="1">
      <alignment horizontal="center" vertical="center"/>
    </xf>
    <xf numFmtId="0" fontId="6" fillId="4" borderId="11" xfId="5" applyFont="1" applyFill="1" applyBorder="1" applyAlignment="1">
      <alignment horizontal="center" vertical="center"/>
    </xf>
    <xf numFmtId="0" fontId="6" fillId="4" borderId="18" xfId="5" applyFont="1" applyFill="1" applyBorder="1" applyAlignment="1">
      <alignment horizontal="center" vertical="center" textRotation="45" wrapText="1"/>
    </xf>
    <xf numFmtId="0" fontId="6" fillId="4" borderId="19" xfId="5" applyFont="1" applyFill="1" applyBorder="1" applyAlignment="1">
      <alignment horizontal="center" vertical="center" textRotation="45" wrapText="1"/>
    </xf>
    <xf numFmtId="0" fontId="6" fillId="4" borderId="20" xfId="5" applyFont="1" applyFill="1" applyBorder="1" applyAlignment="1">
      <alignment horizontal="center" vertical="center" textRotation="45" wrapText="1"/>
    </xf>
    <xf numFmtId="0" fontId="5" fillId="4" borderId="17" xfId="5" applyFont="1" applyFill="1" applyBorder="1" applyAlignment="1">
      <alignment vertical="center" wrapText="1"/>
    </xf>
    <xf numFmtId="0" fontId="2" fillId="4" borderId="14" xfId="8" applyFill="1" applyBorder="1" applyAlignment="1">
      <alignment vertical="center" wrapText="1"/>
    </xf>
    <xf numFmtId="165" fontId="34" fillId="0" borderId="40" xfId="5" applyNumberFormat="1" applyFont="1" applyBorder="1" applyAlignment="1">
      <alignment horizontal="center" vertical="center" wrapText="1"/>
    </xf>
    <xf numFmtId="165" fontId="34" fillId="0" borderId="41" xfId="5" applyNumberFormat="1" applyFont="1" applyBorder="1" applyAlignment="1">
      <alignment horizontal="center" vertical="center" wrapText="1"/>
    </xf>
    <xf numFmtId="165" fontId="34" fillId="0" borderId="42" xfId="5" applyNumberFormat="1" applyFont="1" applyBorder="1" applyAlignment="1">
      <alignment horizontal="center" vertical="center" wrapText="1"/>
    </xf>
    <xf numFmtId="0" fontId="6" fillId="4" borderId="10" xfId="5" applyFont="1" applyFill="1" applyBorder="1" applyAlignment="1">
      <alignment horizontal="left" vertical="center" wrapText="1"/>
    </xf>
    <xf numFmtId="0" fontId="6" fillId="4" borderId="11" xfId="5" applyFont="1" applyFill="1" applyBorder="1" applyAlignment="1">
      <alignment horizontal="left" vertical="center" wrapText="1"/>
    </xf>
    <xf numFmtId="0" fontId="5" fillId="0" borderId="13" xfId="5" applyFont="1" applyBorder="1" applyAlignment="1">
      <alignment horizontal="justify" vertical="center" wrapText="1"/>
    </xf>
    <xf numFmtId="0" fontId="5" fillId="0" borderId="15" xfId="5" applyFont="1" applyBorder="1" applyAlignment="1">
      <alignment horizontal="justify" vertical="center" wrapText="1"/>
    </xf>
    <xf numFmtId="0" fontId="5" fillId="0" borderId="14" xfId="5" applyFont="1" applyBorder="1" applyAlignment="1">
      <alignment horizontal="justify" vertical="center" wrapText="1"/>
    </xf>
    <xf numFmtId="37" fontId="6" fillId="4" borderId="13" xfId="5" applyNumberFormat="1" applyFont="1" applyFill="1" applyBorder="1" applyAlignment="1">
      <alignment horizontal="left" vertical="center"/>
    </xf>
    <xf numFmtId="37" fontId="6" fillId="4" borderId="15" xfId="5" applyNumberFormat="1" applyFont="1" applyFill="1" applyBorder="1" applyAlignment="1">
      <alignment horizontal="left" vertical="center"/>
    </xf>
    <xf numFmtId="37" fontId="6" fillId="4" borderId="14" xfId="5" applyNumberFormat="1" applyFont="1" applyFill="1" applyBorder="1" applyAlignment="1">
      <alignment horizontal="left" vertical="center"/>
    </xf>
    <xf numFmtId="0" fontId="6" fillId="4" borderId="10" xfId="5" applyFont="1" applyFill="1" applyBorder="1" applyAlignment="1">
      <alignment horizontal="left" vertical="center"/>
    </xf>
    <xf numFmtId="0" fontId="6" fillId="4" borderId="11" xfId="5" applyFont="1" applyFill="1" applyBorder="1" applyAlignment="1">
      <alignment horizontal="left" vertical="center"/>
    </xf>
    <xf numFmtId="0" fontId="6" fillId="4" borderId="12" xfId="5" applyFont="1" applyFill="1" applyBorder="1" applyAlignment="1">
      <alignment horizontal="left" vertical="center"/>
    </xf>
    <xf numFmtId="172" fontId="6" fillId="4" borderId="13" xfId="5" applyNumberFormat="1" applyFont="1" applyFill="1" applyBorder="1" applyAlignment="1">
      <alignment vertical="center"/>
    </xf>
    <xf numFmtId="172" fontId="6" fillId="4" borderId="17" xfId="5" applyNumberFormat="1" applyFont="1" applyFill="1" applyBorder="1" applyAlignment="1">
      <alignment vertical="center"/>
    </xf>
    <xf numFmtId="172" fontId="6" fillId="4" borderId="12" xfId="5" applyNumberFormat="1" applyFont="1" applyFill="1" applyBorder="1" applyAlignment="1">
      <alignment vertical="center"/>
    </xf>
    <xf numFmtId="170" fontId="5" fillId="0" borderId="0" xfId="5" applyNumberFormat="1" applyFont="1" applyAlignment="1">
      <alignment horizontal="justify" vertical="center"/>
    </xf>
    <xf numFmtId="0" fontId="5" fillId="0" borderId="0" xfId="5" applyFont="1" applyAlignment="1">
      <alignment horizontal="justify" vertical="center"/>
    </xf>
    <xf numFmtId="0" fontId="5" fillId="0" borderId="13" xfId="5" applyFont="1" applyBorder="1" applyAlignment="1">
      <alignment horizontal="center" vertical="center"/>
    </xf>
    <xf numFmtId="0" fontId="2" fillId="0" borderId="14" xfId="8" applyBorder="1" applyAlignment="1">
      <alignment vertical="center"/>
    </xf>
    <xf numFmtId="0" fontId="12" fillId="0" borderId="13" xfId="5" applyFont="1" applyBorder="1" applyAlignment="1">
      <alignment horizontal="center" vertical="center" wrapText="1"/>
    </xf>
    <xf numFmtId="0" fontId="12" fillId="0" borderId="15" xfId="5" applyFont="1" applyBorder="1" applyAlignment="1">
      <alignment horizontal="center" vertical="center" wrapText="1"/>
    </xf>
    <xf numFmtId="0" fontId="12" fillId="0" borderId="14" xfId="5" applyFont="1" applyBorder="1" applyAlignment="1">
      <alignment horizontal="center" vertical="center" wrapText="1"/>
    </xf>
    <xf numFmtId="0" fontId="5" fillId="0" borderId="14" xfId="5" applyFont="1" applyBorder="1" applyAlignment="1">
      <alignment horizontal="center" vertical="center"/>
    </xf>
    <xf numFmtId="0" fontId="7" fillId="0" borderId="14" xfId="9" applyBorder="1" applyAlignment="1">
      <alignment horizontal="center" vertical="center"/>
    </xf>
    <xf numFmtId="0" fontId="12" fillId="4" borderId="13" xfId="5" applyFont="1" applyFill="1" applyBorder="1" applyAlignment="1">
      <alignment horizontal="center" vertical="center" wrapText="1"/>
    </xf>
    <xf numFmtId="0" fontId="12" fillId="4" borderId="15" xfId="5" applyFont="1" applyFill="1" applyBorder="1" applyAlignment="1">
      <alignment horizontal="center" vertical="center" wrapText="1"/>
    </xf>
    <xf numFmtId="0" fontId="12" fillId="4" borderId="14" xfId="5" applyFont="1" applyFill="1" applyBorder="1" applyAlignment="1">
      <alignment horizontal="center" vertical="center" wrapText="1"/>
    </xf>
    <xf numFmtId="37" fontId="6" fillId="0" borderId="13" xfId="5" applyNumberFormat="1" applyFont="1" applyBorder="1" applyAlignment="1">
      <alignment horizontal="center" vertical="center"/>
    </xf>
    <xf numFmtId="37" fontId="6" fillId="0" borderId="14" xfId="5" applyNumberFormat="1" applyFont="1" applyBorder="1" applyAlignment="1">
      <alignment horizontal="center" vertical="center"/>
    </xf>
    <xf numFmtId="0" fontId="3" fillId="2" borderId="1" xfId="4" applyFont="1" applyFill="1" applyBorder="1" applyAlignment="1">
      <alignment horizontal="center" vertical="center" wrapText="1"/>
    </xf>
    <xf numFmtId="0" fontId="3" fillId="2" borderId="2" xfId="4" applyFont="1" applyFill="1" applyBorder="1" applyAlignment="1">
      <alignment horizontal="center" vertical="center" wrapText="1"/>
    </xf>
    <xf numFmtId="0" fontId="3" fillId="2" borderId="3" xfId="4" applyFont="1" applyFill="1" applyBorder="1" applyAlignment="1">
      <alignment horizontal="center" vertical="center" wrapText="1"/>
    </xf>
    <xf numFmtId="0" fontId="3" fillId="2" borderId="4" xfId="4" applyFont="1" applyFill="1" applyBorder="1" applyAlignment="1">
      <alignment horizontal="center" wrapText="1"/>
    </xf>
    <xf numFmtId="0" fontId="3" fillId="2" borderId="5" xfId="4" applyFont="1" applyFill="1" applyBorder="1" applyAlignment="1">
      <alignment horizontal="center" wrapText="1"/>
    </xf>
    <xf numFmtId="0" fontId="3" fillId="2" borderId="6" xfId="4" applyFont="1" applyFill="1" applyBorder="1" applyAlignment="1">
      <alignment horizontal="center" wrapText="1"/>
    </xf>
    <xf numFmtId="0" fontId="6" fillId="4" borderId="13" xfId="5" applyFont="1" applyFill="1" applyBorder="1" applyAlignment="1">
      <alignment horizontal="center" vertical="center" wrapText="1"/>
    </xf>
    <xf numFmtId="0" fontId="5" fillId="4" borderId="14" xfId="5" applyFont="1" applyFill="1" applyBorder="1" applyAlignment="1">
      <alignment horizontal="center" vertical="center" wrapText="1"/>
    </xf>
    <xf numFmtId="0" fontId="2" fillId="4" borderId="14" xfId="8" applyFill="1" applyBorder="1" applyAlignment="1">
      <alignment horizontal="center" vertical="center" wrapText="1"/>
    </xf>
    <xf numFmtId="188" fontId="38" fillId="9" borderId="66" xfId="30" applyFont="1" applyFill="1" applyBorder="1" applyAlignment="1">
      <alignment horizontal="center" vertical="center"/>
    </xf>
    <xf numFmtId="188" fontId="38" fillId="9" borderId="68" xfId="30" applyFont="1" applyFill="1" applyBorder="1" applyAlignment="1">
      <alignment horizontal="center" vertical="center"/>
    </xf>
    <xf numFmtId="188" fontId="38" fillId="9" borderId="67" xfId="30" applyFont="1" applyFill="1" applyBorder="1" applyAlignment="1">
      <alignment horizontal="center" vertical="center"/>
    </xf>
    <xf numFmtId="0" fontId="46" fillId="6" borderId="66" xfId="0" applyFont="1" applyFill="1" applyBorder="1" applyAlignment="1">
      <alignment horizontal="center" vertical="center" wrapText="1"/>
    </xf>
    <xf numFmtId="0" fontId="46" fillId="6" borderId="67" xfId="0" applyFont="1" applyFill="1" applyBorder="1" applyAlignment="1">
      <alignment horizontal="center" vertical="center" wrapText="1"/>
    </xf>
    <xf numFmtId="0" fontId="0" fillId="10" borderId="50" xfId="0" applyFill="1" applyBorder="1" applyAlignment="1">
      <alignment horizontal="center"/>
    </xf>
    <xf numFmtId="0" fontId="0" fillId="10" borderId="52" xfId="0" applyFill="1" applyBorder="1" applyAlignment="1">
      <alignment horizontal="center"/>
    </xf>
    <xf numFmtId="0" fontId="0" fillId="10" borderId="51" xfId="0" applyFill="1" applyBorder="1" applyAlignment="1">
      <alignment horizontal="center"/>
    </xf>
    <xf numFmtId="10" fontId="22" fillId="0" borderId="23" xfId="24" applyNumberFormat="1" applyFont="1" applyFill="1" applyBorder="1" applyAlignment="1">
      <alignment horizontal="center"/>
    </xf>
    <xf numFmtId="10" fontId="22" fillId="0" borderId="25" xfId="24" applyNumberFormat="1" applyFont="1" applyFill="1" applyBorder="1" applyAlignment="1">
      <alignment horizontal="center"/>
    </xf>
    <xf numFmtId="0" fontId="36" fillId="0" borderId="44" xfId="26" applyFont="1" applyBorder="1" applyAlignment="1">
      <alignment horizontal="center"/>
    </xf>
    <xf numFmtId="0" fontId="36" fillId="0" borderId="0" xfId="26" applyFont="1" applyAlignment="1">
      <alignment horizontal="center"/>
    </xf>
    <xf numFmtId="0" fontId="38" fillId="0" borderId="0" xfId="26" applyFont="1" applyAlignment="1">
      <alignment horizontal="center"/>
    </xf>
    <xf numFmtId="0" fontId="39" fillId="0" borderId="50" xfId="29" applyFont="1" applyBorder="1" applyAlignment="1">
      <alignment horizontal="center" vertical="center" wrapText="1"/>
    </xf>
    <xf numFmtId="0" fontId="39" fillId="0" borderId="51" xfId="29" applyFont="1" applyBorder="1" applyAlignment="1">
      <alignment horizontal="center" vertical="center" wrapText="1"/>
    </xf>
    <xf numFmtId="0" fontId="39" fillId="0" borderId="52" xfId="29" applyFont="1" applyBorder="1" applyAlignment="1">
      <alignment horizontal="center" vertical="center" wrapText="1"/>
    </xf>
    <xf numFmtId="0" fontId="36" fillId="0" borderId="53" xfId="26" applyFont="1" applyBorder="1" applyAlignment="1">
      <alignment horizontal="center"/>
    </xf>
    <xf numFmtId="0" fontId="36" fillId="0" borderId="54" xfId="26" applyFont="1" applyBorder="1" applyAlignment="1">
      <alignment horizontal="center"/>
    </xf>
    <xf numFmtId="43" fontId="33" fillId="0" borderId="8" xfId="5" applyNumberFormat="1" applyFont="1" applyBorder="1" applyAlignment="1">
      <alignment vertical="center"/>
    </xf>
    <xf numFmtId="194" fontId="6" fillId="4" borderId="8" xfId="5" applyNumberFormat="1" applyFont="1" applyFill="1" applyBorder="1" applyAlignment="1">
      <alignment horizontal="center" vertical="center"/>
    </xf>
    <xf numFmtId="194" fontId="5" fillId="4" borderId="0" xfId="5" applyNumberFormat="1" applyFont="1" applyFill="1" applyAlignment="1">
      <alignment vertical="center"/>
    </xf>
    <xf numFmtId="194" fontId="5" fillId="0" borderId="0" xfId="5" applyNumberFormat="1" applyFont="1" applyAlignment="1">
      <alignment vertical="center"/>
    </xf>
    <xf numFmtId="174" fontId="5" fillId="4" borderId="0" xfId="5" applyNumberFormat="1" applyFont="1" applyFill="1" applyAlignment="1">
      <alignment vertical="center"/>
    </xf>
    <xf numFmtId="174" fontId="5" fillId="0" borderId="0" xfId="5" applyNumberFormat="1" applyFont="1" applyAlignment="1">
      <alignment vertical="center"/>
    </xf>
    <xf numFmtId="202" fontId="6" fillId="5" borderId="12" xfId="2" applyNumberFormat="1" applyFont="1" applyFill="1" applyBorder="1" applyAlignment="1">
      <alignment horizontal="center" vertical="center"/>
    </xf>
    <xf numFmtId="205" fontId="5" fillId="4" borderId="0" xfId="5" applyNumberFormat="1" applyFont="1" applyFill="1" applyAlignment="1">
      <alignment vertical="center"/>
    </xf>
    <xf numFmtId="42" fontId="31" fillId="4" borderId="0" xfId="5" applyNumberFormat="1" applyFont="1" applyFill="1" applyAlignment="1">
      <alignment vertical="center"/>
    </xf>
    <xf numFmtId="206" fontId="27" fillId="4" borderId="0" xfId="5" applyNumberFormat="1" applyFont="1" applyFill="1" applyAlignment="1">
      <alignment vertical="center"/>
    </xf>
    <xf numFmtId="202" fontId="6" fillId="0" borderId="12" xfId="2" applyNumberFormat="1" applyFont="1" applyBorder="1" applyAlignment="1">
      <alignment horizontal="center" vertical="center"/>
    </xf>
    <xf numFmtId="202" fontId="15" fillId="4" borderId="21" xfId="2" applyNumberFormat="1" applyFont="1" applyFill="1" applyBorder="1" applyAlignment="1">
      <alignment horizontal="center" vertical="center"/>
    </xf>
  </cellXfs>
  <cellStyles count="41">
    <cellStyle name="Millares" xfId="1" builtinId="3"/>
    <cellStyle name="Millares [0] 2" xfId="23" xr:uid="{6D7EACAE-092B-4DB9-8B23-78FF062AE257}"/>
    <cellStyle name="Millares [0] 2 2" xfId="16" xr:uid="{90F6AFC5-8521-47AC-A03E-9A1CF365AC64}"/>
    <cellStyle name="Millares [0] 3" xfId="22" xr:uid="{054A5058-7CBD-4680-87AA-C890E0A5482A}"/>
    <cellStyle name="Millares [0] 4" xfId="39" xr:uid="{56449373-9F56-4861-A26B-662AD058E9D2}"/>
    <cellStyle name="Millares [0] 6" xfId="34" xr:uid="{F6FF92F8-8E2D-414C-9224-939DC53A06A6}"/>
    <cellStyle name="Millares 2" xfId="25" xr:uid="{9DCCEDC5-4822-4461-A46A-58B4AB96B1A7}"/>
    <cellStyle name="Millares 2 2" xfId="30" xr:uid="{9B847E72-7351-4247-BDAC-7649C9BD9132}"/>
    <cellStyle name="Millares 3" xfId="38" xr:uid="{E0C39F0E-F15B-430B-B264-D6747A5AEE2C}"/>
    <cellStyle name="Millares 3 2" xfId="32" xr:uid="{A6E38A11-9DA6-49F4-B008-8BF6F36A0384}"/>
    <cellStyle name="Millares 4 2" xfId="13" xr:uid="{1D86EC59-B943-43FA-8FF8-4A188DC68A96}"/>
    <cellStyle name="Millares 6" xfId="36" xr:uid="{000884A0-8FD0-468D-B9B7-D9485E9A64D1}"/>
    <cellStyle name="Moneda [0]" xfId="2" builtinId="7"/>
    <cellStyle name="Moneda [0] 2" xfId="15" xr:uid="{22C53CF8-12AB-4D2F-96D4-FB3B3F61C99F}"/>
    <cellStyle name="Moneda [0] 2 2" xfId="28" xr:uid="{8521421A-CDDC-4994-AFAC-4F64F5B67B44}"/>
    <cellStyle name="Moneda [0] 3" xfId="27" xr:uid="{781D5CC3-310D-407D-9B08-7A7A3484E43B}"/>
    <cellStyle name="Moneda [0] 5" xfId="40" xr:uid="{7B2EDC48-5290-46E0-B6BA-B60E40BB62D9}"/>
    <cellStyle name="Moneda 2" xfId="31" xr:uid="{DBD4FC0C-D4D3-475E-97CB-801543C50102}"/>
    <cellStyle name="Moneda 3" xfId="6" xr:uid="{333B0E92-FD33-459A-9677-806D7A6551F0}"/>
    <cellStyle name="Moneda 4" xfId="14" xr:uid="{156470EA-A3CD-4C9A-B1B7-3C1D5D9107FB}"/>
    <cellStyle name="Moneda 4 2" xfId="17" xr:uid="{8FEB3426-9FB1-4C5E-AB9C-3D7B1888DA66}"/>
    <cellStyle name="Normal" xfId="0" builtinId="0"/>
    <cellStyle name="Normal 16" xfId="26" xr:uid="{54EA0F6A-C4A8-4770-B970-3C9317016DC6}"/>
    <cellStyle name="Normal 2" xfId="20" xr:uid="{285A1A54-A594-4694-9CD7-077A38E42783}"/>
    <cellStyle name="Normal 2 2 2 2" xfId="8" xr:uid="{6BAE7CA7-F5FA-4444-8DA6-5BFDC9B9E57F}"/>
    <cellStyle name="Normal 3" xfId="37" xr:uid="{44A9BB51-C3C6-46CD-BFCF-7B26BE7E48BF}"/>
    <cellStyle name="Normal 3 2" xfId="4" xr:uid="{FFBA6ECC-FA16-4A89-8BAB-5280FC0D8639}"/>
    <cellStyle name="Normal 3 3" xfId="12" xr:uid="{02143CF5-4D16-497A-A4F9-F8CCA0B338CE}"/>
    <cellStyle name="Normal 4" xfId="19" xr:uid="{8F1C6A54-0A17-46A9-892C-2D0D30033E04}"/>
    <cellStyle name="Normal 4 2" xfId="9" xr:uid="{E1C7D712-7CAA-4362-833F-72993EBD8A56}"/>
    <cellStyle name="Normal 4 3" xfId="29" xr:uid="{3280425B-E45E-4C43-9806-D6CA34A898D5}"/>
    <cellStyle name="Normal 5" xfId="21" xr:uid="{FDAEC3EC-F956-432F-9FD8-7A4FB9EEA5BE}"/>
    <cellStyle name="Normal 8" xfId="33" xr:uid="{34D07A69-AE88-4E6F-9ED9-EDE966B3A68A}"/>
    <cellStyle name="Normal_Libro1" xfId="5" xr:uid="{3B4E0A90-5A51-449E-B4B6-E4B3FA0A9726}"/>
    <cellStyle name="Porcentaje" xfId="3" builtinId="5"/>
    <cellStyle name="Porcentaje 2" xfId="24" xr:uid="{78B37B47-40BD-489F-BB81-C96AED20AB8E}"/>
    <cellStyle name="Porcentaje 2 2" xfId="18" xr:uid="{A3E4725B-8656-4544-B481-419615471BA4}"/>
    <cellStyle name="Porcentaje 3" xfId="7" xr:uid="{A18A340D-30B7-42F8-9435-00220F74DC85}"/>
    <cellStyle name="Porcentaje 5" xfId="35" xr:uid="{FB2D045E-56F3-4F1F-A484-BB579D70ED92}"/>
    <cellStyle name="Porcentual 2 3" xfId="10" xr:uid="{5AA7FCE4-8581-4C5E-8D5C-AE3359132870}"/>
    <cellStyle name="Porcentual_AIU 2008 SESAC JULIO 42" xfId="11" xr:uid="{8EBB91CC-B6F7-47AD-A6CE-0B98BC1E78E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10.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10" Type="http://schemas.openxmlformats.org/officeDocument/2006/relationships/image" Target="../media/image12.png"/><Relationship Id="rId4" Type="http://schemas.openxmlformats.org/officeDocument/2006/relationships/image" Target="../media/image6.png"/><Relationship Id="rId9" Type="http://schemas.openxmlformats.org/officeDocument/2006/relationships/image" Target="../media/image1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3.png"/></Relationships>
</file>

<file path=xl/drawings/_rels/drawing3.xml.rels><?xml version="1.0" encoding="UTF-8" standalone="yes"?>
<Relationships xmlns="http://schemas.openxmlformats.org/package/2006/relationships"><Relationship Id="rId1" Type="http://schemas.openxmlformats.org/officeDocument/2006/relationships/image" Target="../media/image14.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4</xdr:row>
      <xdr:rowOff>142875</xdr:rowOff>
    </xdr:from>
    <xdr:to>
      <xdr:col>7</xdr:col>
      <xdr:colOff>312833</xdr:colOff>
      <xdr:row>37</xdr:row>
      <xdr:rowOff>12608</xdr:rowOff>
    </xdr:to>
    <xdr:pic>
      <xdr:nvPicPr>
        <xdr:cNvPr id="2" name="Imagen 1">
          <a:extLst>
            <a:ext uri="{FF2B5EF4-FFF2-40B4-BE49-F238E27FC236}">
              <a16:creationId xmlns:a16="http://schemas.microsoft.com/office/drawing/2014/main" id="{650319C8-1CBE-483B-9551-6D252811D9E7}"/>
            </a:ext>
          </a:extLst>
        </xdr:cNvPr>
        <xdr:cNvPicPr>
          <a:picLocks noChangeAspect="1"/>
        </xdr:cNvPicPr>
      </xdr:nvPicPr>
      <xdr:blipFill>
        <a:blip xmlns:r="http://schemas.openxmlformats.org/officeDocument/2006/relationships" r:embed="rId1"/>
        <a:stretch>
          <a:fillRect/>
        </a:stretch>
      </xdr:blipFill>
      <xdr:spPr>
        <a:xfrm>
          <a:off x="0" y="904875"/>
          <a:ext cx="4580033" cy="6156233"/>
        </a:xfrm>
        <a:prstGeom prst="rect">
          <a:avLst/>
        </a:prstGeom>
      </xdr:spPr>
    </xdr:pic>
    <xdr:clientData/>
  </xdr:twoCellAnchor>
  <xdr:twoCellAnchor editAs="oneCell">
    <xdr:from>
      <xdr:col>8</xdr:col>
      <xdr:colOff>270898</xdr:colOff>
      <xdr:row>4</xdr:row>
      <xdr:rowOff>180976</xdr:rowOff>
    </xdr:from>
    <xdr:to>
      <xdr:col>14</xdr:col>
      <xdr:colOff>204839</xdr:colOff>
      <xdr:row>37</xdr:row>
      <xdr:rowOff>124240</xdr:rowOff>
    </xdr:to>
    <xdr:pic>
      <xdr:nvPicPr>
        <xdr:cNvPr id="3" name="Imagen 2">
          <a:extLst>
            <a:ext uri="{FF2B5EF4-FFF2-40B4-BE49-F238E27FC236}">
              <a16:creationId xmlns:a16="http://schemas.microsoft.com/office/drawing/2014/main" id="{BCCDA316-25D9-4A31-956F-F35DFF882D24}"/>
            </a:ext>
            <a:ext uri="{147F2762-F138-4A5C-976F-8EAC2B608ADB}">
              <a16:predDERef xmlns:a16="http://schemas.microsoft.com/office/drawing/2014/main" pred="{650319C8-1CBE-483B-9551-6D252811D9E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975420" y="942976"/>
          <a:ext cx="3512028" cy="6229764"/>
        </a:xfrm>
        <a:prstGeom prst="rect">
          <a:avLst/>
        </a:prstGeom>
      </xdr:spPr>
    </xdr:pic>
    <xdr:clientData/>
  </xdr:twoCellAnchor>
  <xdr:twoCellAnchor editAs="oneCell">
    <xdr:from>
      <xdr:col>0</xdr:col>
      <xdr:colOff>0</xdr:colOff>
      <xdr:row>40</xdr:row>
      <xdr:rowOff>19050</xdr:rowOff>
    </xdr:from>
    <xdr:to>
      <xdr:col>7</xdr:col>
      <xdr:colOff>478626</xdr:colOff>
      <xdr:row>72</xdr:row>
      <xdr:rowOff>154222</xdr:rowOff>
    </xdr:to>
    <xdr:pic>
      <xdr:nvPicPr>
        <xdr:cNvPr id="4" name="Imagen 3">
          <a:extLst>
            <a:ext uri="{FF2B5EF4-FFF2-40B4-BE49-F238E27FC236}">
              <a16:creationId xmlns:a16="http://schemas.microsoft.com/office/drawing/2014/main" id="{3F79305B-3D13-4735-96FC-5A563EA4314A}"/>
            </a:ext>
            <a:ext uri="{147F2762-F138-4A5C-976F-8EAC2B608ADB}">
              <a16:predDERef xmlns:a16="http://schemas.microsoft.com/office/drawing/2014/main" pred="{BCCDA316-25D9-4A31-956F-F35DFF882D24}"/>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0" y="7639050"/>
          <a:ext cx="4745826" cy="6231172"/>
        </a:xfrm>
        <a:prstGeom prst="rect">
          <a:avLst/>
        </a:prstGeom>
      </xdr:spPr>
    </xdr:pic>
    <xdr:clientData/>
  </xdr:twoCellAnchor>
  <xdr:twoCellAnchor editAs="oneCell">
    <xdr:from>
      <xdr:col>9</xdr:col>
      <xdr:colOff>184150</xdr:colOff>
      <xdr:row>38</xdr:row>
      <xdr:rowOff>182959</xdr:rowOff>
    </xdr:from>
    <xdr:to>
      <xdr:col>17</xdr:col>
      <xdr:colOff>231903</xdr:colOff>
      <xdr:row>69</xdr:row>
      <xdr:rowOff>135216</xdr:rowOff>
    </xdr:to>
    <xdr:pic>
      <xdr:nvPicPr>
        <xdr:cNvPr id="5" name="Imagen 4">
          <a:extLst>
            <a:ext uri="{FF2B5EF4-FFF2-40B4-BE49-F238E27FC236}">
              <a16:creationId xmlns:a16="http://schemas.microsoft.com/office/drawing/2014/main" id="{7D54635C-5EEA-4949-AE6F-1EABD8AE5B89}"/>
            </a:ext>
            <a:ext uri="{147F2762-F138-4A5C-976F-8EAC2B608ADB}">
              <a16:predDERef xmlns:a16="http://schemas.microsoft.com/office/drawing/2014/main" pred="{3F79305B-3D13-4735-96FC-5A563EA4314A}"/>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5541963" y="7346553"/>
          <a:ext cx="4810253" cy="5796241"/>
        </a:xfrm>
        <a:prstGeom prst="rect">
          <a:avLst/>
        </a:prstGeom>
      </xdr:spPr>
    </xdr:pic>
    <xdr:clientData/>
  </xdr:twoCellAnchor>
  <xdr:twoCellAnchor editAs="oneCell">
    <xdr:from>
      <xdr:col>0</xdr:col>
      <xdr:colOff>0</xdr:colOff>
      <xdr:row>76</xdr:row>
      <xdr:rowOff>0</xdr:rowOff>
    </xdr:from>
    <xdr:to>
      <xdr:col>7</xdr:col>
      <xdr:colOff>472867</xdr:colOff>
      <xdr:row>106</xdr:row>
      <xdr:rowOff>74169</xdr:rowOff>
    </xdr:to>
    <xdr:pic>
      <xdr:nvPicPr>
        <xdr:cNvPr id="6" name="Imagen 5">
          <a:extLst>
            <a:ext uri="{FF2B5EF4-FFF2-40B4-BE49-F238E27FC236}">
              <a16:creationId xmlns:a16="http://schemas.microsoft.com/office/drawing/2014/main" id="{B2701461-9991-48D3-B505-168515B0A9B2}"/>
            </a:ext>
            <a:ext uri="{147F2762-F138-4A5C-976F-8EAC2B608ADB}">
              <a16:predDERef xmlns:a16="http://schemas.microsoft.com/office/drawing/2014/main" pred="{7D54635C-5EEA-4949-AE6F-1EABD8AE5B89}"/>
            </a:ext>
          </a:extLst>
        </xdr:cNvPr>
        <xdr:cNvPicPr>
          <a:picLocks noChangeAspect="1"/>
        </xdr:cNvPicPr>
      </xdr:nvPicPr>
      <xdr:blipFill>
        <a:blip xmlns:r="http://schemas.openxmlformats.org/officeDocument/2006/relationships" r:embed="rId5"/>
        <a:stretch>
          <a:fillRect/>
        </a:stretch>
      </xdr:blipFill>
      <xdr:spPr>
        <a:xfrm>
          <a:off x="0" y="14478000"/>
          <a:ext cx="4740067" cy="5789169"/>
        </a:xfrm>
        <a:prstGeom prst="rect">
          <a:avLst/>
        </a:prstGeom>
      </xdr:spPr>
    </xdr:pic>
    <xdr:clientData/>
  </xdr:twoCellAnchor>
  <xdr:twoCellAnchor editAs="oneCell">
    <xdr:from>
      <xdr:col>0</xdr:col>
      <xdr:colOff>142875</xdr:colOff>
      <xdr:row>110</xdr:row>
      <xdr:rowOff>104775</xdr:rowOff>
    </xdr:from>
    <xdr:to>
      <xdr:col>6</xdr:col>
      <xdr:colOff>297745</xdr:colOff>
      <xdr:row>134</xdr:row>
      <xdr:rowOff>57150</xdr:rowOff>
    </xdr:to>
    <xdr:pic>
      <xdr:nvPicPr>
        <xdr:cNvPr id="7" name="Imagen 6">
          <a:extLst>
            <a:ext uri="{FF2B5EF4-FFF2-40B4-BE49-F238E27FC236}">
              <a16:creationId xmlns:a16="http://schemas.microsoft.com/office/drawing/2014/main" id="{5FE6A97C-7A51-4CEF-B1EF-0F2B874017B0}"/>
            </a:ext>
            <a:ext uri="{147F2762-F138-4A5C-976F-8EAC2B608ADB}">
              <a16:predDERef xmlns:a16="http://schemas.microsoft.com/office/drawing/2014/main" pred="{B2701461-9991-48D3-B505-168515B0A9B2}"/>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42875" y="21059775"/>
          <a:ext cx="3812470" cy="4524375"/>
        </a:xfrm>
        <a:prstGeom prst="rect">
          <a:avLst/>
        </a:prstGeom>
      </xdr:spPr>
    </xdr:pic>
    <xdr:clientData/>
  </xdr:twoCellAnchor>
  <xdr:twoCellAnchor editAs="oneCell">
    <xdr:from>
      <xdr:col>7</xdr:col>
      <xdr:colOff>0</xdr:colOff>
      <xdr:row>110</xdr:row>
      <xdr:rowOff>142875</xdr:rowOff>
    </xdr:from>
    <xdr:to>
      <xdr:col>13</xdr:col>
      <xdr:colOff>109459</xdr:colOff>
      <xdr:row>134</xdr:row>
      <xdr:rowOff>30140</xdr:rowOff>
    </xdr:to>
    <xdr:pic>
      <xdr:nvPicPr>
        <xdr:cNvPr id="8" name="Imagen 7">
          <a:extLst>
            <a:ext uri="{FF2B5EF4-FFF2-40B4-BE49-F238E27FC236}">
              <a16:creationId xmlns:a16="http://schemas.microsoft.com/office/drawing/2014/main" id="{8CE566F9-CA7C-4CBD-A47E-4C07D27B42F3}"/>
            </a:ext>
            <a:ext uri="{147F2762-F138-4A5C-976F-8EAC2B608ADB}">
              <a16:predDERef xmlns:a16="http://schemas.microsoft.com/office/drawing/2014/main" pred="{5FE6A97C-7A51-4CEF-B1EF-0F2B874017B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4267200" y="21097875"/>
          <a:ext cx="3806746" cy="4459265"/>
        </a:xfrm>
        <a:prstGeom prst="rect">
          <a:avLst/>
        </a:prstGeom>
      </xdr:spPr>
    </xdr:pic>
    <xdr:clientData/>
  </xdr:twoCellAnchor>
  <xdr:twoCellAnchor editAs="oneCell">
    <xdr:from>
      <xdr:col>14</xdr:col>
      <xdr:colOff>66675</xdr:colOff>
      <xdr:row>5</xdr:row>
      <xdr:rowOff>9525</xdr:rowOff>
    </xdr:from>
    <xdr:to>
      <xdr:col>21</xdr:col>
      <xdr:colOff>66676</xdr:colOff>
      <xdr:row>29</xdr:row>
      <xdr:rowOff>9525</xdr:rowOff>
    </xdr:to>
    <xdr:pic>
      <xdr:nvPicPr>
        <xdr:cNvPr id="9" name="Imagen 8">
          <a:extLst>
            <a:ext uri="{FF2B5EF4-FFF2-40B4-BE49-F238E27FC236}">
              <a16:creationId xmlns:a16="http://schemas.microsoft.com/office/drawing/2014/main" id="{34F3B9D0-C6EE-AA9E-3AB7-5B56B9031ECD}"/>
            </a:ext>
            <a:ext uri="{147F2762-F138-4A5C-976F-8EAC2B608ADB}">
              <a16:predDERef xmlns:a16="http://schemas.microsoft.com/office/drawing/2014/main" pred="{8CE566F9-CA7C-4CBD-A47E-4C07D27B42F3}"/>
            </a:ext>
          </a:extLst>
        </xdr:cNvPr>
        <xdr:cNvPicPr>
          <a:picLocks noChangeAspect="1"/>
        </xdr:cNvPicPr>
      </xdr:nvPicPr>
      <xdr:blipFill>
        <a:blip xmlns:r="http://schemas.openxmlformats.org/officeDocument/2006/relationships" r:embed="rId8"/>
        <a:stretch>
          <a:fillRect/>
        </a:stretch>
      </xdr:blipFill>
      <xdr:spPr>
        <a:xfrm>
          <a:off x="8601075" y="962025"/>
          <a:ext cx="4267200" cy="4572000"/>
        </a:xfrm>
        <a:prstGeom prst="rect">
          <a:avLst/>
        </a:prstGeom>
      </xdr:spPr>
    </xdr:pic>
    <xdr:clientData/>
  </xdr:twoCellAnchor>
  <xdr:twoCellAnchor editAs="oneCell">
    <xdr:from>
      <xdr:col>8</xdr:col>
      <xdr:colOff>57150</xdr:colOff>
      <xdr:row>76</xdr:row>
      <xdr:rowOff>158115</xdr:rowOff>
    </xdr:from>
    <xdr:to>
      <xdr:col>14</xdr:col>
      <xdr:colOff>550862</xdr:colOff>
      <xdr:row>106</xdr:row>
      <xdr:rowOff>70485</xdr:rowOff>
    </xdr:to>
    <xdr:pic>
      <xdr:nvPicPr>
        <xdr:cNvPr id="10" name="Imagen 9">
          <a:extLst>
            <a:ext uri="{FF2B5EF4-FFF2-40B4-BE49-F238E27FC236}">
              <a16:creationId xmlns:a16="http://schemas.microsoft.com/office/drawing/2014/main" id="{EB7CCCDF-C670-547D-FC38-264CA952CA83}"/>
            </a:ext>
            <a:ext uri="{147F2762-F138-4A5C-976F-8EAC2B608ADB}">
              <a16:predDERef xmlns:a16="http://schemas.microsoft.com/office/drawing/2014/main" pred="{34F3B9D0-C6EE-AA9E-3AB7-5B56B9031ECD}"/>
            </a:ext>
          </a:extLst>
        </xdr:cNvPr>
        <xdr:cNvPicPr>
          <a:picLocks noChangeAspect="1"/>
        </xdr:cNvPicPr>
      </xdr:nvPicPr>
      <xdr:blipFill>
        <a:blip xmlns:r="http://schemas.openxmlformats.org/officeDocument/2006/relationships" r:embed="rId9"/>
        <a:stretch>
          <a:fillRect/>
        </a:stretch>
      </xdr:blipFill>
      <xdr:spPr>
        <a:xfrm>
          <a:off x="4933950" y="14056995"/>
          <a:ext cx="4191000" cy="5398770"/>
        </a:xfrm>
        <a:prstGeom prst="rect">
          <a:avLst/>
        </a:prstGeom>
      </xdr:spPr>
    </xdr:pic>
    <xdr:clientData/>
  </xdr:twoCellAnchor>
  <xdr:twoCellAnchor editAs="oneCell">
    <xdr:from>
      <xdr:col>21</xdr:col>
      <xdr:colOff>167640</xdr:colOff>
      <xdr:row>4</xdr:row>
      <xdr:rowOff>99060</xdr:rowOff>
    </xdr:from>
    <xdr:to>
      <xdr:col>30</xdr:col>
      <xdr:colOff>206218</xdr:colOff>
      <xdr:row>37</xdr:row>
      <xdr:rowOff>99583</xdr:rowOff>
    </xdr:to>
    <xdr:pic>
      <xdr:nvPicPr>
        <xdr:cNvPr id="12" name="Imagen 11">
          <a:extLst>
            <a:ext uri="{FF2B5EF4-FFF2-40B4-BE49-F238E27FC236}">
              <a16:creationId xmlns:a16="http://schemas.microsoft.com/office/drawing/2014/main" id="{C28186D3-6893-B611-D639-CC6A832F7215}"/>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12969240" y="830580"/>
          <a:ext cx="5524979" cy="603556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3</xdr:col>
      <xdr:colOff>754673</xdr:colOff>
      <xdr:row>76</xdr:row>
      <xdr:rowOff>95250</xdr:rowOff>
    </xdr:from>
    <xdr:ext cx="5216770" cy="2155908"/>
    <xdr:pic>
      <xdr:nvPicPr>
        <xdr:cNvPr id="2" name="Imagen 1">
          <a:extLst>
            <a:ext uri="{FF2B5EF4-FFF2-40B4-BE49-F238E27FC236}">
              <a16:creationId xmlns:a16="http://schemas.microsoft.com/office/drawing/2014/main" id="{E8905109-1A9E-4386-AEEC-1CFD06C4246F}"/>
            </a:ext>
          </a:extLst>
        </xdr:cNvPr>
        <xdr:cNvPicPr>
          <a:picLocks noChangeAspect="1"/>
        </xdr:cNvPicPr>
      </xdr:nvPicPr>
      <xdr:blipFill rotWithShape="1">
        <a:blip xmlns:r="http://schemas.openxmlformats.org/officeDocument/2006/relationships" r:embed="rId1"/>
        <a:srcRect l="5576" t="33616" r="4183"/>
        <a:stretch/>
      </xdr:blipFill>
      <xdr:spPr>
        <a:xfrm>
          <a:off x="3412148" y="13858875"/>
          <a:ext cx="5216770" cy="2155908"/>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4</xdr:col>
      <xdr:colOff>9525</xdr:colOff>
      <xdr:row>1</xdr:row>
      <xdr:rowOff>123825</xdr:rowOff>
    </xdr:from>
    <xdr:to>
      <xdr:col>4</xdr:col>
      <xdr:colOff>914400</xdr:colOff>
      <xdr:row>6</xdr:row>
      <xdr:rowOff>9525</xdr:rowOff>
    </xdr:to>
    <xdr:pic>
      <xdr:nvPicPr>
        <xdr:cNvPr id="2" name="Imagen 1" descr="Logotipo&#10;&#10;Descripción generada automáticamente">
          <a:extLst>
            <a:ext uri="{FF2B5EF4-FFF2-40B4-BE49-F238E27FC236}">
              <a16:creationId xmlns:a16="http://schemas.microsoft.com/office/drawing/2014/main" id="{DD7227C9-62BA-45A1-8011-06755D3711A2}"/>
            </a:ext>
          </a:extLst>
        </xdr:cNvPr>
        <xdr:cNvPicPr>
          <a:picLocks noChangeAspect="1"/>
        </xdr:cNvPicPr>
      </xdr:nvPicPr>
      <xdr:blipFill>
        <a:blip xmlns:r="http://schemas.openxmlformats.org/officeDocument/2006/relationships" r:embed="rId1"/>
        <a:stretch>
          <a:fillRect/>
        </a:stretch>
      </xdr:blipFill>
      <xdr:spPr>
        <a:xfrm>
          <a:off x="5686425" y="285750"/>
          <a:ext cx="904875" cy="107632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hyperlink" Target="../Documents/PROYECTOS/2025/GOBERNACIO&#769;N/PSA/PROCESO/DGR-LP-001-2025/PRIMAS.png" TargetMode="External"/><Relationship Id="rId7" Type="http://schemas.openxmlformats.org/officeDocument/2006/relationships/hyperlink" Target="../Documents/PROYECTOS/2025/GOBERNACIO&#769;N/PSA/PROCESO/DGR-LP-001-2025/DOTACION.png" TargetMode="External"/><Relationship Id="rId2" Type="http://schemas.openxmlformats.org/officeDocument/2006/relationships/hyperlink" Target="../Documents/PROYECTOS/2025/GOBERNACIO&#769;N/PSA/PROCESO/DGR-LP-001-2025/INTERES%20DE%20CESANTIAS.png" TargetMode="External"/><Relationship Id="rId1" Type="http://schemas.openxmlformats.org/officeDocument/2006/relationships/hyperlink" Target="../Documents/PROYECTOS/2025/GOBERNACIO&#769;N/PSA/PROCESO/DGR-LP-001-2025/CESANTIAS.png" TargetMode="External"/><Relationship Id="rId6" Type="http://schemas.openxmlformats.org/officeDocument/2006/relationships/hyperlink" Target="../Documents/PROYECTOS/2025/GOBERNACIO&#769;N/PSA/PROCESO/DGR-LP-001-2025/SALUD.png" TargetMode="External"/><Relationship Id="rId5" Type="http://schemas.openxmlformats.org/officeDocument/2006/relationships/hyperlink" Target="../Documents/PROYECTOS/2025/GOBERNACIO&#769;N/PSA/PROCESO/DGR-LP-001-2025/PENSION.png" TargetMode="External"/><Relationship Id="rId4" Type="http://schemas.openxmlformats.org/officeDocument/2006/relationships/hyperlink" Target="../Documents/PROYECTOS/2025/GOBERNACIO&#769;N/PSA/PROCESO/DGR-LP-001-2025/VACACIONES.png" TargetMode="External"/><Relationship Id="rId9"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F7E26F-2560-41E7-9299-6D989F5B7916}">
  <sheetPr>
    <pageSetUpPr fitToPage="1"/>
  </sheetPr>
  <dimension ref="A1:R114"/>
  <sheetViews>
    <sheetView tabSelected="1" view="pageBreakPreview" zoomScale="90" zoomScaleNormal="67" zoomScaleSheetLayoutView="90" zoomScalePageLayoutView="70" workbookViewId="0">
      <selection activeCell="D3" sqref="D3"/>
    </sheetView>
  </sheetViews>
  <sheetFormatPr baseColWidth="10" defaultColWidth="22.83203125" defaultRowHeight="18" x14ac:dyDescent="0.2"/>
  <cols>
    <col min="1" max="1" width="5.83203125" style="10" customWidth="1"/>
    <col min="2" max="2" width="10.5" style="10" customWidth="1"/>
    <col min="3" max="3" width="94" style="10" customWidth="1"/>
    <col min="4" max="4" width="34" style="10" customWidth="1"/>
    <col min="5" max="5" width="27.83203125" style="10" customWidth="1"/>
    <col min="6" max="6" width="21.6640625" style="111" customWidth="1"/>
    <col min="7" max="7" width="21.1640625" style="10" customWidth="1"/>
    <col min="8" max="8" width="29.1640625" style="10" customWidth="1"/>
    <col min="9" max="9" width="32.5" style="10" hidden="1" customWidth="1"/>
    <col min="10" max="10" width="21.1640625" style="10" hidden="1" customWidth="1"/>
    <col min="11" max="11" width="17.6640625" style="10" hidden="1" customWidth="1"/>
    <col min="12" max="13" width="0" style="10" hidden="1" customWidth="1"/>
    <col min="14" max="14" width="34.6640625" style="147" bestFit="1" customWidth="1"/>
    <col min="15" max="15" width="22.83203125" style="137"/>
    <col min="16" max="16384" width="22.83203125" style="10"/>
  </cols>
  <sheetData>
    <row r="1" spans="1:15" s="2" customFormat="1" ht="47.25" customHeight="1" x14ac:dyDescent="0.2">
      <c r="A1" s="535"/>
      <c r="B1" s="536"/>
      <c r="C1" s="536"/>
      <c r="D1" s="536"/>
      <c r="E1" s="536"/>
      <c r="F1" s="536"/>
      <c r="G1" s="536"/>
      <c r="H1" s="537"/>
      <c r="I1" s="1"/>
      <c r="N1" s="150"/>
      <c r="O1" s="136"/>
    </row>
    <row r="2" spans="1:15" s="2" customFormat="1" ht="19" thickBot="1" x14ac:dyDescent="0.25">
      <c r="A2" s="538" t="s">
        <v>0</v>
      </c>
      <c r="B2" s="539"/>
      <c r="C2" s="539"/>
      <c r="D2" s="539"/>
      <c r="E2" s="539"/>
      <c r="F2" s="539"/>
      <c r="G2" s="539"/>
      <c r="H2" s="540"/>
      <c r="I2" s="1"/>
      <c r="N2" s="150"/>
      <c r="O2" s="136"/>
    </row>
    <row r="3" spans="1:15" ht="20" thickTop="1" thickBot="1" x14ac:dyDescent="0.25">
      <c r="A3" s="3"/>
      <c r="B3" s="4"/>
      <c r="C3" s="5" t="s">
        <v>1</v>
      </c>
      <c r="D3" s="563">
        <v>5060195635.6000004</v>
      </c>
      <c r="E3" s="6"/>
      <c r="F3" s="7"/>
      <c r="G3" s="4"/>
      <c r="H3" s="8"/>
      <c r="I3" s="9"/>
    </row>
    <row r="4" spans="1:15" ht="20" thickTop="1" thickBot="1" x14ac:dyDescent="0.25">
      <c r="A4" s="3"/>
      <c r="B4" s="4"/>
      <c r="C4" s="11" t="s">
        <v>2</v>
      </c>
      <c r="D4" s="12">
        <v>7</v>
      </c>
      <c r="E4" s="12" t="s">
        <v>3</v>
      </c>
      <c r="F4" s="7"/>
      <c r="G4" s="4"/>
      <c r="H4" s="8"/>
      <c r="I4" s="13"/>
    </row>
    <row r="5" spans="1:15" ht="20" thickTop="1" thickBot="1" x14ac:dyDescent="0.25">
      <c r="A5" s="3"/>
      <c r="B5" s="4"/>
      <c r="C5" s="11" t="s">
        <v>4</v>
      </c>
      <c r="D5" s="562">
        <f>SUM(A12:B24)</f>
        <v>13</v>
      </c>
      <c r="E5" s="159"/>
      <c r="F5" s="7"/>
      <c r="G5" s="4"/>
      <c r="H5" s="8"/>
      <c r="I5" s="13"/>
    </row>
    <row r="6" spans="1:15" ht="4.5" customHeight="1" thickTop="1" x14ac:dyDescent="0.2">
      <c r="A6" s="3"/>
      <c r="B6" s="4"/>
      <c r="C6" s="11"/>
      <c r="D6" s="159"/>
      <c r="E6" s="159"/>
      <c r="F6" s="7"/>
      <c r="G6" s="4"/>
      <c r="H6" s="8"/>
      <c r="I6" s="13"/>
    </row>
    <row r="7" spans="1:15" s="13" customFormat="1" x14ac:dyDescent="0.2">
      <c r="A7" s="14" t="s">
        <v>5</v>
      </c>
      <c r="B7" s="11"/>
      <c r="C7" s="11"/>
      <c r="D7" s="11"/>
      <c r="E7" s="11"/>
      <c r="F7" s="15"/>
      <c r="G7" s="11"/>
      <c r="H7" s="16"/>
      <c r="N7" s="147"/>
      <c r="O7" s="138"/>
    </row>
    <row r="8" spans="1:15" x14ac:dyDescent="0.2">
      <c r="A8" s="515"/>
      <c r="B8" s="516"/>
      <c r="C8" s="516"/>
      <c r="D8" s="516"/>
      <c r="E8" s="516"/>
      <c r="F8" s="516"/>
      <c r="G8" s="516"/>
      <c r="H8" s="517"/>
    </row>
    <row r="9" spans="1:15" s="20" customFormat="1" ht="60" x14ac:dyDescent="0.2">
      <c r="A9" s="541" t="s">
        <v>6</v>
      </c>
      <c r="B9" s="542"/>
      <c r="C9" s="17" t="s">
        <v>7</v>
      </c>
      <c r="D9" s="17" t="s">
        <v>8</v>
      </c>
      <c r="E9" s="17" t="s">
        <v>9</v>
      </c>
      <c r="F9" s="18" t="s">
        <v>10</v>
      </c>
      <c r="G9" s="17" t="s">
        <v>11</v>
      </c>
      <c r="H9" s="19" t="s">
        <v>12</v>
      </c>
      <c r="J9" s="21">
        <v>1</v>
      </c>
      <c r="N9" s="151"/>
      <c r="O9" s="139"/>
    </row>
    <row r="10" spans="1:15" s="20" customFormat="1" x14ac:dyDescent="0.2">
      <c r="A10" s="541" t="s">
        <v>13</v>
      </c>
      <c r="B10" s="543"/>
      <c r="C10" s="22"/>
      <c r="D10" s="17" t="s">
        <v>14</v>
      </c>
      <c r="E10" s="17" t="s">
        <v>15</v>
      </c>
      <c r="F10" s="23" t="s">
        <v>16</v>
      </c>
      <c r="G10" s="17" t="s">
        <v>15</v>
      </c>
      <c r="H10" s="19" t="s">
        <v>17</v>
      </c>
      <c r="N10" s="151"/>
      <c r="O10" s="139"/>
    </row>
    <row r="11" spans="1:15" s="20" customFormat="1" x14ac:dyDescent="0.2">
      <c r="A11" s="120" t="s">
        <v>18</v>
      </c>
      <c r="B11" s="24"/>
      <c r="C11" s="25"/>
      <c r="D11" s="25"/>
      <c r="E11" s="25"/>
      <c r="F11" s="26"/>
      <c r="G11" s="25"/>
      <c r="H11" s="27"/>
      <c r="N11" s="151"/>
      <c r="O11" s="139"/>
    </row>
    <row r="12" spans="1:15" s="163" customFormat="1" x14ac:dyDescent="0.2">
      <c r="A12" s="523">
        <v>1</v>
      </c>
      <c r="B12" s="524"/>
      <c r="C12" s="206" t="s">
        <v>19</v>
      </c>
      <c r="D12" s="121">
        <v>0.7</v>
      </c>
      <c r="E12" s="421">
        <v>5935000</v>
      </c>
      <c r="F12" s="207">
        <v>1.6</v>
      </c>
      <c r="G12" s="208">
        <f>$D$4</f>
        <v>7</v>
      </c>
      <c r="H12" s="422">
        <f>ROUND(+D12*E12*G12*F12*A12,0)</f>
        <v>46530400</v>
      </c>
      <c r="I12" s="521"/>
      <c r="J12" s="163">
        <v>4000000</v>
      </c>
      <c r="N12" s="165"/>
      <c r="O12" s="209"/>
    </row>
    <row r="13" spans="1:15" s="163" customFormat="1" x14ac:dyDescent="0.2">
      <c r="A13" s="523">
        <v>2</v>
      </c>
      <c r="B13" s="524"/>
      <c r="C13" s="206" t="s">
        <v>20</v>
      </c>
      <c r="D13" s="121">
        <v>1</v>
      </c>
      <c r="E13" s="421">
        <v>4510000</v>
      </c>
      <c r="F13" s="207">
        <v>1.6</v>
      </c>
      <c r="G13" s="208">
        <f t="shared" ref="G13:G18" si="0">$D$4</f>
        <v>7</v>
      </c>
      <c r="H13" s="422">
        <f t="shared" ref="H13:H18" si="1">ROUND(+D13*E13*G13*F13*A13,0)</f>
        <v>101024000</v>
      </c>
      <c r="I13" s="522"/>
      <c r="J13" s="163">
        <v>3500000</v>
      </c>
      <c r="N13" s="165"/>
      <c r="O13" s="209"/>
    </row>
    <row r="14" spans="1:15" s="163" customFormat="1" x14ac:dyDescent="0.2">
      <c r="A14" s="523">
        <v>2</v>
      </c>
      <c r="B14" s="524"/>
      <c r="C14" s="478" t="s">
        <v>304</v>
      </c>
      <c r="D14" s="121">
        <v>0.6</v>
      </c>
      <c r="E14" s="421">
        <v>4510000</v>
      </c>
      <c r="F14" s="207">
        <v>1.6</v>
      </c>
      <c r="G14" s="208">
        <f t="shared" si="0"/>
        <v>7</v>
      </c>
      <c r="H14" s="422">
        <f t="shared" si="1"/>
        <v>60614400</v>
      </c>
      <c r="I14" s="212"/>
      <c r="N14" s="165"/>
      <c r="O14" s="209"/>
    </row>
    <row r="15" spans="1:15" s="163" customFormat="1" x14ac:dyDescent="0.2">
      <c r="A15" s="480">
        <v>1</v>
      </c>
      <c r="B15" s="481"/>
      <c r="C15" s="214" t="s">
        <v>273</v>
      </c>
      <c r="D15" s="121">
        <v>0.9</v>
      </c>
      <c r="E15" s="421">
        <f>+'FAC. PRES_OBRA'!D44</f>
        <v>4501107</v>
      </c>
      <c r="F15" s="207">
        <f>+F16</f>
        <v>1.6</v>
      </c>
      <c r="G15" s="208">
        <f t="shared" si="0"/>
        <v>7</v>
      </c>
      <c r="H15" s="422">
        <f t="shared" si="1"/>
        <v>45371159</v>
      </c>
      <c r="I15" s="212"/>
      <c r="N15" s="165"/>
      <c r="O15" s="209"/>
    </row>
    <row r="16" spans="1:15" s="163" customFormat="1" x14ac:dyDescent="0.2">
      <c r="A16" s="480">
        <v>1</v>
      </c>
      <c r="B16" s="481"/>
      <c r="C16" s="214" t="s">
        <v>299</v>
      </c>
      <c r="D16" s="121">
        <v>0.5</v>
      </c>
      <c r="E16" s="421">
        <f>+'FAC. PRES_OBRA'!D52</f>
        <v>4501107</v>
      </c>
      <c r="F16" s="207">
        <f>+F13</f>
        <v>1.6</v>
      </c>
      <c r="G16" s="208">
        <f t="shared" si="0"/>
        <v>7</v>
      </c>
      <c r="H16" s="422">
        <f t="shared" si="1"/>
        <v>25206199</v>
      </c>
      <c r="I16" s="212"/>
      <c r="J16" s="163">
        <v>1500000</v>
      </c>
      <c r="N16" s="165"/>
      <c r="O16" s="209"/>
    </row>
    <row r="17" spans="1:15" s="163" customFormat="1" x14ac:dyDescent="0.2">
      <c r="A17" s="480">
        <v>1</v>
      </c>
      <c r="B17" s="481"/>
      <c r="C17" s="214" t="s">
        <v>305</v>
      </c>
      <c r="D17" s="121">
        <v>0.5</v>
      </c>
      <c r="E17" s="421">
        <f>+'FAC. PRES_OBRA'!D53</f>
        <v>4501107</v>
      </c>
      <c r="F17" s="207">
        <f>+F14</f>
        <v>1.6</v>
      </c>
      <c r="G17" s="208">
        <f t="shared" si="0"/>
        <v>7</v>
      </c>
      <c r="H17" s="422">
        <f t="shared" si="1"/>
        <v>25206199</v>
      </c>
      <c r="I17" s="212"/>
      <c r="N17" s="165"/>
      <c r="O17" s="209"/>
    </row>
    <row r="18" spans="1:15" s="210" customFormat="1" x14ac:dyDescent="0.2">
      <c r="A18" s="480">
        <v>3</v>
      </c>
      <c r="B18" s="481"/>
      <c r="C18" s="214" t="s">
        <v>306</v>
      </c>
      <c r="D18" s="121">
        <v>0.9</v>
      </c>
      <c r="E18" s="421">
        <v>2730000</v>
      </c>
      <c r="F18" s="207">
        <v>1.6</v>
      </c>
      <c r="G18" s="208">
        <f t="shared" si="0"/>
        <v>7</v>
      </c>
      <c r="H18" s="422">
        <f t="shared" si="1"/>
        <v>82555200</v>
      </c>
      <c r="I18" s="213"/>
      <c r="N18" s="165"/>
      <c r="O18" s="211"/>
    </row>
    <row r="19" spans="1:15" s="163" customFormat="1" x14ac:dyDescent="0.2">
      <c r="A19" s="215"/>
      <c r="B19" s="216"/>
      <c r="C19" s="216"/>
      <c r="D19" s="216"/>
      <c r="E19" s="216"/>
      <c r="F19" s="217"/>
      <c r="G19" s="216"/>
      <c r="H19" s="218"/>
      <c r="N19" s="165"/>
      <c r="O19" s="166"/>
    </row>
    <row r="20" spans="1:15" s="163" customFormat="1" x14ac:dyDescent="0.2">
      <c r="A20" s="205"/>
      <c r="B20" s="224"/>
      <c r="C20" s="188"/>
      <c r="D20" s="225"/>
      <c r="E20" s="226"/>
      <c r="F20" s="227"/>
      <c r="G20" s="228"/>
      <c r="H20" s="229"/>
      <c r="I20" s="212"/>
      <c r="N20" s="165"/>
      <c r="O20" s="209"/>
    </row>
    <row r="21" spans="1:15" s="220" customFormat="1" x14ac:dyDescent="0.2">
      <c r="A21" s="219" t="s">
        <v>21</v>
      </c>
      <c r="B21" s="25"/>
      <c r="C21" s="25"/>
      <c r="D21" s="25"/>
      <c r="E21" s="25"/>
      <c r="F21" s="26"/>
      <c r="G21" s="25"/>
      <c r="H21" s="27"/>
      <c r="I21" s="163"/>
      <c r="N21" s="221"/>
      <c r="O21" s="209"/>
    </row>
    <row r="22" spans="1:15" s="220" customFormat="1" x14ac:dyDescent="0.2">
      <c r="A22" s="523">
        <v>1</v>
      </c>
      <c r="B22" s="528"/>
      <c r="C22" s="242" t="s">
        <v>22</v>
      </c>
      <c r="D22" s="121">
        <v>0.8</v>
      </c>
      <c r="E22" s="421">
        <v>2730000</v>
      </c>
      <c r="F22" s="207">
        <v>1.4</v>
      </c>
      <c r="G22" s="208">
        <f t="shared" ref="G22:G23" si="2">$D$4</f>
        <v>7</v>
      </c>
      <c r="H22" s="422">
        <f>ROUND(+D22*E22*G22*F22,0)*A22</f>
        <v>21403200</v>
      </c>
      <c r="I22" s="163"/>
      <c r="N22" s="221"/>
      <c r="O22" s="209"/>
    </row>
    <row r="23" spans="1:15" s="163" customFormat="1" ht="15.75" customHeight="1" x14ac:dyDescent="0.2">
      <c r="A23" s="523">
        <v>1</v>
      </c>
      <c r="B23" s="529"/>
      <c r="C23" s="242" t="s">
        <v>23</v>
      </c>
      <c r="D23" s="121">
        <v>0.8</v>
      </c>
      <c r="E23" s="421">
        <v>2439000</v>
      </c>
      <c r="F23" s="207">
        <v>1.75</v>
      </c>
      <c r="G23" s="208">
        <f t="shared" si="2"/>
        <v>7</v>
      </c>
      <c r="H23" s="422">
        <f>ROUND(+D23*E23*G23*F23,0)*A23</f>
        <v>23902200</v>
      </c>
      <c r="I23" s="222"/>
      <c r="J23" s="223"/>
      <c r="N23" s="165"/>
      <c r="O23" s="209"/>
    </row>
    <row r="24" spans="1:15" s="163" customFormat="1" x14ac:dyDescent="0.2">
      <c r="A24" s="533"/>
      <c r="B24" s="534"/>
      <c r="C24" s="230"/>
      <c r="D24" s="230"/>
      <c r="E24" s="230"/>
      <c r="F24" s="230"/>
      <c r="G24" s="230"/>
      <c r="H24" s="418">
        <f>SUM(H12:H23)</f>
        <v>431812957</v>
      </c>
      <c r="I24" s="231"/>
      <c r="N24" s="165"/>
      <c r="O24" s="166"/>
    </row>
    <row r="25" spans="1:15" s="163" customFormat="1" x14ac:dyDescent="0.2">
      <c r="A25" s="215"/>
      <c r="B25" s="216"/>
      <c r="C25" s="216"/>
      <c r="D25" s="216"/>
      <c r="E25" s="232"/>
      <c r="F25" s="217"/>
      <c r="G25" s="216"/>
      <c r="H25" s="218"/>
      <c r="I25" s="182"/>
      <c r="N25" s="165"/>
      <c r="O25" s="166"/>
    </row>
    <row r="26" spans="1:15" s="20" customFormat="1" x14ac:dyDescent="0.2">
      <c r="A26" s="120" t="s">
        <v>24</v>
      </c>
      <c r="B26" s="24"/>
      <c r="C26" s="24"/>
      <c r="D26" s="24"/>
      <c r="E26" s="24"/>
      <c r="F26" s="30"/>
      <c r="G26" s="24"/>
      <c r="H26" s="31"/>
      <c r="I26" s="10"/>
      <c r="N26" s="151"/>
      <c r="O26" s="139"/>
    </row>
    <row r="27" spans="1:15" s="20" customFormat="1" x14ac:dyDescent="0.2">
      <c r="A27" s="34" t="s">
        <v>25</v>
      </c>
      <c r="B27" s="35"/>
      <c r="C27" s="35"/>
      <c r="D27" s="35"/>
      <c r="E27" s="35"/>
      <c r="F27" s="36"/>
      <c r="G27" s="35"/>
      <c r="H27" s="37"/>
      <c r="I27" s="10"/>
      <c r="N27" s="151"/>
      <c r="O27" s="139"/>
    </row>
    <row r="28" spans="1:15" s="38" customFormat="1" x14ac:dyDescent="0.2">
      <c r="A28" s="530" t="s">
        <v>26</v>
      </c>
      <c r="B28" s="531"/>
      <c r="C28" s="532"/>
      <c r="D28" s="17" t="s">
        <v>27</v>
      </c>
      <c r="E28" s="17" t="s">
        <v>28</v>
      </c>
      <c r="F28" s="23" t="s">
        <v>29</v>
      </c>
      <c r="G28" s="17" t="s">
        <v>30</v>
      </c>
      <c r="H28" s="19" t="s">
        <v>31</v>
      </c>
      <c r="N28" s="152"/>
      <c r="O28" s="140"/>
    </row>
    <row r="29" spans="1:15" s="197" customFormat="1" ht="28.5" customHeight="1" x14ac:dyDescent="0.2">
      <c r="A29" s="509" t="s">
        <v>32</v>
      </c>
      <c r="B29" s="510"/>
      <c r="C29" s="511"/>
      <c r="D29" s="330">
        <v>70</v>
      </c>
      <c r="E29" s="168">
        <v>9000</v>
      </c>
      <c r="F29" s="168">
        <f>D29*E29</f>
        <v>630000</v>
      </c>
      <c r="G29" s="208">
        <f t="shared" ref="G29:G30" si="3">$D$4</f>
        <v>7</v>
      </c>
      <c r="H29" s="422">
        <f>(+F29*G29)</f>
        <v>4410000</v>
      </c>
      <c r="I29" s="199"/>
      <c r="J29" s="197">
        <v>1500</v>
      </c>
      <c r="N29" s="152"/>
      <c r="O29" s="200"/>
    </row>
    <row r="30" spans="1:15" s="197" customFormat="1" ht="18.75" customHeight="1" x14ac:dyDescent="0.2">
      <c r="A30" s="509" t="s">
        <v>33</v>
      </c>
      <c r="B30" s="510"/>
      <c r="C30" s="511"/>
      <c r="D30" s="233">
        <v>60</v>
      </c>
      <c r="E30" s="168">
        <v>30000</v>
      </c>
      <c r="F30" s="168">
        <f>D30*E30</f>
        <v>1800000</v>
      </c>
      <c r="G30" s="208">
        <f t="shared" si="3"/>
        <v>7</v>
      </c>
      <c r="H30" s="422">
        <f>(+F30*G30)</f>
        <v>12600000</v>
      </c>
      <c r="I30" s="199"/>
      <c r="N30" s="152"/>
      <c r="O30" s="200"/>
    </row>
    <row r="31" spans="1:15" s="20" customFormat="1" x14ac:dyDescent="0.2">
      <c r="A31" s="234" t="s">
        <v>34</v>
      </c>
      <c r="B31" s="235"/>
      <c r="C31" s="235"/>
      <c r="D31" s="235"/>
      <c r="E31" s="235"/>
      <c r="F31" s="236"/>
      <c r="G31" s="235"/>
      <c r="H31" s="237"/>
      <c r="I31" s="10"/>
      <c r="N31" s="151"/>
      <c r="O31" s="139"/>
    </row>
    <row r="32" spans="1:15" s="39" customFormat="1" ht="28.5" customHeight="1" x14ac:dyDescent="0.2">
      <c r="A32" s="525" t="s">
        <v>26</v>
      </c>
      <c r="B32" s="526"/>
      <c r="C32" s="527"/>
      <c r="D32" s="238" t="s">
        <v>6</v>
      </c>
      <c r="E32" s="238" t="s">
        <v>29</v>
      </c>
      <c r="F32" s="239" t="s">
        <v>35</v>
      </c>
      <c r="G32" s="238" t="s">
        <v>30</v>
      </c>
      <c r="H32" s="240" t="s">
        <v>31</v>
      </c>
      <c r="N32" s="152"/>
      <c r="O32" s="141"/>
    </row>
    <row r="33" spans="1:15" ht="14" customHeight="1" x14ac:dyDescent="0.2">
      <c r="A33" s="509" t="s">
        <v>36</v>
      </c>
      <c r="B33" s="510"/>
      <c r="C33" s="511"/>
      <c r="D33" s="233">
        <v>1</v>
      </c>
      <c r="E33" s="421">
        <v>350000</v>
      </c>
      <c r="F33" s="241">
        <v>1</v>
      </c>
      <c r="G33" s="208">
        <f t="shared" ref="G33:G36" si="4">$D$4</f>
        <v>7</v>
      </c>
      <c r="H33" s="422">
        <f t="shared" ref="H33:H36" si="5">+F33*G33*E33*D33</f>
        <v>2450000</v>
      </c>
      <c r="I33" s="29"/>
      <c r="J33" s="10">
        <v>500000</v>
      </c>
    </row>
    <row r="34" spans="1:15" ht="14" customHeight="1" x14ac:dyDescent="0.2">
      <c r="A34" s="509" t="s">
        <v>37</v>
      </c>
      <c r="B34" s="510"/>
      <c r="C34" s="511"/>
      <c r="D34" s="233">
        <v>1</v>
      </c>
      <c r="E34" s="421">
        <v>100000</v>
      </c>
      <c r="F34" s="241">
        <v>1</v>
      </c>
      <c r="G34" s="208">
        <f t="shared" si="4"/>
        <v>7</v>
      </c>
      <c r="H34" s="422">
        <f t="shared" si="5"/>
        <v>700000</v>
      </c>
      <c r="I34" s="29"/>
      <c r="J34" s="10">
        <v>500000</v>
      </c>
    </row>
    <row r="35" spans="1:15" ht="15.75" customHeight="1" x14ac:dyDescent="0.2">
      <c r="A35" s="509" t="s">
        <v>38</v>
      </c>
      <c r="B35" s="510"/>
      <c r="C35" s="511"/>
      <c r="D35" s="233">
        <v>1</v>
      </c>
      <c r="E35" s="421">
        <v>300000</v>
      </c>
      <c r="F35" s="241">
        <v>1</v>
      </c>
      <c r="G35" s="208">
        <f t="shared" si="4"/>
        <v>7</v>
      </c>
      <c r="H35" s="422">
        <f t="shared" si="5"/>
        <v>2100000</v>
      </c>
      <c r="I35" s="29"/>
      <c r="J35" s="10">
        <v>500000</v>
      </c>
    </row>
    <row r="36" spans="1:15" s="197" customFormat="1" ht="13.5" customHeight="1" x14ac:dyDescent="0.2">
      <c r="A36" s="509" t="s">
        <v>39</v>
      </c>
      <c r="B36" s="510"/>
      <c r="C36" s="511"/>
      <c r="D36" s="233">
        <f>A23</f>
        <v>1</v>
      </c>
      <c r="E36" s="421">
        <v>8000000</v>
      </c>
      <c r="F36" s="241">
        <f>D23</f>
        <v>0.8</v>
      </c>
      <c r="G36" s="208">
        <f t="shared" si="4"/>
        <v>7</v>
      </c>
      <c r="H36" s="422">
        <f t="shared" si="5"/>
        <v>44800000.000000007</v>
      </c>
      <c r="I36" s="199"/>
      <c r="N36" s="198"/>
      <c r="O36" s="200"/>
    </row>
    <row r="37" spans="1:15" ht="21" customHeight="1" x14ac:dyDescent="0.2">
      <c r="A37" s="512" t="s">
        <v>40</v>
      </c>
      <c r="B37" s="513"/>
      <c r="C37" s="513"/>
      <c r="D37" s="513"/>
      <c r="E37" s="513"/>
      <c r="F37" s="513"/>
      <c r="G37" s="514"/>
      <c r="H37" s="418">
        <f>ROUND(SUM(H29:H36),0)</f>
        <v>67060000</v>
      </c>
    </row>
    <row r="38" spans="1:15" ht="13.5" customHeight="1" x14ac:dyDescent="0.2">
      <c r="A38" s="40"/>
      <c r="B38" s="41"/>
      <c r="C38" s="41"/>
      <c r="D38" s="41"/>
      <c r="E38" s="41"/>
      <c r="F38" s="42"/>
      <c r="G38" s="41"/>
      <c r="H38" s="43"/>
    </row>
    <row r="39" spans="1:15" ht="13.5" customHeight="1" x14ac:dyDescent="0.2">
      <c r="A39" s="44" t="s">
        <v>41</v>
      </c>
      <c r="B39" s="45"/>
      <c r="C39" s="46"/>
      <c r="D39" s="46"/>
      <c r="E39" s="46"/>
      <c r="F39" s="47"/>
      <c r="G39" s="48"/>
      <c r="H39" s="572">
        <f>((H24+H37))</f>
        <v>498872957</v>
      </c>
    </row>
    <row r="40" spans="1:15" ht="13.5" customHeight="1" x14ac:dyDescent="0.2">
      <c r="A40" s="44" t="s">
        <v>42</v>
      </c>
      <c r="B40" s="45"/>
      <c r="C40" s="46"/>
      <c r="D40" s="46"/>
      <c r="E40" s="46"/>
      <c r="F40" s="47"/>
      <c r="G40" s="48"/>
      <c r="H40" s="49">
        <f>ROUND(+H39/D3,4)</f>
        <v>9.8599999999999993E-2</v>
      </c>
      <c r="I40" s="50">
        <f>ROUND(H39/D3,4)</f>
        <v>9.8599999999999993E-2</v>
      </c>
    </row>
    <row r="41" spans="1:15" ht="10.5" customHeight="1" x14ac:dyDescent="0.2">
      <c r="A41" s="40"/>
      <c r="B41" s="41"/>
      <c r="C41" s="41"/>
      <c r="D41" s="41"/>
      <c r="E41" s="41"/>
      <c r="F41" s="42"/>
      <c r="G41" s="41"/>
      <c r="H41" s="51"/>
      <c r="I41" s="52"/>
    </row>
    <row r="42" spans="1:15" ht="18.75" customHeight="1" x14ac:dyDescent="0.2">
      <c r="A42" s="515" t="s">
        <v>43</v>
      </c>
      <c r="B42" s="516"/>
      <c r="C42" s="516"/>
      <c r="D42" s="516"/>
      <c r="E42" s="516"/>
      <c r="F42" s="516"/>
      <c r="G42" s="516"/>
      <c r="H42" s="517"/>
    </row>
    <row r="43" spans="1:15" s="53" customFormat="1" ht="14.25" customHeight="1" x14ac:dyDescent="0.2">
      <c r="A43" s="518" t="s">
        <v>44</v>
      </c>
      <c r="B43" s="519"/>
      <c r="C43" s="519"/>
      <c r="D43" s="519"/>
      <c r="E43" s="519"/>
      <c r="F43" s="519"/>
      <c r="G43" s="519"/>
      <c r="H43" s="520"/>
      <c r="N43" s="152"/>
      <c r="O43" s="142"/>
    </row>
    <row r="44" spans="1:15" s="53" customFormat="1" ht="12" customHeight="1" x14ac:dyDescent="0.2">
      <c r="A44" s="489" t="s">
        <v>45</v>
      </c>
      <c r="B44" s="490"/>
      <c r="C44" s="490"/>
      <c r="D44" s="490"/>
      <c r="E44" s="490"/>
      <c r="F44" s="54" t="s">
        <v>46</v>
      </c>
      <c r="G44" s="55" t="s">
        <v>47</v>
      </c>
      <c r="H44" s="56" t="s">
        <v>31</v>
      </c>
      <c r="N44" s="152"/>
      <c r="O44" s="142"/>
    </row>
    <row r="45" spans="1:15" s="163" customFormat="1" ht="17.25" customHeight="1" x14ac:dyDescent="0.2">
      <c r="A45" s="482" t="s">
        <v>48</v>
      </c>
      <c r="B45" s="483"/>
      <c r="C45" s="484"/>
      <c r="D45" s="32"/>
      <c r="E45" s="201"/>
      <c r="F45" s="160">
        <f>+D3</f>
        <v>5060195635.6000004</v>
      </c>
      <c r="G45" s="161">
        <v>0.05</v>
      </c>
      <c r="H45" s="420">
        <f t="shared" ref="H45:H51" si="6">F45*G45</f>
        <v>253009781.78000003</v>
      </c>
      <c r="I45" s="162"/>
      <c r="K45" s="164"/>
      <c r="L45" s="164"/>
      <c r="M45" s="164"/>
      <c r="N45" s="165"/>
      <c r="O45" s="166"/>
    </row>
    <row r="46" spans="1:15" s="163" customFormat="1" ht="17.25" customHeight="1" x14ac:dyDescent="0.2">
      <c r="A46" s="482" t="s">
        <v>49</v>
      </c>
      <c r="B46" s="483"/>
      <c r="C46" s="484"/>
      <c r="D46" s="32"/>
      <c r="E46" s="186"/>
      <c r="F46" s="160">
        <f>$F$45</f>
        <v>5060195635.6000004</v>
      </c>
      <c r="G46" s="161">
        <v>0.02</v>
      </c>
      <c r="H46" s="420">
        <f t="shared" si="6"/>
        <v>101203912.71200001</v>
      </c>
      <c r="I46" s="162"/>
      <c r="K46" s="164"/>
      <c r="L46" s="164"/>
      <c r="M46" s="164"/>
      <c r="N46" s="165"/>
      <c r="O46" s="166"/>
    </row>
    <row r="47" spans="1:15" s="163" customFormat="1" ht="17.25" customHeight="1" x14ac:dyDescent="0.2">
      <c r="A47" s="482" t="s">
        <v>50</v>
      </c>
      <c r="B47" s="483"/>
      <c r="C47" s="484"/>
      <c r="D47" s="32"/>
      <c r="E47" s="186"/>
      <c r="F47" s="160">
        <f>$F$45</f>
        <v>5060195635.6000004</v>
      </c>
      <c r="G47" s="161">
        <v>0.01</v>
      </c>
      <c r="H47" s="420">
        <f t="shared" si="6"/>
        <v>50601956.356000006</v>
      </c>
      <c r="I47" s="162"/>
      <c r="K47" s="164"/>
      <c r="L47" s="164"/>
      <c r="M47" s="164"/>
      <c r="N47" s="165"/>
      <c r="O47" s="166"/>
    </row>
    <row r="48" spans="1:15" s="163" customFormat="1" ht="17.25" customHeight="1" x14ac:dyDescent="0.2">
      <c r="A48" s="482" t="s">
        <v>51</v>
      </c>
      <c r="B48" s="483"/>
      <c r="C48" s="484"/>
      <c r="D48" s="32"/>
      <c r="E48" s="186"/>
      <c r="F48" s="160">
        <f>$F$45</f>
        <v>5060195635.6000004</v>
      </c>
      <c r="G48" s="161">
        <v>7.0000000000000001E-3</v>
      </c>
      <c r="H48" s="420">
        <f t="shared" si="6"/>
        <v>35421369.449200004</v>
      </c>
      <c r="I48" s="162"/>
      <c r="K48" s="164"/>
      <c r="L48" s="164"/>
      <c r="M48" s="164"/>
      <c r="N48" s="165"/>
      <c r="O48" s="166"/>
    </row>
    <row r="49" spans="1:16" s="163" customFormat="1" ht="17.25" customHeight="1" x14ac:dyDescent="0.2">
      <c r="A49" s="482" t="s">
        <v>52</v>
      </c>
      <c r="B49" s="483"/>
      <c r="C49" s="484"/>
      <c r="D49" s="32"/>
      <c r="E49" s="186"/>
      <c r="F49" s="160">
        <f>$F$45</f>
        <v>5060195635.6000004</v>
      </c>
      <c r="G49" s="161">
        <v>0.02</v>
      </c>
      <c r="H49" s="420">
        <f t="shared" si="6"/>
        <v>101203912.71200001</v>
      </c>
      <c r="I49" s="162"/>
      <c r="K49" s="164"/>
      <c r="L49" s="164"/>
      <c r="M49" s="164"/>
      <c r="N49" s="165"/>
      <c r="O49" s="166"/>
    </row>
    <row r="50" spans="1:16" s="163" customFormat="1" ht="17.25" customHeight="1" x14ac:dyDescent="0.2">
      <c r="A50" s="482" t="s">
        <v>235</v>
      </c>
      <c r="B50" s="483"/>
      <c r="C50" s="484"/>
      <c r="D50" s="32"/>
      <c r="E50" s="186"/>
      <c r="F50" s="160">
        <f>+F45</f>
        <v>5060195635.6000004</v>
      </c>
      <c r="G50" s="161">
        <v>0.01</v>
      </c>
      <c r="H50" s="420">
        <f t="shared" si="6"/>
        <v>50601956.356000006</v>
      </c>
      <c r="I50" s="162"/>
      <c r="K50" s="164"/>
      <c r="L50" s="164"/>
      <c r="M50" s="164"/>
      <c r="N50" s="165"/>
      <c r="O50" s="166"/>
    </row>
    <row r="51" spans="1:16" s="163" customFormat="1" ht="17.25" customHeight="1" x14ac:dyDescent="0.2">
      <c r="A51" s="482" t="s">
        <v>53</v>
      </c>
      <c r="B51" s="483"/>
      <c r="C51" s="484"/>
      <c r="D51" s="32"/>
      <c r="E51" s="187"/>
      <c r="F51" s="160">
        <f>$F$45</f>
        <v>5060195635.6000004</v>
      </c>
      <c r="G51" s="161">
        <v>0.01</v>
      </c>
      <c r="H51" s="420">
        <f t="shared" si="6"/>
        <v>50601956.356000006</v>
      </c>
      <c r="I51" s="162"/>
      <c r="K51" s="164"/>
      <c r="L51" s="164"/>
      <c r="M51" s="164"/>
      <c r="N51" s="165"/>
      <c r="O51" s="166"/>
    </row>
    <row r="52" spans="1:16" ht="16.5" customHeight="1" x14ac:dyDescent="0.2">
      <c r="A52" s="492" t="s">
        <v>54</v>
      </c>
      <c r="B52" s="493"/>
      <c r="C52" s="493"/>
      <c r="D52" s="493"/>
      <c r="E52" s="493"/>
      <c r="F52" s="493"/>
      <c r="G52" s="493"/>
      <c r="H52" s="418">
        <f>ROUND(SUM(H45:H51),0)</f>
        <v>642644846</v>
      </c>
      <c r="I52" s="33"/>
      <c r="J52" s="57"/>
      <c r="K52" s="57"/>
      <c r="L52" s="57"/>
      <c r="M52" s="57"/>
    </row>
    <row r="53" spans="1:16" ht="16.5" customHeight="1" x14ac:dyDescent="0.2">
      <c r="A53" s="494" t="s">
        <v>55</v>
      </c>
      <c r="B53" s="495"/>
      <c r="C53" s="495"/>
      <c r="D53" s="495"/>
      <c r="E53" s="495"/>
      <c r="F53" s="495"/>
      <c r="G53" s="495"/>
      <c r="H53" s="496"/>
    </row>
    <row r="54" spans="1:16" s="13" customFormat="1" ht="20.25" customHeight="1" x14ac:dyDescent="0.2">
      <c r="A54" s="497" t="s">
        <v>45</v>
      </c>
      <c r="B54" s="498"/>
      <c r="C54" s="498"/>
      <c r="D54" s="119"/>
      <c r="E54" s="119"/>
      <c r="F54" s="23"/>
      <c r="G54" s="17"/>
      <c r="H54" s="185" t="s">
        <v>56</v>
      </c>
      <c r="N54" s="147"/>
      <c r="O54" s="138"/>
    </row>
    <row r="55" spans="1:16" ht="20.25" customHeight="1" x14ac:dyDescent="0.2">
      <c r="A55" s="499" t="s">
        <v>57</v>
      </c>
      <c r="B55" s="502" t="s">
        <v>58</v>
      </c>
      <c r="C55" s="503"/>
      <c r="D55" s="58"/>
      <c r="E55" s="167"/>
      <c r="F55" s="59"/>
      <c r="G55" s="60"/>
      <c r="H55" s="504">
        <v>72929149.99999994</v>
      </c>
      <c r="I55" s="331"/>
      <c r="J55" s="28"/>
    </row>
    <row r="56" spans="1:16" ht="20.25" customHeight="1" x14ac:dyDescent="0.2">
      <c r="A56" s="500"/>
      <c r="B56" s="502" t="s">
        <v>59</v>
      </c>
      <c r="C56" s="503"/>
      <c r="D56" s="58"/>
      <c r="E56" s="167"/>
      <c r="F56" s="59"/>
      <c r="G56" s="60"/>
      <c r="H56" s="505"/>
      <c r="I56" s="331"/>
    </row>
    <row r="57" spans="1:16" ht="20.25" customHeight="1" x14ac:dyDescent="0.2">
      <c r="A57" s="500"/>
      <c r="B57" s="502" t="s">
        <v>60</v>
      </c>
      <c r="C57" s="503"/>
      <c r="D57" s="58"/>
      <c r="E57" s="167"/>
      <c r="F57" s="59"/>
      <c r="G57" s="60"/>
      <c r="H57" s="505"/>
      <c r="I57" s="331"/>
    </row>
    <row r="58" spans="1:16" ht="20.25" customHeight="1" x14ac:dyDescent="0.2">
      <c r="A58" s="501"/>
      <c r="B58" s="502" t="s">
        <v>61</v>
      </c>
      <c r="C58" s="503"/>
      <c r="D58" s="58"/>
      <c r="E58" s="167"/>
      <c r="F58" s="59"/>
      <c r="G58" s="60"/>
      <c r="H58" s="505"/>
      <c r="I58" s="331"/>
      <c r="N58" s="153"/>
      <c r="O58" s="143"/>
    </row>
    <row r="59" spans="1:16" ht="16.5" customHeight="1" x14ac:dyDescent="0.2">
      <c r="A59" s="507" t="s">
        <v>62</v>
      </c>
      <c r="B59" s="508"/>
      <c r="C59" s="508"/>
      <c r="D59" s="508"/>
      <c r="E59" s="508"/>
      <c r="F59" s="508"/>
      <c r="G59" s="508"/>
      <c r="H59" s="506"/>
      <c r="I59" s="164"/>
    </row>
    <row r="60" spans="1:16" ht="15" customHeight="1" x14ac:dyDescent="0.2">
      <c r="A60" s="40"/>
      <c r="B60" s="41"/>
      <c r="C60" s="41"/>
      <c r="D60" s="61"/>
      <c r="E60" s="62"/>
      <c r="F60" s="63"/>
      <c r="G60" s="62"/>
      <c r="H60" s="64"/>
    </row>
    <row r="61" spans="1:16" ht="15" customHeight="1" x14ac:dyDescent="0.2">
      <c r="A61" s="44" t="s">
        <v>63</v>
      </c>
      <c r="B61" s="45"/>
      <c r="C61" s="46"/>
      <c r="D61" s="65"/>
      <c r="E61" s="66"/>
      <c r="F61" s="67"/>
      <c r="G61" s="68"/>
      <c r="H61" s="572">
        <f>(+H52+H55)</f>
        <v>715573996</v>
      </c>
      <c r="I61" s="33"/>
      <c r="N61" s="154"/>
    </row>
    <row r="62" spans="1:16" ht="15.75" customHeight="1" x14ac:dyDescent="0.2">
      <c r="A62" s="44" t="s">
        <v>64</v>
      </c>
      <c r="B62" s="45"/>
      <c r="C62" s="46"/>
      <c r="D62" s="65"/>
      <c r="E62" s="66"/>
      <c r="F62" s="69"/>
      <c r="G62" s="70"/>
      <c r="H62" s="49">
        <f>(+H61/D3)</f>
        <v>0.14141231832337103</v>
      </c>
      <c r="I62" s="71">
        <f>+H61/D3</f>
        <v>0.14141231832337103</v>
      </c>
      <c r="N62" s="154"/>
      <c r="O62" s="144"/>
      <c r="P62" s="569"/>
    </row>
    <row r="63" spans="1:16" ht="15" customHeight="1" x14ac:dyDescent="0.2">
      <c r="A63" s="40"/>
      <c r="B63" s="41"/>
      <c r="C63" s="41"/>
      <c r="D63" s="61"/>
      <c r="E63" s="72"/>
      <c r="F63" s="63"/>
      <c r="G63" s="62"/>
      <c r="H63" s="73"/>
      <c r="I63" s="74"/>
      <c r="N63" s="154"/>
      <c r="O63" s="144"/>
    </row>
    <row r="64" spans="1:16" ht="15" customHeight="1" x14ac:dyDescent="0.2">
      <c r="A64" s="75" t="s">
        <v>65</v>
      </c>
      <c r="B64" s="76"/>
      <c r="C64" s="77"/>
      <c r="D64" s="78"/>
      <c r="E64" s="79"/>
      <c r="F64" s="80"/>
      <c r="G64" s="81"/>
      <c r="H64" s="568">
        <f>ROUND(+H39+H61,0)</f>
        <v>1214446953</v>
      </c>
      <c r="I64" s="33"/>
      <c r="N64" s="156"/>
      <c r="O64" s="145"/>
    </row>
    <row r="65" spans="1:18" ht="15" customHeight="1" x14ac:dyDescent="0.2">
      <c r="A65" s="75" t="s">
        <v>65</v>
      </c>
      <c r="B65" s="76"/>
      <c r="C65" s="77"/>
      <c r="D65" s="78"/>
      <c r="E65" s="79"/>
      <c r="F65" s="80"/>
      <c r="G65" s="81"/>
      <c r="H65" s="82">
        <f>+H64/D3</f>
        <v>0.24000000009011507</v>
      </c>
      <c r="I65" s="33"/>
      <c r="N65" s="202"/>
      <c r="O65" s="570"/>
    </row>
    <row r="66" spans="1:18" s="163" customFormat="1" ht="15" customHeight="1" x14ac:dyDescent="0.2">
      <c r="A66" s="44"/>
      <c r="B66" s="45"/>
      <c r="C66" s="46"/>
      <c r="D66" s="180"/>
      <c r="E66" s="66"/>
      <c r="F66" s="67"/>
      <c r="G66" s="68"/>
      <c r="H66" s="181"/>
      <c r="I66" s="182"/>
      <c r="N66" s="183"/>
      <c r="O66" s="184"/>
    </row>
    <row r="67" spans="1:18" ht="15" customHeight="1" x14ac:dyDescent="0.2">
      <c r="A67" s="75" t="s">
        <v>66</v>
      </c>
      <c r="B67" s="76"/>
      <c r="C67" s="77"/>
      <c r="D67" s="78"/>
      <c r="E67" s="79"/>
      <c r="F67" s="80"/>
      <c r="G67" s="81"/>
      <c r="H67" s="568">
        <f>ROUND(H68*D3,0)</f>
        <v>151805869</v>
      </c>
      <c r="I67" s="33"/>
      <c r="N67" s="156"/>
      <c r="O67" s="571"/>
    </row>
    <row r="68" spans="1:18" ht="15" customHeight="1" x14ac:dyDescent="0.2">
      <c r="A68" s="75" t="s">
        <v>67</v>
      </c>
      <c r="B68" s="76"/>
      <c r="C68" s="77"/>
      <c r="D68" s="78"/>
      <c r="E68" s="79"/>
      <c r="F68" s="80"/>
      <c r="G68" s="81"/>
      <c r="H68" s="82">
        <v>0.03</v>
      </c>
      <c r="I68" s="33"/>
      <c r="N68" s="203"/>
    </row>
    <row r="69" spans="1:18" ht="9.75" customHeight="1" x14ac:dyDescent="0.2">
      <c r="A69" s="83"/>
      <c r="B69" s="84"/>
      <c r="C69" s="84"/>
      <c r="D69" s="85"/>
      <c r="E69" s="86"/>
      <c r="F69" s="87"/>
      <c r="G69" s="88"/>
      <c r="H69" s="89"/>
      <c r="I69" s="74"/>
      <c r="N69" s="10"/>
    </row>
    <row r="70" spans="1:18" ht="15" customHeight="1" x14ac:dyDescent="0.2">
      <c r="A70" s="75" t="s">
        <v>68</v>
      </c>
      <c r="B70" s="76"/>
      <c r="C70" s="77"/>
      <c r="D70" s="78"/>
      <c r="E70" s="79"/>
      <c r="F70" s="80"/>
      <c r="G70" s="81"/>
      <c r="H70" s="568">
        <f>ROUND(+H71*D3,0)</f>
        <v>253009782</v>
      </c>
      <c r="I70" s="33"/>
      <c r="N70" s="204"/>
    </row>
    <row r="71" spans="1:18" ht="15.75" customHeight="1" x14ac:dyDescent="0.2">
      <c r="A71" s="75" t="s">
        <v>68</v>
      </c>
      <c r="B71" s="76"/>
      <c r="C71" s="77"/>
      <c r="D71" s="78"/>
      <c r="E71" s="79"/>
      <c r="F71" s="105"/>
      <c r="G71" s="106"/>
      <c r="H71" s="82">
        <v>0.05</v>
      </c>
      <c r="I71" s="71"/>
      <c r="N71" s="156"/>
    </row>
    <row r="72" spans="1:18" ht="10.5" customHeight="1" x14ac:dyDescent="0.2">
      <c r="A72" s="83"/>
      <c r="B72" s="84"/>
      <c r="C72" s="84"/>
      <c r="D72" s="85"/>
      <c r="E72" s="86"/>
      <c r="F72" s="87"/>
      <c r="G72" s="88"/>
      <c r="H72" s="89"/>
      <c r="I72" s="74"/>
      <c r="N72" s="156"/>
    </row>
    <row r="73" spans="1:18" ht="15" customHeight="1" x14ac:dyDescent="0.2">
      <c r="A73" s="75" t="s">
        <v>303</v>
      </c>
      <c r="B73" s="76"/>
      <c r="C73" s="77"/>
      <c r="D73" s="78"/>
      <c r="E73" s="79"/>
      <c r="F73" s="80"/>
      <c r="G73" s="81"/>
      <c r="H73" s="568">
        <f>H70*19%</f>
        <v>48071858.579999998</v>
      </c>
      <c r="I73" s="33"/>
      <c r="N73" s="204"/>
    </row>
    <row r="74" spans="1:18" ht="15.75" customHeight="1" x14ac:dyDescent="0.2">
      <c r="A74" s="75" t="s">
        <v>303</v>
      </c>
      <c r="B74" s="76"/>
      <c r="C74" s="77"/>
      <c r="D74" s="78"/>
      <c r="E74" s="79"/>
      <c r="F74" s="105"/>
      <c r="G74" s="106"/>
      <c r="H74" s="82">
        <f>H73/D3</f>
        <v>9.5000000082605483E-3</v>
      </c>
      <c r="I74" s="71"/>
      <c r="N74" s="156"/>
    </row>
    <row r="75" spans="1:18" ht="10.5" customHeight="1" thickBot="1" x14ac:dyDescent="0.25">
      <c r="A75" s="83"/>
      <c r="B75" s="84"/>
      <c r="C75" s="84"/>
      <c r="D75" s="85"/>
      <c r="E75" s="86"/>
      <c r="F75" s="87"/>
      <c r="G75" s="88"/>
      <c r="H75" s="89"/>
      <c r="I75" s="74"/>
      <c r="N75" s="156"/>
    </row>
    <row r="76" spans="1:18" ht="22" thickTop="1" thickBot="1" x14ac:dyDescent="0.25">
      <c r="A76" s="83" t="s">
        <v>69</v>
      </c>
      <c r="B76" s="84"/>
      <c r="C76" s="84"/>
      <c r="D76" s="24"/>
      <c r="E76" s="24"/>
      <c r="F76" s="30"/>
      <c r="G76" s="107"/>
      <c r="H76" s="573">
        <f>H70+H67+H64+H73</f>
        <v>1667334462.5799999</v>
      </c>
      <c r="I76" s="108"/>
      <c r="J76" s="57"/>
      <c r="K76" s="57"/>
      <c r="O76" s="148"/>
      <c r="P76" s="566"/>
      <c r="Q76" s="564"/>
      <c r="R76" s="33"/>
    </row>
    <row r="77" spans="1:18" ht="27" customHeight="1" thickTop="1" thickBot="1" x14ac:dyDescent="0.25">
      <c r="A77" s="83" t="s">
        <v>70</v>
      </c>
      <c r="B77" s="84"/>
      <c r="C77" s="84"/>
      <c r="D77" s="24"/>
      <c r="E77" s="24"/>
      <c r="F77" s="30"/>
      <c r="G77" s="107" t="s">
        <v>71</v>
      </c>
      <c r="H77" s="109">
        <f>H65+H68+H71+H74</f>
        <v>0.3295000000983756</v>
      </c>
      <c r="I77" s="108"/>
      <c r="J77" s="57"/>
      <c r="K77" s="57"/>
      <c r="N77" s="157"/>
      <c r="O77" s="479"/>
      <c r="P77" s="566"/>
      <c r="Q77" s="564"/>
      <c r="R77" s="33"/>
    </row>
    <row r="78" spans="1:18" s="163" customFormat="1" ht="15" customHeight="1" thickTop="1" x14ac:dyDescent="0.2">
      <c r="A78" s="44"/>
      <c r="B78" s="45"/>
      <c r="C78" s="46"/>
      <c r="D78" s="180"/>
      <c r="E78" s="66"/>
      <c r="F78" s="67"/>
      <c r="G78" s="68"/>
      <c r="H78" s="181"/>
      <c r="I78" s="182"/>
      <c r="N78" s="183"/>
      <c r="O78" s="184"/>
      <c r="P78" s="567"/>
      <c r="Q78" s="565"/>
    </row>
    <row r="79" spans="1:18" s="163" customFormat="1" ht="15" customHeight="1" x14ac:dyDescent="0.2">
      <c r="A79" s="44"/>
      <c r="B79" s="45"/>
      <c r="C79" s="46"/>
      <c r="D79" s="180"/>
      <c r="E79" s="66"/>
      <c r="F79" s="67"/>
      <c r="G79" s="68"/>
      <c r="H79" s="181"/>
      <c r="I79" s="182"/>
      <c r="N79" s="183"/>
      <c r="O79" s="184"/>
    </row>
    <row r="80" spans="1:18" s="163" customFormat="1" ht="15" customHeight="1" x14ac:dyDescent="0.2">
      <c r="A80" s="44"/>
      <c r="B80" s="45"/>
      <c r="C80" s="46"/>
      <c r="D80" s="180"/>
      <c r="E80" s="66"/>
      <c r="F80" s="67"/>
      <c r="G80" s="68"/>
      <c r="H80" s="181"/>
      <c r="I80" s="182"/>
      <c r="N80" s="183"/>
      <c r="O80" s="184"/>
    </row>
    <row r="81" spans="1:15" s="163" customFormat="1" ht="15" customHeight="1" x14ac:dyDescent="0.2">
      <c r="A81" s="44"/>
      <c r="B81" s="45"/>
      <c r="C81" s="46"/>
      <c r="D81" s="180"/>
      <c r="E81" s="66"/>
      <c r="F81" s="67"/>
      <c r="G81" s="68"/>
      <c r="H81" s="181"/>
      <c r="I81" s="182"/>
      <c r="N81" s="183"/>
      <c r="O81" s="184"/>
    </row>
    <row r="82" spans="1:15" ht="18" customHeight="1" x14ac:dyDescent="0.2">
      <c r="A82" s="83"/>
      <c r="B82" s="84"/>
      <c r="C82" s="84"/>
      <c r="D82" s="85"/>
      <c r="E82" s="86"/>
      <c r="F82" s="87"/>
      <c r="G82" s="88"/>
      <c r="H82" s="89"/>
      <c r="I82" s="74"/>
      <c r="N82" s="154"/>
      <c r="O82" s="144"/>
    </row>
    <row r="83" spans="1:15" s="177" customFormat="1" ht="29.25" customHeight="1" x14ac:dyDescent="0.2">
      <c r="A83" s="169" t="s">
        <v>72</v>
      </c>
      <c r="B83" s="170"/>
      <c r="C83" s="170"/>
      <c r="D83" s="171"/>
      <c r="E83" s="172"/>
      <c r="F83" s="173"/>
      <c r="G83" s="174"/>
      <c r="H83" s="175"/>
      <c r="I83" s="176"/>
      <c r="N83" s="178"/>
      <c r="O83" s="179"/>
    </row>
    <row r="84" spans="1:15" s="53" customFormat="1" ht="21.75" customHeight="1" x14ac:dyDescent="0.2">
      <c r="A84" s="489" t="s">
        <v>45</v>
      </c>
      <c r="B84" s="490"/>
      <c r="C84" s="490"/>
      <c r="D84" s="491"/>
      <c r="E84" s="119" t="s">
        <v>73</v>
      </c>
      <c r="F84" s="54" t="s">
        <v>46</v>
      </c>
      <c r="G84" s="119" t="s">
        <v>6</v>
      </c>
      <c r="H84" s="56" t="s">
        <v>31</v>
      </c>
      <c r="N84" s="152"/>
      <c r="O84" s="142"/>
    </row>
    <row r="85" spans="1:15" s="98" customFormat="1" ht="18" customHeight="1" x14ac:dyDescent="0.2">
      <c r="A85" s="90" t="s">
        <v>74</v>
      </c>
      <c r="B85" s="91"/>
      <c r="C85" s="91"/>
      <c r="D85" s="92"/>
      <c r="E85" s="93"/>
      <c r="F85" s="94" t="s">
        <v>75</v>
      </c>
      <c r="G85" s="95"/>
      <c r="H85" s="96"/>
      <c r="I85" s="97"/>
      <c r="N85" s="147"/>
      <c r="O85" s="146"/>
    </row>
    <row r="86" spans="1:15" s="190" customFormat="1" ht="48" customHeight="1" x14ac:dyDescent="0.2">
      <c r="A86" s="122"/>
      <c r="B86" s="485" t="s">
        <v>76</v>
      </c>
      <c r="C86" s="485"/>
      <c r="D86" s="486"/>
      <c r="E86" s="123" t="s">
        <v>77</v>
      </c>
      <c r="F86" s="112">
        <f>PGIO!J3</f>
        <v>465000</v>
      </c>
      <c r="G86" s="118">
        <v>1</v>
      </c>
      <c r="H86" s="417">
        <f t="shared" ref="H86:H93" si="7">F86*G86</f>
        <v>465000</v>
      </c>
      <c r="I86" s="189"/>
      <c r="N86" s="165"/>
      <c r="O86" s="191"/>
    </row>
    <row r="87" spans="1:15" s="190" customFormat="1" ht="36" customHeight="1" x14ac:dyDescent="0.2">
      <c r="A87" s="122"/>
      <c r="B87" s="485" t="s">
        <v>78</v>
      </c>
      <c r="C87" s="485"/>
      <c r="D87" s="486"/>
      <c r="E87" s="123" t="s">
        <v>77</v>
      </c>
      <c r="F87" s="112">
        <f>PGIO!J9</f>
        <v>710125</v>
      </c>
      <c r="G87" s="118">
        <v>1</v>
      </c>
      <c r="H87" s="417">
        <f t="shared" si="7"/>
        <v>710125</v>
      </c>
      <c r="I87" s="189"/>
      <c r="N87" s="165"/>
      <c r="O87" s="191"/>
    </row>
    <row r="88" spans="1:15" s="190" customFormat="1" ht="37.5" customHeight="1" x14ac:dyDescent="0.2">
      <c r="A88" s="122"/>
      <c r="B88" s="485" t="s">
        <v>79</v>
      </c>
      <c r="C88" s="485"/>
      <c r="D88" s="486"/>
      <c r="E88" s="123" t="s">
        <v>77</v>
      </c>
      <c r="F88" s="112">
        <f>PGIO!J15</f>
        <v>116235</v>
      </c>
      <c r="G88" s="118">
        <v>1</v>
      </c>
      <c r="H88" s="417">
        <f t="shared" si="7"/>
        <v>116235</v>
      </c>
      <c r="I88" s="189"/>
      <c r="N88" s="165"/>
      <c r="O88" s="191"/>
    </row>
    <row r="89" spans="1:15" s="190" customFormat="1" ht="42" customHeight="1" x14ac:dyDescent="0.2">
      <c r="A89" s="122"/>
      <c r="B89" s="485" t="s">
        <v>80</v>
      </c>
      <c r="C89" s="485"/>
      <c r="D89" s="486"/>
      <c r="E89" s="123" t="s">
        <v>77</v>
      </c>
      <c r="F89" s="112">
        <f>'EJE S&amp;SO_Examenes Ocupacionales'!F3</f>
        <v>78500</v>
      </c>
      <c r="G89" s="118">
        <f>+D5</f>
        <v>13</v>
      </c>
      <c r="H89" s="417">
        <f t="shared" si="7"/>
        <v>1020500</v>
      </c>
      <c r="I89" s="189"/>
      <c r="N89" s="165"/>
      <c r="O89" s="191"/>
    </row>
    <row r="90" spans="1:15" s="190" customFormat="1" ht="45.75" customHeight="1" x14ac:dyDescent="0.2">
      <c r="A90" s="122"/>
      <c r="B90" s="485" t="s">
        <v>81</v>
      </c>
      <c r="C90" s="485"/>
      <c r="D90" s="486"/>
      <c r="E90" s="123" t="s">
        <v>77</v>
      </c>
      <c r="F90" s="112">
        <f>'EJE S&amp;SO_Examenes Ocupacionales'!F8</f>
        <v>125500</v>
      </c>
      <c r="G90" s="118">
        <v>2</v>
      </c>
      <c r="H90" s="417">
        <f t="shared" si="7"/>
        <v>251000</v>
      </c>
      <c r="I90" s="189"/>
      <c r="N90" s="165"/>
      <c r="O90" s="191"/>
    </row>
    <row r="91" spans="1:15" s="190" customFormat="1" ht="57.75" customHeight="1" x14ac:dyDescent="0.2">
      <c r="A91" s="122"/>
      <c r="B91" s="485" t="s">
        <v>82</v>
      </c>
      <c r="C91" s="485"/>
      <c r="D91" s="486"/>
      <c r="E91" s="123" t="s">
        <v>77</v>
      </c>
      <c r="F91" s="112">
        <f>PGIO!J16</f>
        <v>199999</v>
      </c>
      <c r="G91" s="118">
        <v>1</v>
      </c>
      <c r="H91" s="417">
        <f t="shared" si="7"/>
        <v>199999</v>
      </c>
      <c r="I91" s="189"/>
      <c r="N91" s="165"/>
      <c r="O91" s="192"/>
    </row>
    <row r="92" spans="1:15" s="190" customFormat="1" ht="29.25" customHeight="1" x14ac:dyDescent="0.2">
      <c r="A92" s="122"/>
      <c r="B92" s="485" t="s">
        <v>83</v>
      </c>
      <c r="C92" s="485"/>
      <c r="D92" s="486"/>
      <c r="E92" s="123" t="s">
        <v>77</v>
      </c>
      <c r="F92" s="112">
        <f>PGIO!J17</f>
        <v>1606500</v>
      </c>
      <c r="G92" s="118">
        <v>3</v>
      </c>
      <c r="H92" s="417">
        <f>F92*G92</f>
        <v>4819500</v>
      </c>
      <c r="I92" s="189"/>
      <c r="N92" s="165"/>
      <c r="O92" s="192"/>
    </row>
    <row r="93" spans="1:15" s="190" customFormat="1" ht="30" customHeight="1" x14ac:dyDescent="0.2">
      <c r="A93" s="122"/>
      <c r="B93" s="485" t="s">
        <v>84</v>
      </c>
      <c r="C93" s="485"/>
      <c r="D93" s="486"/>
      <c r="E93" s="123" t="s">
        <v>232</v>
      </c>
      <c r="F93" s="112">
        <v>652071.42857142864</v>
      </c>
      <c r="G93" s="118">
        <f>$D$4</f>
        <v>7</v>
      </c>
      <c r="H93" s="417">
        <f t="shared" si="7"/>
        <v>4564500</v>
      </c>
      <c r="I93" s="189"/>
      <c r="N93" s="165"/>
      <c r="O93" s="191"/>
    </row>
    <row r="94" spans="1:15" ht="14.25" customHeight="1" x14ac:dyDescent="0.2">
      <c r="A94" s="83"/>
      <c r="B94" s="84"/>
      <c r="C94" s="84"/>
      <c r="D94" s="85"/>
      <c r="E94" s="86"/>
      <c r="F94" s="113"/>
      <c r="G94" s="88"/>
      <c r="H94" s="89"/>
      <c r="I94" s="74"/>
    </row>
    <row r="95" spans="1:15" ht="25.5" customHeight="1" x14ac:dyDescent="0.2">
      <c r="A95" s="83" t="s">
        <v>85</v>
      </c>
      <c r="B95" s="84"/>
      <c r="C95" s="99"/>
      <c r="D95" s="99"/>
      <c r="E95" s="99"/>
      <c r="F95" s="114"/>
      <c r="G95" s="100"/>
      <c r="H95" s="418">
        <f>ROUND(SUM(H85:H94),0)</f>
        <v>12146859</v>
      </c>
    </row>
    <row r="96" spans="1:15" ht="11.25" customHeight="1" x14ac:dyDescent="0.2">
      <c r="A96" s="83"/>
      <c r="B96" s="84"/>
      <c r="C96" s="84"/>
      <c r="D96" s="85"/>
      <c r="E96" s="86"/>
      <c r="F96" s="115"/>
      <c r="G96" s="101"/>
      <c r="H96" s="89"/>
      <c r="I96" s="74"/>
    </row>
    <row r="97" spans="1:15" s="98" customFormat="1" ht="33.75" customHeight="1" x14ac:dyDescent="0.2">
      <c r="A97" s="90" t="s">
        <v>86</v>
      </c>
      <c r="B97" s="91"/>
      <c r="C97" s="91"/>
      <c r="D97" s="92"/>
      <c r="E97" s="93"/>
      <c r="F97" s="116" t="s">
        <v>75</v>
      </c>
      <c r="G97" s="102"/>
      <c r="H97" s="96"/>
      <c r="I97" s="97"/>
      <c r="N97" s="147"/>
      <c r="O97" s="146"/>
    </row>
    <row r="98" spans="1:15" s="194" customFormat="1" ht="20.25" customHeight="1" x14ac:dyDescent="0.2">
      <c r="A98" s="122"/>
      <c r="B98" s="487" t="s">
        <v>87</v>
      </c>
      <c r="C98" s="487"/>
      <c r="D98" s="488"/>
      <c r="E98" s="123" t="s">
        <v>77</v>
      </c>
      <c r="F98" s="423">
        <v>800000</v>
      </c>
      <c r="G98" s="118">
        <v>1</v>
      </c>
      <c r="H98" s="417">
        <f>F98*G98</f>
        <v>800000</v>
      </c>
      <c r="I98" s="193"/>
      <c r="N98" s="165"/>
      <c r="O98" s="195"/>
    </row>
    <row r="99" spans="1:15" s="190" customFormat="1" ht="50.25" customHeight="1" x14ac:dyDescent="0.2">
      <c r="A99" s="122"/>
      <c r="B99" s="485" t="s">
        <v>88</v>
      </c>
      <c r="C99" s="485"/>
      <c r="D99" s="486"/>
      <c r="E99" s="123" t="s">
        <v>89</v>
      </c>
      <c r="F99" s="112">
        <f>PGIO!M18</f>
        <v>5391</v>
      </c>
      <c r="G99" s="118">
        <f>(3*3)*8</f>
        <v>72</v>
      </c>
      <c r="H99" s="417">
        <f>F99*G99</f>
        <v>388152</v>
      </c>
      <c r="I99" s="189"/>
      <c r="N99" s="165"/>
      <c r="O99" s="196"/>
    </row>
    <row r="100" spans="1:15" ht="9.75" customHeight="1" x14ac:dyDescent="0.2">
      <c r="A100" s="83"/>
      <c r="B100" s="84"/>
      <c r="C100" s="84"/>
      <c r="D100" s="85"/>
      <c r="E100" s="86"/>
      <c r="F100" s="113"/>
      <c r="G100" s="88"/>
      <c r="H100" s="89"/>
      <c r="I100" s="74"/>
    </row>
    <row r="101" spans="1:15" ht="15" customHeight="1" x14ac:dyDescent="0.2">
      <c r="A101" s="83" t="s">
        <v>90</v>
      </c>
      <c r="B101" s="84"/>
      <c r="C101" s="99"/>
      <c r="D101" s="99"/>
      <c r="E101" s="99"/>
      <c r="F101" s="114"/>
      <c r="G101" s="100"/>
      <c r="H101" s="418">
        <f>ROUND(SUM(H97:H100),0)</f>
        <v>1188152</v>
      </c>
    </row>
    <row r="102" spans="1:15" ht="9" customHeight="1" x14ac:dyDescent="0.2">
      <c r="A102" s="83"/>
      <c r="B102" s="84"/>
      <c r="C102" s="84"/>
      <c r="D102" s="85"/>
      <c r="E102" s="86"/>
      <c r="F102" s="113"/>
      <c r="G102" s="88"/>
      <c r="H102" s="89"/>
      <c r="I102" s="74"/>
    </row>
    <row r="103" spans="1:15" s="98" customFormat="1" ht="23.25" customHeight="1" x14ac:dyDescent="0.2">
      <c r="A103" s="90" t="s">
        <v>91</v>
      </c>
      <c r="B103" s="91"/>
      <c r="C103" s="91"/>
      <c r="D103" s="92"/>
      <c r="E103" s="93"/>
      <c r="F103" s="117" t="s">
        <v>75</v>
      </c>
      <c r="G103" s="95"/>
      <c r="H103" s="96"/>
      <c r="I103" s="97"/>
      <c r="N103" s="147"/>
      <c r="O103" s="146"/>
    </row>
    <row r="104" spans="1:15" s="190" customFormat="1" ht="18" customHeight="1" x14ac:dyDescent="0.2">
      <c r="A104" s="122"/>
      <c r="B104" s="485" t="s">
        <v>234</v>
      </c>
      <c r="C104" s="485"/>
      <c r="D104" s="486"/>
      <c r="E104" s="123" t="s">
        <v>77</v>
      </c>
      <c r="F104" s="112">
        <f>PGIO!J19</f>
        <v>175000</v>
      </c>
      <c r="G104" s="118">
        <v>3</v>
      </c>
      <c r="H104" s="417">
        <f t="shared" ref="H104:H105" si="8">F104*G104</f>
        <v>525000</v>
      </c>
      <c r="I104" s="189"/>
      <c r="N104" s="165"/>
      <c r="O104" s="191"/>
    </row>
    <row r="105" spans="1:15" s="190" customFormat="1" ht="54.75" customHeight="1" x14ac:dyDescent="0.2">
      <c r="A105" s="122"/>
      <c r="B105" s="485" t="s">
        <v>233</v>
      </c>
      <c r="C105" s="485"/>
      <c r="D105" s="486"/>
      <c r="E105" s="123" t="s">
        <v>77</v>
      </c>
      <c r="F105" s="112">
        <f>PGIO!J18</f>
        <v>41300</v>
      </c>
      <c r="G105" s="118">
        <v>12.058015499150368</v>
      </c>
      <c r="H105" s="417">
        <f t="shared" si="8"/>
        <v>497996.04011491023</v>
      </c>
      <c r="I105" s="189"/>
      <c r="N105" s="165"/>
      <c r="O105" s="184"/>
    </row>
    <row r="106" spans="1:15" ht="9" customHeight="1" x14ac:dyDescent="0.2">
      <c r="A106" s="83"/>
      <c r="B106" s="84"/>
      <c r="C106" s="84"/>
      <c r="D106" s="85"/>
      <c r="E106" s="86"/>
      <c r="F106" s="87"/>
      <c r="G106" s="88"/>
      <c r="H106" s="89"/>
      <c r="I106" s="74"/>
    </row>
    <row r="107" spans="1:15" ht="24.75" customHeight="1" x14ac:dyDescent="0.2">
      <c r="A107" s="83" t="s">
        <v>94</v>
      </c>
      <c r="B107" s="84"/>
      <c r="C107" s="99"/>
      <c r="D107" s="99"/>
      <c r="E107" s="99"/>
      <c r="F107" s="103"/>
      <c r="G107" s="100"/>
      <c r="H107" s="418">
        <f>ROUND(SUM(H103:H106),0)</f>
        <v>1022996</v>
      </c>
      <c r="I107" s="104"/>
    </row>
    <row r="108" spans="1:15" ht="35.25" customHeight="1" x14ac:dyDescent="0.2">
      <c r="A108" s="75" t="s">
        <v>95</v>
      </c>
      <c r="B108" s="76"/>
      <c r="C108" s="77"/>
      <c r="D108" s="78"/>
      <c r="E108" s="79"/>
      <c r="F108" s="80"/>
      <c r="G108" s="81"/>
      <c r="H108" s="419">
        <f>H95+H107+H101</f>
        <v>14358007</v>
      </c>
      <c r="I108" s="33"/>
      <c r="N108" s="155"/>
    </row>
    <row r="109" spans="1:15" ht="18" customHeight="1" x14ac:dyDescent="0.2">
      <c r="A109" s="83"/>
      <c r="B109" s="84"/>
      <c r="C109" s="84"/>
      <c r="D109" s="85"/>
      <c r="E109" s="86"/>
      <c r="F109" s="87"/>
      <c r="G109" s="88"/>
      <c r="H109" s="89"/>
      <c r="I109" s="74"/>
      <c r="N109" s="156"/>
    </row>
    <row r="110" spans="1:15" s="110" customFormat="1" ht="30" customHeight="1" x14ac:dyDescent="0.2">
      <c r="A110" s="124"/>
      <c r="B110" s="10"/>
      <c r="C110" s="125"/>
      <c r="D110" s="134"/>
      <c r="E110" s="126"/>
      <c r="F110" s="127"/>
      <c r="G110" s="135"/>
      <c r="H110" s="128"/>
      <c r="N110" s="158"/>
      <c r="O110" s="149"/>
    </row>
    <row r="111" spans="1:15" s="110" customFormat="1" ht="17" thickBot="1" x14ac:dyDescent="0.25">
      <c r="A111" s="124"/>
      <c r="B111" s="10"/>
      <c r="C111" s="129"/>
      <c r="D111" s="129" t="s">
        <v>96</v>
      </c>
      <c r="E111" s="129"/>
      <c r="F111" s="127"/>
      <c r="G111" s="129" t="s">
        <v>97</v>
      </c>
      <c r="H111" s="128"/>
      <c r="N111" s="158"/>
      <c r="O111" s="149"/>
    </row>
    <row r="112" spans="1:15" s="110" customFormat="1" ht="16" x14ac:dyDescent="0.2">
      <c r="A112" s="124"/>
      <c r="B112" s="129"/>
      <c r="C112" s="129"/>
      <c r="D112" s="126"/>
      <c r="E112" s="129"/>
      <c r="F112" s="127"/>
      <c r="G112" s="126"/>
      <c r="H112" s="128"/>
      <c r="N112" s="158" t="s">
        <v>307</v>
      </c>
      <c r="O112" s="149"/>
    </row>
    <row r="113" spans="1:15" s="110" customFormat="1" ht="16" x14ac:dyDescent="0.2">
      <c r="A113" s="124"/>
      <c r="B113" s="129"/>
      <c r="C113" s="129"/>
      <c r="D113" s="129" t="s">
        <v>98</v>
      </c>
      <c r="E113" s="129"/>
      <c r="F113" s="127"/>
      <c r="G113" s="129" t="s">
        <v>99</v>
      </c>
      <c r="H113" s="128"/>
      <c r="N113" s="158"/>
      <c r="O113" s="149"/>
    </row>
    <row r="114" spans="1:15" ht="40.5" customHeight="1" thickBot="1" x14ac:dyDescent="0.25">
      <c r="A114" s="130"/>
      <c r="B114" s="131"/>
      <c r="C114" s="131"/>
      <c r="D114" s="131"/>
      <c r="E114" s="131"/>
      <c r="F114" s="132"/>
      <c r="G114" s="131"/>
      <c r="H114" s="133"/>
      <c r="I114" s="57"/>
    </row>
  </sheetData>
  <mergeCells count="58">
    <mergeCell ref="A1:H1"/>
    <mergeCell ref="A2:H2"/>
    <mergeCell ref="A8:H8"/>
    <mergeCell ref="A9:B9"/>
    <mergeCell ref="A10:B10"/>
    <mergeCell ref="A33:C33"/>
    <mergeCell ref="A34:C34"/>
    <mergeCell ref="I12:I13"/>
    <mergeCell ref="A13:B13"/>
    <mergeCell ref="A12:B12"/>
    <mergeCell ref="A16:B16"/>
    <mergeCell ref="A32:C32"/>
    <mergeCell ref="A22:B22"/>
    <mergeCell ref="A23:B23"/>
    <mergeCell ref="A28:C28"/>
    <mergeCell ref="A29:C29"/>
    <mergeCell ref="A30:C30"/>
    <mergeCell ref="A24:B24"/>
    <mergeCell ref="A18:B18"/>
    <mergeCell ref="A15:B15"/>
    <mergeCell ref="A14:B14"/>
    <mergeCell ref="A47:C47"/>
    <mergeCell ref="A49:C49"/>
    <mergeCell ref="A35:C35"/>
    <mergeCell ref="A36:C36"/>
    <mergeCell ref="A37:G37"/>
    <mergeCell ref="A42:H42"/>
    <mergeCell ref="A48:C48"/>
    <mergeCell ref="A46:C46"/>
    <mergeCell ref="A43:H43"/>
    <mergeCell ref="A44:E44"/>
    <mergeCell ref="A45:C45"/>
    <mergeCell ref="A52:G52"/>
    <mergeCell ref="A53:H53"/>
    <mergeCell ref="A54:C54"/>
    <mergeCell ref="A55:A58"/>
    <mergeCell ref="B55:C55"/>
    <mergeCell ref="B56:C56"/>
    <mergeCell ref="B57:C57"/>
    <mergeCell ref="B58:C58"/>
    <mergeCell ref="H55:H59"/>
    <mergeCell ref="A59:G59"/>
    <mergeCell ref="A17:B17"/>
    <mergeCell ref="A50:C50"/>
    <mergeCell ref="B105:D105"/>
    <mergeCell ref="B98:D98"/>
    <mergeCell ref="B99:D99"/>
    <mergeCell ref="B88:D88"/>
    <mergeCell ref="B89:D89"/>
    <mergeCell ref="B90:D90"/>
    <mergeCell ref="B93:D93"/>
    <mergeCell ref="B92:D92"/>
    <mergeCell ref="A84:D84"/>
    <mergeCell ref="B86:D86"/>
    <mergeCell ref="B87:D87"/>
    <mergeCell ref="B91:D91"/>
    <mergeCell ref="B104:D104"/>
    <mergeCell ref="A51:C51"/>
  </mergeCells>
  <printOptions horizontalCentered="1"/>
  <pageMargins left="0.70866141732283472" right="0.70866141732283472" top="1.2598425196850394" bottom="0.98425196850393704" header="0.31496062992125984" footer="0.31496062992125984"/>
  <pageSetup scale="47" fitToHeight="0" orientation="landscape" r:id="rId1"/>
  <headerFooter alignWithMargins="0">
    <oddHeader>&amp;C&amp;G</oddHeader>
    <oddFooter xml:space="preserve">&amp;C&amp;G&amp;R
</oddFooter>
  </headerFooter>
  <rowBreaks count="2" manualBreakCount="2">
    <brk id="41" max="10" man="1"/>
    <brk id="82" max="10"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D5D831-2D05-45CA-A1DC-4F1EDBB333B8}">
  <dimension ref="B1:N22"/>
  <sheetViews>
    <sheetView view="pageBreakPreview" zoomScale="85" zoomScaleNormal="100" zoomScaleSheetLayoutView="85" workbookViewId="0">
      <selection activeCell="E9" sqref="E9"/>
    </sheetView>
  </sheetViews>
  <sheetFormatPr baseColWidth="10" defaultColWidth="10.83203125" defaultRowHeight="15" x14ac:dyDescent="0.2"/>
  <cols>
    <col min="1" max="1" width="6.5" style="300" customWidth="1"/>
    <col min="2" max="2" width="51.33203125" style="300" customWidth="1"/>
    <col min="3" max="3" width="18.83203125" style="300" customWidth="1"/>
    <col min="4" max="4" width="20.1640625" style="477" customWidth="1"/>
    <col min="5" max="5" width="17" style="300" customWidth="1"/>
    <col min="6" max="6" width="18.5" style="477" customWidth="1"/>
    <col min="7" max="8" width="16.5" style="477" customWidth="1"/>
    <col min="9" max="10" width="17.5" style="477" customWidth="1"/>
    <col min="11" max="11" width="10.5" style="300" customWidth="1"/>
    <col min="12" max="12" width="12.33203125" style="300" customWidth="1"/>
    <col min="13" max="16384" width="10.83203125" style="300"/>
  </cols>
  <sheetData>
    <row r="1" spans="2:10" ht="16" thickBot="1" x14ac:dyDescent="0.25">
      <c r="C1" s="294" t="s">
        <v>222</v>
      </c>
      <c r="D1" s="294" t="s">
        <v>220</v>
      </c>
      <c r="E1" s="294" t="s">
        <v>220</v>
      </c>
      <c r="F1" s="294" t="s">
        <v>226</v>
      </c>
      <c r="G1" s="294" t="s">
        <v>226</v>
      </c>
      <c r="H1" s="329" t="s">
        <v>226</v>
      </c>
      <c r="I1" s="294" t="s">
        <v>231</v>
      </c>
      <c r="J1" s="321"/>
    </row>
    <row r="2" spans="2:10" ht="75" customHeight="1" thickBot="1" x14ac:dyDescent="0.25">
      <c r="B2" s="295" t="s">
        <v>206</v>
      </c>
      <c r="C2" s="296" t="s">
        <v>207</v>
      </c>
      <c r="D2" s="297" t="s">
        <v>223</v>
      </c>
      <c r="E2" s="296" t="s">
        <v>224</v>
      </c>
      <c r="F2" s="297" t="s">
        <v>225</v>
      </c>
      <c r="G2" s="298" t="s">
        <v>227</v>
      </c>
      <c r="H2" s="299" t="s">
        <v>230</v>
      </c>
      <c r="I2" s="299" t="s">
        <v>208</v>
      </c>
      <c r="J2" s="298" t="s">
        <v>229</v>
      </c>
    </row>
    <row r="3" spans="2:10" ht="63.75" customHeight="1" thickBot="1" x14ac:dyDescent="0.25">
      <c r="B3" s="424" t="s">
        <v>209</v>
      </c>
      <c r="C3" s="301"/>
      <c r="D3" s="320"/>
      <c r="E3" s="425"/>
      <c r="F3" s="320"/>
      <c r="G3" s="426"/>
      <c r="H3" s="427"/>
      <c r="I3" s="427"/>
      <c r="J3" s="544">
        <f>ROUND(AVERAGE(D8,C8),0)</f>
        <v>465000</v>
      </c>
    </row>
    <row r="4" spans="2:10" ht="18.75" customHeight="1" x14ac:dyDescent="0.2">
      <c r="B4" s="428" t="s">
        <v>197</v>
      </c>
      <c r="C4" s="429">
        <v>65000</v>
      </c>
      <c r="D4" s="430"/>
      <c r="E4" s="431"/>
      <c r="F4" s="430"/>
      <c r="G4" s="429"/>
      <c r="H4" s="432"/>
      <c r="I4" s="432"/>
      <c r="J4" s="545"/>
    </row>
    <row r="5" spans="2:10" ht="18.75" customHeight="1" x14ac:dyDescent="0.2">
      <c r="B5" s="428" t="s">
        <v>198</v>
      </c>
      <c r="C5" s="433">
        <v>180000</v>
      </c>
      <c r="D5" s="434"/>
      <c r="E5" s="435"/>
      <c r="F5" s="434"/>
      <c r="G5" s="436"/>
      <c r="H5" s="437"/>
      <c r="I5" s="437"/>
      <c r="J5" s="545"/>
    </row>
    <row r="6" spans="2:10" ht="18.75" customHeight="1" x14ac:dyDescent="0.2">
      <c r="B6" s="428" t="s">
        <v>199</v>
      </c>
      <c r="C6" s="433">
        <v>115000</v>
      </c>
      <c r="D6" s="438"/>
      <c r="E6" s="439"/>
      <c r="F6" s="438"/>
      <c r="G6" s="433"/>
      <c r="H6" s="440"/>
      <c r="I6" s="440"/>
      <c r="J6" s="545"/>
    </row>
    <row r="7" spans="2:10" ht="18.75" customHeight="1" x14ac:dyDescent="0.2">
      <c r="B7" s="428" t="s">
        <v>200</v>
      </c>
      <c r="C7" s="433">
        <v>35000</v>
      </c>
      <c r="D7" s="438"/>
      <c r="E7" s="439"/>
      <c r="F7" s="438"/>
      <c r="G7" s="433"/>
      <c r="H7" s="440"/>
      <c r="I7" s="440"/>
      <c r="J7" s="545"/>
    </row>
    <row r="8" spans="2:10" ht="18.75" customHeight="1" thickBot="1" x14ac:dyDescent="0.25">
      <c r="B8" s="326"/>
      <c r="C8" s="441">
        <f>SUM(C4:C7)</f>
        <v>395000</v>
      </c>
      <c r="D8" s="442">
        <v>535000</v>
      </c>
      <c r="E8" s="443"/>
      <c r="F8" s="444"/>
      <c r="G8" s="445"/>
      <c r="H8" s="446"/>
      <c r="I8" s="446"/>
      <c r="J8" s="546"/>
    </row>
    <row r="9" spans="2:10" ht="48.75" customHeight="1" x14ac:dyDescent="0.2">
      <c r="B9" s="447" t="s">
        <v>78</v>
      </c>
      <c r="C9" s="448"/>
      <c r="D9" s="430"/>
      <c r="E9" s="431"/>
      <c r="F9" s="430"/>
      <c r="G9" s="429"/>
      <c r="H9" s="432"/>
      <c r="I9" s="432"/>
      <c r="J9" s="544">
        <f>ROUND(AVERAGE(D14,C14),0)</f>
        <v>710125</v>
      </c>
    </row>
    <row r="10" spans="2:10" x14ac:dyDescent="0.2">
      <c r="B10" s="428" t="s">
        <v>210</v>
      </c>
      <c r="C10" s="433">
        <v>130000</v>
      </c>
      <c r="D10" s="438"/>
      <c r="E10" s="439"/>
      <c r="F10" s="438"/>
      <c r="G10" s="433"/>
      <c r="H10" s="440"/>
      <c r="I10" s="440"/>
      <c r="J10" s="545"/>
    </row>
    <row r="11" spans="2:10" x14ac:dyDescent="0.2">
      <c r="B11" s="428" t="s">
        <v>211</v>
      </c>
      <c r="C11" s="433">
        <v>235000</v>
      </c>
      <c r="D11" s="438"/>
      <c r="E11" s="439"/>
      <c r="F11" s="438"/>
      <c r="G11" s="433"/>
      <c r="H11" s="440"/>
      <c r="I11" s="440"/>
      <c r="J11" s="545"/>
    </row>
    <row r="12" spans="2:10" x14ac:dyDescent="0.2">
      <c r="B12" s="428" t="s">
        <v>204</v>
      </c>
      <c r="C12" s="433">
        <v>225000</v>
      </c>
      <c r="D12" s="438"/>
      <c r="E12" s="439"/>
      <c r="F12" s="438"/>
      <c r="G12" s="433"/>
      <c r="H12" s="440"/>
      <c r="I12" s="440"/>
      <c r="J12" s="545"/>
    </row>
    <row r="13" spans="2:10" x14ac:dyDescent="0.2">
      <c r="B13" s="428" t="s">
        <v>205</v>
      </c>
      <c r="C13" s="433">
        <v>60000</v>
      </c>
      <c r="D13" s="438"/>
      <c r="E13" s="439"/>
      <c r="F13" s="438"/>
      <c r="G13" s="433"/>
      <c r="H13" s="440"/>
      <c r="I13" s="440"/>
      <c r="J13" s="545"/>
    </row>
    <row r="14" spans="2:10" ht="16" thickBot="1" x14ac:dyDescent="0.25">
      <c r="B14" s="449"/>
      <c r="C14" s="450">
        <f>SUM(C10:C13)</f>
        <v>650000</v>
      </c>
      <c r="D14" s="451">
        <v>770249</v>
      </c>
      <c r="E14" s="452"/>
      <c r="F14" s="453"/>
      <c r="G14" s="454"/>
      <c r="H14" s="455"/>
      <c r="I14" s="455"/>
      <c r="J14" s="546"/>
    </row>
    <row r="15" spans="2:10" ht="49" thickBot="1" x14ac:dyDescent="0.25">
      <c r="B15" s="424" t="s">
        <v>79</v>
      </c>
      <c r="C15" s="456"/>
      <c r="D15" s="457">
        <v>116235</v>
      </c>
      <c r="E15" s="425"/>
      <c r="F15" s="320"/>
      <c r="G15" s="426"/>
      <c r="H15" s="427"/>
      <c r="I15" s="427"/>
      <c r="J15" s="325">
        <f>AVERAGE(I15,D15)</f>
        <v>116235</v>
      </c>
    </row>
    <row r="16" spans="2:10" ht="113" thickBot="1" x14ac:dyDescent="0.25">
      <c r="B16" s="458" t="s">
        <v>82</v>
      </c>
      <c r="C16" s="443"/>
      <c r="D16" s="442">
        <v>199999</v>
      </c>
      <c r="E16" s="443"/>
      <c r="F16" s="444"/>
      <c r="G16" s="445"/>
      <c r="H16" s="446"/>
      <c r="I16" s="446"/>
      <c r="J16" s="286">
        <f>AVERAGE(I16,D16)</f>
        <v>199999</v>
      </c>
    </row>
    <row r="17" spans="2:14" ht="33" thickBot="1" x14ac:dyDescent="0.25">
      <c r="B17" s="424" t="s">
        <v>83</v>
      </c>
      <c r="C17" s="425"/>
      <c r="D17" s="320"/>
      <c r="E17" s="456">
        <f>1200000*1.19</f>
        <v>1428000</v>
      </c>
      <c r="F17" s="457">
        <v>1785000</v>
      </c>
      <c r="G17" s="426"/>
      <c r="H17" s="427"/>
      <c r="I17" s="427"/>
      <c r="J17" s="286">
        <f>AVERAGE(F17,E17)</f>
        <v>1606500</v>
      </c>
    </row>
    <row r="18" spans="2:14" ht="129" thickBot="1" x14ac:dyDescent="0.25">
      <c r="B18" s="424" t="s">
        <v>93</v>
      </c>
      <c r="C18" s="456">
        <v>29000</v>
      </c>
      <c r="D18" s="457"/>
      <c r="E18" s="459"/>
      <c r="F18" s="457"/>
      <c r="G18" s="456">
        <v>50000</v>
      </c>
      <c r="H18" s="460"/>
      <c r="I18" s="460">
        <v>44900</v>
      </c>
      <c r="J18" s="324">
        <f>AVERAGE(G18,C18,I18)</f>
        <v>41300</v>
      </c>
      <c r="K18" s="461"/>
      <c r="L18" s="462"/>
      <c r="M18" s="463">
        <f>SUM(M21:M22)</f>
        <v>5391</v>
      </c>
      <c r="N18" s="464"/>
    </row>
    <row r="19" spans="2:14" ht="20.25" customHeight="1" thickBot="1" x14ac:dyDescent="0.25">
      <c r="B19" s="465" t="s">
        <v>92</v>
      </c>
      <c r="C19" s="466"/>
      <c r="D19" s="467"/>
      <c r="E19" s="466"/>
      <c r="F19" s="467"/>
      <c r="G19" s="468"/>
      <c r="H19" s="469">
        <v>175000</v>
      </c>
      <c r="I19" s="470"/>
      <c r="J19" s="324">
        <f>AVERAGE(H19,C19,I19)</f>
        <v>175000</v>
      </c>
      <c r="K19" s="462"/>
      <c r="L19" s="462"/>
      <c r="N19" s="464"/>
    </row>
    <row r="20" spans="2:14" ht="112" hidden="1" x14ac:dyDescent="0.2">
      <c r="B20" s="447" t="s">
        <v>212</v>
      </c>
      <c r="C20" s="431"/>
      <c r="D20" s="430"/>
      <c r="E20" s="431"/>
      <c r="F20" s="430"/>
      <c r="G20" s="429"/>
      <c r="H20" s="432"/>
      <c r="I20" s="432"/>
      <c r="J20" s="471"/>
      <c r="K20" s="472" t="s">
        <v>213</v>
      </c>
      <c r="L20" s="472" t="s">
        <v>214</v>
      </c>
      <c r="M20" s="462"/>
      <c r="N20" s="464"/>
    </row>
    <row r="21" spans="2:14" ht="16" hidden="1" x14ac:dyDescent="0.2">
      <c r="B21" s="473" t="s">
        <v>215</v>
      </c>
      <c r="C21" s="433"/>
      <c r="D21" s="438"/>
      <c r="E21" s="439"/>
      <c r="F21" s="438"/>
      <c r="G21" s="433"/>
      <c r="H21" s="440"/>
      <c r="I21" s="440">
        <v>59900</v>
      </c>
      <c r="J21" s="471"/>
      <c r="K21" s="461">
        <f>I21/5</f>
        <v>11980</v>
      </c>
      <c r="L21" s="461">
        <f>K21/5</f>
        <v>2396</v>
      </c>
      <c r="M21" s="461">
        <f>L21</f>
        <v>2396</v>
      </c>
      <c r="N21" s="464"/>
    </row>
    <row r="22" spans="2:14" ht="16" hidden="1" x14ac:dyDescent="0.2">
      <c r="B22" s="465" t="s">
        <v>228</v>
      </c>
      <c r="C22" s="474"/>
      <c r="D22" s="475"/>
      <c r="E22" s="466"/>
      <c r="F22" s="475"/>
      <c r="G22" s="474"/>
      <c r="H22" s="476"/>
      <c r="I22" s="476">
        <v>59900</v>
      </c>
      <c r="J22" s="471"/>
      <c r="K22" s="461">
        <f>I22/20</f>
        <v>2995</v>
      </c>
      <c r="L22" s="462"/>
      <c r="M22" s="461">
        <f>K22</f>
        <v>2995</v>
      </c>
      <c r="N22" s="464"/>
    </row>
  </sheetData>
  <mergeCells count="2">
    <mergeCell ref="J3:J8"/>
    <mergeCell ref="J9:J14"/>
  </mergeCells>
  <pageMargins left="0.7" right="0.7" top="0.75" bottom="0.75" header="0.3" footer="0.3"/>
  <pageSetup paperSize="9" scale="41"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8416AF-A205-4CD7-A0A8-CC04C5988D54}">
  <sheetPr>
    <pageSetUpPr fitToPage="1"/>
  </sheetPr>
  <dimension ref="A1:F15"/>
  <sheetViews>
    <sheetView view="pageBreakPreview" zoomScaleNormal="100" zoomScaleSheetLayoutView="100" zoomScalePageLayoutView="90" workbookViewId="0">
      <selection activeCell="F3" sqref="F3"/>
    </sheetView>
  </sheetViews>
  <sheetFormatPr baseColWidth="10" defaultColWidth="33.33203125" defaultRowHeight="12" x14ac:dyDescent="0.2"/>
  <cols>
    <col min="1" max="1" width="41.33203125" style="306" customWidth="1"/>
    <col min="2" max="2" width="11.1640625" style="302" customWidth="1"/>
    <col min="3" max="4" width="17.5" style="302" customWidth="1"/>
    <col min="5" max="5" width="2.6640625" style="302" customWidth="1"/>
    <col min="6" max="6" width="18.83203125" style="302" customWidth="1"/>
    <col min="7" max="7" width="7.6640625" style="302" bestFit="1" customWidth="1"/>
    <col min="8" max="8" width="5.5" style="302" bestFit="1" customWidth="1"/>
    <col min="9" max="12" width="7.6640625" style="302" bestFit="1" customWidth="1"/>
    <col min="13" max="16384" width="33.33203125" style="302"/>
  </cols>
  <sheetData>
    <row r="1" spans="1:6" ht="15" customHeight="1" x14ac:dyDescent="0.2">
      <c r="A1" s="308"/>
      <c r="B1" s="309"/>
      <c r="C1" s="310" t="s">
        <v>220</v>
      </c>
      <c r="D1" s="310" t="s">
        <v>222</v>
      </c>
      <c r="E1" s="311"/>
      <c r="F1" s="547" t="s">
        <v>216</v>
      </c>
    </row>
    <row r="2" spans="1:6" ht="69.75" customHeight="1" thickBot="1" x14ac:dyDescent="0.25">
      <c r="A2" s="312" t="s">
        <v>45</v>
      </c>
      <c r="B2" s="303" t="s">
        <v>73</v>
      </c>
      <c r="C2" s="303" t="s">
        <v>219</v>
      </c>
      <c r="D2" s="303" t="s">
        <v>221</v>
      </c>
      <c r="E2" s="313"/>
      <c r="F2" s="548"/>
    </row>
    <row r="3" spans="1:6" ht="72" customHeight="1" thickBot="1" x14ac:dyDescent="0.25">
      <c r="A3" s="327" t="s">
        <v>217</v>
      </c>
      <c r="B3" s="304" t="s">
        <v>77</v>
      </c>
      <c r="C3" s="305">
        <f>SUM(C4:C7)</f>
        <v>84000</v>
      </c>
      <c r="D3" s="305">
        <f>SUM(D4:D7)</f>
        <v>73000</v>
      </c>
      <c r="E3" s="314"/>
      <c r="F3" s="319">
        <f>ROUND(AVERAGE(C3,D3),0)</f>
        <v>78500</v>
      </c>
    </row>
    <row r="4" spans="1:6" ht="16.5" customHeight="1" x14ac:dyDescent="0.2">
      <c r="A4" s="315" t="s">
        <v>187</v>
      </c>
      <c r="B4" s="284"/>
      <c r="C4" s="284">
        <v>30000</v>
      </c>
      <c r="D4" s="284">
        <v>25000</v>
      </c>
      <c r="E4" s="314"/>
      <c r="F4" s="307"/>
    </row>
    <row r="5" spans="1:6" ht="16.5" customHeight="1" x14ac:dyDescent="0.2">
      <c r="A5" s="315" t="s">
        <v>188</v>
      </c>
      <c r="B5" s="284"/>
      <c r="C5" s="284">
        <v>30000</v>
      </c>
      <c r="D5" s="284">
        <v>25000</v>
      </c>
      <c r="E5" s="314"/>
      <c r="F5" s="307"/>
    </row>
    <row r="6" spans="1:6" ht="16.5" customHeight="1" x14ac:dyDescent="0.2">
      <c r="A6" s="315" t="s">
        <v>189</v>
      </c>
      <c r="B6" s="284"/>
      <c r="C6" s="284">
        <v>9000</v>
      </c>
      <c r="D6" s="284">
        <v>15000</v>
      </c>
      <c r="E6" s="314"/>
      <c r="F6" s="307"/>
    </row>
    <row r="7" spans="1:6" ht="16.5" customHeight="1" thickBot="1" x14ac:dyDescent="0.25">
      <c r="A7" s="315" t="s">
        <v>190</v>
      </c>
      <c r="B7" s="284"/>
      <c r="C7" s="284">
        <v>15000</v>
      </c>
      <c r="D7" s="284">
        <v>8000</v>
      </c>
      <c r="E7" s="314"/>
      <c r="F7" s="307"/>
    </row>
    <row r="8" spans="1:6" ht="93.75" customHeight="1" thickBot="1" x14ac:dyDescent="0.25">
      <c r="A8" s="327" t="s">
        <v>218</v>
      </c>
      <c r="B8" s="304" t="s">
        <v>77</v>
      </c>
      <c r="C8" s="305">
        <f>SUM(C9:C15)</f>
        <v>119000</v>
      </c>
      <c r="D8" s="305">
        <f>SUM(D9:D15)</f>
        <v>132000</v>
      </c>
      <c r="E8" s="314"/>
      <c r="F8" s="319">
        <f>ROUND(AVERAGE(C8,D8),0)</f>
        <v>125500</v>
      </c>
    </row>
    <row r="9" spans="1:6" ht="14.25" customHeight="1" x14ac:dyDescent="0.2">
      <c r="A9" s="315" t="s">
        <v>187</v>
      </c>
      <c r="B9" s="284"/>
      <c r="C9" s="284">
        <v>30000</v>
      </c>
      <c r="D9" s="284">
        <v>65000</v>
      </c>
      <c r="E9" s="314"/>
      <c r="F9" s="307"/>
    </row>
    <row r="10" spans="1:6" ht="14.25" customHeight="1" x14ac:dyDescent="0.2">
      <c r="A10" s="315" t="s">
        <v>188</v>
      </c>
      <c r="B10" s="284"/>
      <c r="C10" s="284">
        <v>30000</v>
      </c>
      <c r="D10" s="284">
        <v>25000</v>
      </c>
      <c r="E10" s="314"/>
      <c r="F10" s="307"/>
    </row>
    <row r="11" spans="1:6" ht="14.25" customHeight="1" x14ac:dyDescent="0.2">
      <c r="A11" s="315" t="s">
        <v>189</v>
      </c>
      <c r="B11" s="284"/>
      <c r="C11" s="284">
        <v>9000</v>
      </c>
      <c r="D11" s="284">
        <v>15000</v>
      </c>
      <c r="E11" s="314"/>
      <c r="F11" s="307"/>
    </row>
    <row r="12" spans="1:6" ht="14.25" customHeight="1" x14ac:dyDescent="0.2">
      <c r="A12" s="315" t="s">
        <v>191</v>
      </c>
      <c r="B12" s="284"/>
      <c r="C12" s="284">
        <v>15000</v>
      </c>
      <c r="D12" s="284">
        <v>8000</v>
      </c>
      <c r="E12" s="314"/>
      <c r="F12" s="307"/>
    </row>
    <row r="13" spans="1:6" ht="14.25" customHeight="1" x14ac:dyDescent="0.2">
      <c r="A13" s="315" t="s">
        <v>192</v>
      </c>
      <c r="B13" s="284"/>
      <c r="C13" s="284">
        <v>15000</v>
      </c>
      <c r="D13" s="284">
        <v>19000</v>
      </c>
      <c r="E13" s="314"/>
      <c r="F13" s="307"/>
    </row>
    <row r="14" spans="1:6" ht="14.25" customHeight="1" x14ac:dyDescent="0.2">
      <c r="A14" s="315" t="s">
        <v>196</v>
      </c>
      <c r="B14" s="284"/>
      <c r="C14" s="284">
        <v>10000</v>
      </c>
      <c r="D14" s="284"/>
      <c r="E14" s="314"/>
      <c r="F14" s="307"/>
    </row>
    <row r="15" spans="1:6" ht="14.25" customHeight="1" thickBot="1" x14ac:dyDescent="0.25">
      <c r="A15" s="328" t="s">
        <v>195</v>
      </c>
      <c r="B15" s="316"/>
      <c r="C15" s="316">
        <v>10000</v>
      </c>
      <c r="D15" s="316"/>
      <c r="E15" s="317"/>
      <c r="F15" s="318"/>
    </row>
  </sheetData>
  <mergeCells count="1">
    <mergeCell ref="F1:F2"/>
  </mergeCells>
  <pageMargins left="0.7" right="0.7" top="0.75" bottom="0.75" header="0.3" footer="0.3"/>
  <pageSetup fitToHeight="0" orientation="landscape"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050591-BE60-4ABB-A647-D4B957328338}">
  <dimension ref="A2:S111"/>
  <sheetViews>
    <sheetView topLeftCell="A31" zoomScale="115" zoomScaleNormal="115" workbookViewId="0">
      <selection activeCell="P35" sqref="P35"/>
    </sheetView>
  </sheetViews>
  <sheetFormatPr baseColWidth="10" defaultColWidth="8.83203125" defaultRowHeight="15" x14ac:dyDescent="0.2"/>
  <cols>
    <col min="9" max="9" width="9.5" style="288" bestFit="1" customWidth="1"/>
  </cols>
  <sheetData>
    <row r="2" spans="1:19" x14ac:dyDescent="0.2">
      <c r="A2" s="549" t="s">
        <v>110</v>
      </c>
      <c r="B2" s="551"/>
      <c r="C2" s="551"/>
      <c r="D2" s="551"/>
      <c r="E2" s="551"/>
      <c r="F2" s="551"/>
      <c r="G2" s="551"/>
      <c r="H2" s="551"/>
      <c r="I2" s="551"/>
      <c r="J2" s="551"/>
      <c r="K2" s="551"/>
      <c r="L2" s="551"/>
      <c r="M2" s="551"/>
      <c r="N2" s="550"/>
    </row>
    <row r="4" spans="1:19" x14ac:dyDescent="0.2">
      <c r="C4" s="549">
        <v>1</v>
      </c>
      <c r="D4" s="550"/>
      <c r="K4" s="549">
        <v>2</v>
      </c>
      <c r="L4" s="550"/>
      <c r="R4" s="549">
        <v>1</v>
      </c>
      <c r="S4" s="550"/>
    </row>
    <row r="39" spans="4:13" x14ac:dyDescent="0.2">
      <c r="D39" s="549">
        <v>1</v>
      </c>
      <c r="E39" s="550"/>
      <c r="L39" s="549">
        <v>2</v>
      </c>
      <c r="M39" s="550"/>
    </row>
    <row r="76" spans="4:13" x14ac:dyDescent="0.2">
      <c r="D76" s="549">
        <v>1</v>
      </c>
      <c r="E76" s="550"/>
      <c r="L76" s="549">
        <v>2</v>
      </c>
      <c r="M76" s="550"/>
    </row>
    <row r="110" spans="3:11" x14ac:dyDescent="0.2">
      <c r="C110" s="549">
        <v>1</v>
      </c>
      <c r="D110" s="550"/>
      <c r="J110" s="549">
        <v>2</v>
      </c>
      <c r="K110" s="550"/>
    </row>
    <row r="111" spans="3:11" x14ac:dyDescent="0.2">
      <c r="C111" s="282"/>
    </row>
  </sheetData>
  <mergeCells count="10">
    <mergeCell ref="C110:D110"/>
    <mergeCell ref="J110:K110"/>
    <mergeCell ref="R4:S4"/>
    <mergeCell ref="A2:N2"/>
    <mergeCell ref="C4:D4"/>
    <mergeCell ref="K4:L4"/>
    <mergeCell ref="D39:E39"/>
    <mergeCell ref="L39:M39"/>
    <mergeCell ref="D76:E76"/>
    <mergeCell ref="L76:M76"/>
  </mergeCells>
  <pageMargins left="0.7" right="0.7" top="0.75" bottom="0.75" header="0.3" footer="0.3"/>
  <pageSetup orientation="portrait" horizontalDpi="0" verticalDpi="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2B92CC-AEFF-4703-8E33-7D3A8DDE02C6}">
  <sheetPr>
    <tabColor theme="9" tint="-0.249977111117893"/>
  </sheetPr>
  <dimension ref="A1:AD153"/>
  <sheetViews>
    <sheetView zoomScale="130" zoomScaleNormal="130" workbookViewId="0">
      <selection activeCell="D77" sqref="D77"/>
    </sheetView>
  </sheetViews>
  <sheetFormatPr baseColWidth="10" defaultColWidth="11.5" defaultRowHeight="11" outlineLevelCol="1" x14ac:dyDescent="0.15"/>
  <cols>
    <col min="1" max="1" width="21.6640625" style="339" customWidth="1"/>
    <col min="2" max="2" width="6.5" style="411" customWidth="1"/>
    <col min="3" max="3" width="11.6640625" style="412" customWidth="1"/>
    <col min="4" max="4" width="12" style="413" customWidth="1" outlineLevel="1"/>
    <col min="5" max="5" width="11.33203125" style="414" customWidth="1" outlineLevel="1"/>
    <col min="6" max="6" width="12" style="413" hidden="1" customWidth="1" outlineLevel="1"/>
    <col min="7" max="15" width="11.5" style="413" hidden="1" customWidth="1" outlineLevel="1"/>
    <col min="16" max="16" width="10.5" style="413" hidden="1" customWidth="1" outlineLevel="1"/>
    <col min="17" max="20" width="11.5" style="413" hidden="1" customWidth="1" outlineLevel="1"/>
    <col min="21" max="21" width="12" style="413" hidden="1" customWidth="1" outlineLevel="1"/>
    <col min="22" max="22" width="11.33203125" style="413" hidden="1" customWidth="1"/>
    <col min="23" max="23" width="11.33203125" style="413" customWidth="1"/>
    <col min="24" max="24" width="13.6640625" style="415" bestFit="1" customWidth="1"/>
    <col min="25" max="25" width="12.5" style="339" bestFit="1" customWidth="1"/>
    <col min="26" max="26" width="13.83203125" style="339" bestFit="1" customWidth="1"/>
    <col min="27" max="27" width="15.33203125" style="413" bestFit="1" customWidth="1"/>
    <col min="28" max="28" width="21.5" style="416" bestFit="1" customWidth="1"/>
    <col min="29" max="16384" width="11.5" style="339"/>
  </cols>
  <sheetData>
    <row r="1" spans="1:28" ht="12" x14ac:dyDescent="0.15">
      <c r="A1" s="332" t="s">
        <v>111</v>
      </c>
      <c r="B1" s="333" t="s">
        <v>112</v>
      </c>
      <c r="C1" s="334" t="s">
        <v>113</v>
      </c>
      <c r="D1" s="335" t="s">
        <v>89</v>
      </c>
      <c r="E1" s="335" t="s">
        <v>114</v>
      </c>
      <c r="F1" s="335" t="s">
        <v>115</v>
      </c>
      <c r="G1" s="335" t="s">
        <v>116</v>
      </c>
      <c r="H1" s="335" t="s">
        <v>117</v>
      </c>
      <c r="I1" s="336" t="s">
        <v>118</v>
      </c>
      <c r="J1" s="336" t="s">
        <v>119</v>
      </c>
      <c r="K1" s="335" t="s">
        <v>120</v>
      </c>
      <c r="L1" s="335" t="s">
        <v>121</v>
      </c>
      <c r="M1" s="335" t="s">
        <v>122</v>
      </c>
      <c r="N1" s="336" t="s">
        <v>123</v>
      </c>
      <c r="O1" s="335" t="s">
        <v>124</v>
      </c>
      <c r="P1" s="335" t="s">
        <v>124</v>
      </c>
      <c r="Q1" s="335" t="s">
        <v>125</v>
      </c>
      <c r="R1" s="336" t="s">
        <v>126</v>
      </c>
      <c r="S1" s="335" t="s">
        <v>127</v>
      </c>
      <c r="T1" s="336" t="s">
        <v>128</v>
      </c>
      <c r="U1" s="336" t="s">
        <v>129</v>
      </c>
      <c r="V1" s="336" t="s">
        <v>130</v>
      </c>
      <c r="W1" s="336" t="s">
        <v>130</v>
      </c>
      <c r="X1" s="337" t="s">
        <v>130</v>
      </c>
      <c r="Y1" s="333" t="s">
        <v>131</v>
      </c>
      <c r="Z1" s="333" t="s">
        <v>132</v>
      </c>
      <c r="AA1" s="333" t="s">
        <v>133</v>
      </c>
      <c r="AB1" s="338" t="s">
        <v>134</v>
      </c>
    </row>
    <row r="2" spans="1:28" ht="33" customHeight="1" x14ac:dyDescent="0.15">
      <c r="A2" s="340" t="s">
        <v>135</v>
      </c>
      <c r="B2" s="341"/>
      <c r="C2" s="342" t="s">
        <v>136</v>
      </c>
      <c r="D2" s="343" t="s">
        <v>137</v>
      </c>
      <c r="E2" s="343" t="s">
        <v>138</v>
      </c>
      <c r="F2" s="343" t="s">
        <v>139</v>
      </c>
      <c r="G2" s="343" t="s">
        <v>140</v>
      </c>
      <c r="H2" s="343" t="s">
        <v>141</v>
      </c>
      <c r="I2" s="343" t="s">
        <v>142</v>
      </c>
      <c r="J2" s="343" t="s">
        <v>143</v>
      </c>
      <c r="K2" s="343" t="s">
        <v>144</v>
      </c>
      <c r="L2" s="343" t="s">
        <v>145</v>
      </c>
      <c r="M2" s="343" t="s">
        <v>146</v>
      </c>
      <c r="N2" s="343" t="s">
        <v>147</v>
      </c>
      <c r="O2" s="343" t="s">
        <v>148</v>
      </c>
      <c r="P2" s="343" t="s">
        <v>149</v>
      </c>
      <c r="Q2" s="343" t="s">
        <v>150</v>
      </c>
      <c r="R2" s="343" t="s">
        <v>151</v>
      </c>
      <c r="S2" s="343" t="s">
        <v>152</v>
      </c>
      <c r="T2" s="343" t="s">
        <v>153</v>
      </c>
      <c r="U2" s="343" t="s">
        <v>154</v>
      </c>
      <c r="V2" s="343" t="s">
        <v>155</v>
      </c>
      <c r="W2" s="343" t="s">
        <v>156</v>
      </c>
      <c r="X2" s="344" t="s">
        <v>157</v>
      </c>
      <c r="Y2" s="345" t="s">
        <v>158</v>
      </c>
      <c r="Z2" s="345" t="s">
        <v>159</v>
      </c>
      <c r="AA2" s="341" t="s">
        <v>160</v>
      </c>
      <c r="AB2" s="346" t="s">
        <v>161</v>
      </c>
    </row>
    <row r="3" spans="1:28" ht="35.25" customHeight="1" thickBot="1" x14ac:dyDescent="0.2">
      <c r="A3" s="347"/>
      <c r="B3" s="348" t="s">
        <v>162</v>
      </c>
      <c r="C3" s="349" t="s">
        <v>163</v>
      </c>
      <c r="D3" s="350" t="s">
        <v>164</v>
      </c>
      <c r="E3" s="351" t="s">
        <v>165</v>
      </c>
      <c r="F3" s="350" t="s">
        <v>166</v>
      </c>
      <c r="G3" s="350" t="s">
        <v>167</v>
      </c>
      <c r="H3" s="351" t="s">
        <v>168</v>
      </c>
      <c r="I3" s="351" t="s">
        <v>169</v>
      </c>
      <c r="J3" s="351" t="s">
        <v>170</v>
      </c>
      <c r="K3" s="351" t="s">
        <v>171</v>
      </c>
      <c r="L3" s="351" t="s">
        <v>172</v>
      </c>
      <c r="M3" s="351" t="s">
        <v>173</v>
      </c>
      <c r="N3" s="351" t="s">
        <v>174</v>
      </c>
      <c r="O3" s="351" t="s">
        <v>175</v>
      </c>
      <c r="P3" s="351" t="s">
        <v>176</v>
      </c>
      <c r="Q3" s="351" t="s">
        <v>177</v>
      </c>
      <c r="R3" s="351" t="s">
        <v>178</v>
      </c>
      <c r="S3" s="351" t="s">
        <v>179</v>
      </c>
      <c r="T3" s="350" t="s">
        <v>180</v>
      </c>
      <c r="U3" s="352" t="s">
        <v>181</v>
      </c>
      <c r="V3" s="350" t="s">
        <v>182</v>
      </c>
      <c r="W3" s="350" t="s">
        <v>182</v>
      </c>
      <c r="X3" s="353" t="s">
        <v>182</v>
      </c>
      <c r="Y3" s="354" t="s">
        <v>6</v>
      </c>
      <c r="Z3" s="354" t="s">
        <v>183</v>
      </c>
      <c r="AA3" s="354" t="s">
        <v>184</v>
      </c>
      <c r="AB3" s="355" t="s">
        <v>185</v>
      </c>
    </row>
    <row r="4" spans="1:28" ht="12" x14ac:dyDescent="0.15">
      <c r="A4" s="356" t="s">
        <v>236</v>
      </c>
      <c r="B4" s="357" t="s">
        <v>237</v>
      </c>
      <c r="C4" s="358">
        <v>1.1000000000000001</v>
      </c>
      <c r="D4" s="359">
        <v>1565850.0000000002</v>
      </c>
      <c r="E4" s="359">
        <f t="shared" ref="E4:E67" si="0">ROUND(+D4/30,0)</f>
        <v>52195</v>
      </c>
      <c r="F4" s="359">
        <f t="shared" ref="F4:F67" si="1">+D4*12</f>
        <v>18790200.000000004</v>
      </c>
      <c r="G4" s="359">
        <v>6388.8888888888887</v>
      </c>
      <c r="H4" s="359">
        <v>4905.1388888888896</v>
      </c>
      <c r="I4" s="359">
        <f t="shared" ref="I4:I67" si="2">+H4*0.12</f>
        <v>588.61666666666667</v>
      </c>
      <c r="J4" s="359">
        <v>4905.1388888888896</v>
      </c>
      <c r="K4" s="359">
        <f t="shared" ref="K4:K67" si="3">(+D4/2)/360</f>
        <v>2174.791666666667</v>
      </c>
      <c r="L4" s="359">
        <v>6263.4</v>
      </c>
      <c r="M4" s="359">
        <v>4436.5749999999998</v>
      </c>
      <c r="N4" s="359">
        <v>3632.7719999999999</v>
      </c>
      <c r="O4" s="359">
        <v>1043.9000000000001</v>
      </c>
      <c r="P4" s="359">
        <v>1186.25</v>
      </c>
      <c r="Q4" s="359">
        <v>1565.85</v>
      </c>
      <c r="R4" s="359">
        <v>2087.8000000000002</v>
      </c>
      <c r="S4" s="359">
        <v>2380.8333333333335</v>
      </c>
      <c r="T4" s="359">
        <v>1776.4222222222222</v>
      </c>
      <c r="U4" s="359">
        <f t="shared" ref="U4:U67" si="4">SUM(G4:T4)+E4</f>
        <v>95531.377555555562</v>
      </c>
      <c r="V4" s="360">
        <f t="shared" ref="V4:V67" si="5">+U4/E4-1</f>
        <v>0.83027833232216808</v>
      </c>
      <c r="W4" s="361">
        <f t="shared" ref="W4:W67" si="6">+ROUNDUP(V4,2)</f>
        <v>0.84</v>
      </c>
      <c r="X4" s="362">
        <f t="shared" ref="X4:X67" si="7">ROUND(W4*E4+E4,0)</f>
        <v>96039</v>
      </c>
      <c r="Y4" s="363">
        <v>0</v>
      </c>
      <c r="Z4" s="364">
        <v>0</v>
      </c>
      <c r="AA4" s="365">
        <f t="shared" ref="AA4:AA67" si="8">+Y4*Z4</f>
        <v>0</v>
      </c>
      <c r="AB4" s="366">
        <f t="shared" ref="AB4:AB67" si="9">+W4*AA4</f>
        <v>0</v>
      </c>
    </row>
    <row r="5" spans="1:28" ht="12" x14ac:dyDescent="0.15">
      <c r="A5" s="367" t="s">
        <v>238</v>
      </c>
      <c r="B5" s="368" t="s">
        <v>237</v>
      </c>
      <c r="C5" s="358">
        <v>1.1000000000000001</v>
      </c>
      <c r="D5" s="369">
        <v>1565850.0000000002</v>
      </c>
      <c r="E5" s="359">
        <f t="shared" si="0"/>
        <v>52195</v>
      </c>
      <c r="F5" s="369">
        <f t="shared" si="1"/>
        <v>18790200.000000004</v>
      </c>
      <c r="G5" s="359">
        <v>6388.8888888888887</v>
      </c>
      <c r="H5" s="359">
        <v>4905.1388888888896</v>
      </c>
      <c r="I5" s="369">
        <f t="shared" si="2"/>
        <v>588.61666666666667</v>
      </c>
      <c r="J5" s="359">
        <v>4905.1388888888896</v>
      </c>
      <c r="K5" s="359">
        <f t="shared" si="3"/>
        <v>2174.791666666667</v>
      </c>
      <c r="L5" s="359">
        <v>6263.4</v>
      </c>
      <c r="M5" s="359">
        <v>4436.5749999999998</v>
      </c>
      <c r="N5" s="359">
        <v>3632.7719999999999</v>
      </c>
      <c r="O5" s="359">
        <v>1043.9000000000001</v>
      </c>
      <c r="P5" s="359">
        <v>1186.25</v>
      </c>
      <c r="Q5" s="359">
        <v>1565.85</v>
      </c>
      <c r="R5" s="359">
        <v>2087.8000000000002</v>
      </c>
      <c r="S5" s="359">
        <v>2380.8333333333335</v>
      </c>
      <c r="T5" s="359">
        <v>1776.4222222222222</v>
      </c>
      <c r="U5" s="359">
        <f t="shared" si="4"/>
        <v>95531.377555555562</v>
      </c>
      <c r="V5" s="360">
        <f t="shared" si="5"/>
        <v>0.83027833232216808</v>
      </c>
      <c r="W5" s="361">
        <f t="shared" si="6"/>
        <v>0.84</v>
      </c>
      <c r="X5" s="362">
        <f t="shared" si="7"/>
        <v>96039</v>
      </c>
      <c r="Y5" s="370">
        <v>0</v>
      </c>
      <c r="Z5" s="371">
        <v>0</v>
      </c>
      <c r="AA5" s="372">
        <f t="shared" si="8"/>
        <v>0</v>
      </c>
      <c r="AB5" s="366">
        <f t="shared" si="9"/>
        <v>0</v>
      </c>
    </row>
    <row r="6" spans="1:28" ht="12" x14ac:dyDescent="0.15">
      <c r="A6" s="367" t="s">
        <v>239</v>
      </c>
      <c r="B6" s="368">
        <v>0</v>
      </c>
      <c r="C6" s="358">
        <v>1.1000000000000001</v>
      </c>
      <c r="D6" s="369">
        <v>1565850.0000000002</v>
      </c>
      <c r="E6" s="359">
        <f t="shared" si="0"/>
        <v>52195</v>
      </c>
      <c r="F6" s="369">
        <f t="shared" si="1"/>
        <v>18790200.000000004</v>
      </c>
      <c r="G6" s="359">
        <v>6388.8888888888887</v>
      </c>
      <c r="H6" s="359">
        <v>4905.1388888888896</v>
      </c>
      <c r="I6" s="369">
        <f t="shared" si="2"/>
        <v>588.61666666666667</v>
      </c>
      <c r="J6" s="359">
        <v>4905.1388888888896</v>
      </c>
      <c r="K6" s="359">
        <f t="shared" si="3"/>
        <v>2174.791666666667</v>
      </c>
      <c r="L6" s="359">
        <v>6263.4</v>
      </c>
      <c r="M6" s="359">
        <v>4436.5749999999998</v>
      </c>
      <c r="N6" s="359">
        <v>3632.7719999999999</v>
      </c>
      <c r="O6" s="359">
        <v>1043.9000000000001</v>
      </c>
      <c r="P6" s="359">
        <v>1186.25</v>
      </c>
      <c r="Q6" s="359">
        <v>1565.85</v>
      </c>
      <c r="R6" s="359">
        <v>2087.8000000000002</v>
      </c>
      <c r="S6" s="359">
        <v>2380.8333333333335</v>
      </c>
      <c r="T6" s="359">
        <v>0</v>
      </c>
      <c r="U6" s="359">
        <f t="shared" si="4"/>
        <v>93754.955333333346</v>
      </c>
      <c r="V6" s="360">
        <f t="shared" si="5"/>
        <v>0.79624399527413248</v>
      </c>
      <c r="W6" s="361">
        <f t="shared" si="6"/>
        <v>0.8</v>
      </c>
      <c r="X6" s="362">
        <f t="shared" si="7"/>
        <v>93951</v>
      </c>
      <c r="Y6" s="373"/>
      <c r="Z6" s="371">
        <v>0</v>
      </c>
      <c r="AA6" s="372">
        <f t="shared" si="8"/>
        <v>0</v>
      </c>
      <c r="AB6" s="366">
        <f t="shared" si="9"/>
        <v>0</v>
      </c>
    </row>
    <row r="7" spans="1:28" ht="12" x14ac:dyDescent="0.15">
      <c r="A7" s="367" t="s">
        <v>240</v>
      </c>
      <c r="B7" s="368" t="s">
        <v>237</v>
      </c>
      <c r="C7" s="358">
        <v>1.1000000000000001</v>
      </c>
      <c r="D7" s="369">
        <v>1565850.0000000002</v>
      </c>
      <c r="E7" s="359">
        <f t="shared" si="0"/>
        <v>52195</v>
      </c>
      <c r="F7" s="369">
        <f t="shared" si="1"/>
        <v>18790200.000000004</v>
      </c>
      <c r="G7" s="359">
        <v>6388.8888888888887</v>
      </c>
      <c r="H7" s="359">
        <v>4905.1388888888896</v>
      </c>
      <c r="I7" s="369">
        <f t="shared" si="2"/>
        <v>588.61666666666667</v>
      </c>
      <c r="J7" s="359">
        <v>4905.1388888888896</v>
      </c>
      <c r="K7" s="359">
        <f t="shared" si="3"/>
        <v>2174.791666666667</v>
      </c>
      <c r="L7" s="359">
        <v>6263.4</v>
      </c>
      <c r="M7" s="359">
        <v>4436.5749999999998</v>
      </c>
      <c r="N7" s="359">
        <v>3632.7719999999999</v>
      </c>
      <c r="O7" s="359">
        <v>1043.9000000000001</v>
      </c>
      <c r="P7" s="359">
        <v>1186.25</v>
      </c>
      <c r="Q7" s="359">
        <v>1565.85</v>
      </c>
      <c r="R7" s="359">
        <v>2087.8000000000002</v>
      </c>
      <c r="S7" s="359">
        <v>2380.8333333333335</v>
      </c>
      <c r="T7" s="359">
        <v>1776.4222222222222</v>
      </c>
      <c r="U7" s="359">
        <f t="shared" si="4"/>
        <v>95531.377555555562</v>
      </c>
      <c r="V7" s="360">
        <f t="shared" si="5"/>
        <v>0.83027833232216808</v>
      </c>
      <c r="W7" s="361">
        <f t="shared" si="6"/>
        <v>0.84</v>
      </c>
      <c r="X7" s="362">
        <f t="shared" si="7"/>
        <v>96039</v>
      </c>
      <c r="Y7" s="370">
        <v>0</v>
      </c>
      <c r="Z7" s="371">
        <v>0</v>
      </c>
      <c r="AA7" s="372">
        <f t="shared" si="8"/>
        <v>0</v>
      </c>
      <c r="AB7" s="366">
        <f t="shared" si="9"/>
        <v>0</v>
      </c>
    </row>
    <row r="8" spans="1:28" ht="12.75" customHeight="1" x14ac:dyDescent="0.15">
      <c r="A8" s="367" t="s">
        <v>23</v>
      </c>
      <c r="B8" s="368">
        <v>0</v>
      </c>
      <c r="C8" s="358">
        <v>1.4</v>
      </c>
      <c r="D8" s="369">
        <v>1992899.9999999998</v>
      </c>
      <c r="E8" s="359">
        <f t="shared" si="0"/>
        <v>66430</v>
      </c>
      <c r="F8" s="369">
        <f t="shared" si="1"/>
        <v>23914799.999999996</v>
      </c>
      <c r="G8" s="359">
        <v>6388.8888888888887</v>
      </c>
      <c r="H8" s="359">
        <v>6091.3888888888887</v>
      </c>
      <c r="I8" s="369">
        <f t="shared" si="2"/>
        <v>730.96666666666658</v>
      </c>
      <c r="J8" s="359">
        <v>6091.3888888888887</v>
      </c>
      <c r="K8" s="359">
        <f t="shared" si="3"/>
        <v>2767.9166666666665</v>
      </c>
      <c r="L8" s="359">
        <v>7971.6</v>
      </c>
      <c r="M8" s="359">
        <v>5646.5500000000011</v>
      </c>
      <c r="N8" s="359">
        <v>4623.5279999999993</v>
      </c>
      <c r="O8" s="359">
        <v>1328.6</v>
      </c>
      <c r="P8" s="359">
        <v>1186.25</v>
      </c>
      <c r="Q8" s="359">
        <v>1992.9</v>
      </c>
      <c r="R8" s="359">
        <v>2657.2</v>
      </c>
      <c r="S8" s="359">
        <v>2380.8333333333335</v>
      </c>
      <c r="T8" s="359">
        <v>0</v>
      </c>
      <c r="U8" s="359">
        <f t="shared" si="4"/>
        <v>116288.01133333333</v>
      </c>
      <c r="V8" s="360">
        <f t="shared" si="5"/>
        <v>0.75053456771538962</v>
      </c>
      <c r="W8" s="361">
        <f t="shared" si="6"/>
        <v>0.76</v>
      </c>
      <c r="X8" s="362">
        <f t="shared" si="7"/>
        <v>116917</v>
      </c>
      <c r="Y8" s="370">
        <v>0</v>
      </c>
      <c r="Z8" s="371">
        <v>0</v>
      </c>
      <c r="AA8" s="372">
        <f t="shared" si="8"/>
        <v>0</v>
      </c>
      <c r="AB8" s="366">
        <f t="shared" si="9"/>
        <v>0</v>
      </c>
    </row>
    <row r="9" spans="1:28" ht="21" customHeight="1" x14ac:dyDescent="0.15">
      <c r="A9" s="367" t="s">
        <v>241</v>
      </c>
      <c r="B9" s="368">
        <v>0</v>
      </c>
      <c r="C9" s="358">
        <v>1.4</v>
      </c>
      <c r="D9" s="369">
        <v>1992899.9999999998</v>
      </c>
      <c r="E9" s="359">
        <f t="shared" si="0"/>
        <v>66430</v>
      </c>
      <c r="F9" s="369">
        <f t="shared" si="1"/>
        <v>23914799.999999996</v>
      </c>
      <c r="G9" s="359">
        <v>6388.8888888888887</v>
      </c>
      <c r="H9" s="359">
        <v>6091.3888888888887</v>
      </c>
      <c r="I9" s="369">
        <f t="shared" si="2"/>
        <v>730.96666666666658</v>
      </c>
      <c r="J9" s="359">
        <v>6091.3888888888887</v>
      </c>
      <c r="K9" s="359">
        <f t="shared" si="3"/>
        <v>2767.9166666666665</v>
      </c>
      <c r="L9" s="359">
        <v>7971.6</v>
      </c>
      <c r="M9" s="359">
        <v>5646.5500000000011</v>
      </c>
      <c r="N9" s="359">
        <v>4623.5279999999993</v>
      </c>
      <c r="O9" s="359">
        <v>1328.6</v>
      </c>
      <c r="P9" s="359">
        <v>1186.25</v>
      </c>
      <c r="Q9" s="359">
        <v>1992.9</v>
      </c>
      <c r="R9" s="359">
        <v>2657.2</v>
      </c>
      <c r="S9" s="359">
        <v>2380.8333333333335</v>
      </c>
      <c r="T9" s="359">
        <v>0</v>
      </c>
      <c r="U9" s="359">
        <f t="shared" si="4"/>
        <v>116288.01133333333</v>
      </c>
      <c r="V9" s="360">
        <f t="shared" si="5"/>
        <v>0.75053456771538962</v>
      </c>
      <c r="W9" s="361">
        <f t="shared" si="6"/>
        <v>0.76</v>
      </c>
      <c r="X9" s="362">
        <f t="shared" si="7"/>
        <v>116917</v>
      </c>
      <c r="Y9" s="370"/>
      <c r="Z9" s="371">
        <v>0</v>
      </c>
      <c r="AA9" s="372">
        <f t="shared" si="8"/>
        <v>0</v>
      </c>
      <c r="AB9" s="366">
        <f t="shared" si="9"/>
        <v>0</v>
      </c>
    </row>
    <row r="10" spans="1:28" ht="12" x14ac:dyDescent="0.15">
      <c r="A10" s="367" t="s">
        <v>242</v>
      </c>
      <c r="B10" s="368" t="s">
        <v>237</v>
      </c>
      <c r="C10" s="358">
        <v>1.6</v>
      </c>
      <c r="D10" s="369">
        <v>2277600</v>
      </c>
      <c r="E10" s="359">
        <f t="shared" si="0"/>
        <v>75920</v>
      </c>
      <c r="F10" s="369">
        <f t="shared" si="1"/>
        <v>27331200</v>
      </c>
      <c r="G10" s="359">
        <v>6388.8888888888887</v>
      </c>
      <c r="H10" s="359">
        <v>6882.2222222222226</v>
      </c>
      <c r="I10" s="369">
        <f t="shared" si="2"/>
        <v>825.86666666666667</v>
      </c>
      <c r="J10" s="359">
        <v>6882.2222222222226</v>
      </c>
      <c r="K10" s="359">
        <f t="shared" si="3"/>
        <v>3163.3333333333335</v>
      </c>
      <c r="L10" s="359">
        <v>9110.4</v>
      </c>
      <c r="M10" s="359">
        <v>6453.2</v>
      </c>
      <c r="N10" s="359">
        <v>5284.0319999999992</v>
      </c>
      <c r="O10" s="359">
        <v>1518.4</v>
      </c>
      <c r="P10" s="359">
        <v>1186.25</v>
      </c>
      <c r="Q10" s="359">
        <v>2277.6</v>
      </c>
      <c r="R10" s="359">
        <v>3036.8</v>
      </c>
      <c r="S10" s="359">
        <v>2380.8333333333335</v>
      </c>
      <c r="T10" s="359">
        <v>1776.4222222222222</v>
      </c>
      <c r="U10" s="359">
        <f t="shared" si="4"/>
        <v>133086.4708888889</v>
      </c>
      <c r="V10" s="360">
        <f t="shared" si="5"/>
        <v>0.75298302013815732</v>
      </c>
      <c r="W10" s="361">
        <f t="shared" si="6"/>
        <v>0.76</v>
      </c>
      <c r="X10" s="362">
        <f t="shared" si="7"/>
        <v>133619</v>
      </c>
      <c r="Y10" s="370"/>
      <c r="Z10" s="371">
        <v>0</v>
      </c>
      <c r="AA10" s="372">
        <f t="shared" si="8"/>
        <v>0</v>
      </c>
      <c r="AB10" s="366">
        <f t="shared" si="9"/>
        <v>0</v>
      </c>
    </row>
    <row r="11" spans="1:28" ht="12" x14ac:dyDescent="0.15">
      <c r="A11" s="367" t="s">
        <v>243</v>
      </c>
      <c r="B11" s="368" t="s">
        <v>237</v>
      </c>
      <c r="C11" s="358">
        <v>1.6</v>
      </c>
      <c r="D11" s="369">
        <v>2277600</v>
      </c>
      <c r="E11" s="359">
        <f t="shared" si="0"/>
        <v>75920</v>
      </c>
      <c r="F11" s="369">
        <f t="shared" si="1"/>
        <v>27331200</v>
      </c>
      <c r="G11" s="359">
        <v>6388.8888888888887</v>
      </c>
      <c r="H11" s="359">
        <v>6882.2222222222226</v>
      </c>
      <c r="I11" s="369">
        <f t="shared" si="2"/>
        <v>825.86666666666667</v>
      </c>
      <c r="J11" s="359">
        <v>6882.2222222222226</v>
      </c>
      <c r="K11" s="359">
        <f t="shared" si="3"/>
        <v>3163.3333333333335</v>
      </c>
      <c r="L11" s="359">
        <v>9110.4</v>
      </c>
      <c r="M11" s="359">
        <v>6453.2</v>
      </c>
      <c r="N11" s="359">
        <v>5284.0319999999992</v>
      </c>
      <c r="O11" s="359">
        <v>1518.4</v>
      </c>
      <c r="P11" s="359">
        <v>1186.25</v>
      </c>
      <c r="Q11" s="359">
        <v>2277.6</v>
      </c>
      <c r="R11" s="359">
        <v>3036.8</v>
      </c>
      <c r="S11" s="359">
        <v>2380.8333333333335</v>
      </c>
      <c r="T11" s="359">
        <v>1776.4222222222222</v>
      </c>
      <c r="U11" s="359">
        <f t="shared" si="4"/>
        <v>133086.4708888889</v>
      </c>
      <c r="V11" s="360">
        <f t="shared" si="5"/>
        <v>0.75298302013815732</v>
      </c>
      <c r="W11" s="361">
        <f t="shared" si="6"/>
        <v>0.76</v>
      </c>
      <c r="X11" s="362">
        <f t="shared" si="7"/>
        <v>133619</v>
      </c>
      <c r="Y11" s="370"/>
      <c r="Z11" s="371">
        <v>0</v>
      </c>
      <c r="AA11" s="372">
        <f t="shared" si="8"/>
        <v>0</v>
      </c>
      <c r="AB11" s="366">
        <f t="shared" si="9"/>
        <v>0</v>
      </c>
    </row>
    <row r="12" spans="1:28" ht="12" x14ac:dyDescent="0.15">
      <c r="A12" s="367" t="s">
        <v>244</v>
      </c>
      <c r="B12" s="368" t="s">
        <v>237</v>
      </c>
      <c r="C12" s="358">
        <v>1.6160000000000001</v>
      </c>
      <c r="D12" s="369">
        <v>2300376</v>
      </c>
      <c r="E12" s="359">
        <f t="shared" si="0"/>
        <v>76679</v>
      </c>
      <c r="F12" s="369">
        <f t="shared" si="1"/>
        <v>27604512</v>
      </c>
      <c r="G12" s="359">
        <v>6388.8888888888887</v>
      </c>
      <c r="H12" s="359">
        <v>6945.4888888888891</v>
      </c>
      <c r="I12" s="369">
        <f t="shared" si="2"/>
        <v>833.45866666666666</v>
      </c>
      <c r="J12" s="359">
        <v>6945.4888888888891</v>
      </c>
      <c r="K12" s="359">
        <f t="shared" si="3"/>
        <v>3194.9666666666667</v>
      </c>
      <c r="L12" s="359">
        <v>9201.503999999999</v>
      </c>
      <c r="M12" s="359">
        <v>6517.732</v>
      </c>
      <c r="N12" s="359">
        <v>5336.8723199999995</v>
      </c>
      <c r="O12" s="359">
        <v>1533.5840000000001</v>
      </c>
      <c r="P12" s="359">
        <v>1186.25</v>
      </c>
      <c r="Q12" s="359">
        <v>2300.3759999999997</v>
      </c>
      <c r="R12" s="359">
        <v>3067.1680000000001</v>
      </c>
      <c r="S12" s="359">
        <v>2380.8333333333335</v>
      </c>
      <c r="T12" s="359">
        <v>1776.4222222222222</v>
      </c>
      <c r="U12" s="359">
        <f t="shared" si="4"/>
        <v>134288.03387555556</v>
      </c>
      <c r="V12" s="360">
        <f t="shared" si="5"/>
        <v>0.75130131946889711</v>
      </c>
      <c r="W12" s="361">
        <f t="shared" si="6"/>
        <v>0.76</v>
      </c>
      <c r="X12" s="362">
        <f t="shared" si="7"/>
        <v>134955</v>
      </c>
      <c r="Y12" s="370">
        <v>0</v>
      </c>
      <c r="Z12" s="371">
        <v>0</v>
      </c>
      <c r="AA12" s="372">
        <f t="shared" si="8"/>
        <v>0</v>
      </c>
      <c r="AB12" s="366">
        <f t="shared" si="9"/>
        <v>0</v>
      </c>
    </row>
    <row r="13" spans="1:28" ht="10.5" customHeight="1" x14ac:dyDescent="0.15">
      <c r="A13" s="367" t="s">
        <v>245</v>
      </c>
      <c r="B13" s="368" t="s">
        <v>237</v>
      </c>
      <c r="C13" s="358">
        <v>1.6160000000000001</v>
      </c>
      <c r="D13" s="369">
        <v>2300376</v>
      </c>
      <c r="E13" s="359">
        <f t="shared" si="0"/>
        <v>76679</v>
      </c>
      <c r="F13" s="369">
        <f t="shared" si="1"/>
        <v>27604512</v>
      </c>
      <c r="G13" s="359">
        <v>6388.8888888888887</v>
      </c>
      <c r="H13" s="359">
        <v>6945.4888888888891</v>
      </c>
      <c r="I13" s="369">
        <f t="shared" si="2"/>
        <v>833.45866666666666</v>
      </c>
      <c r="J13" s="359">
        <v>6945.4888888888891</v>
      </c>
      <c r="K13" s="359">
        <f t="shared" si="3"/>
        <v>3194.9666666666667</v>
      </c>
      <c r="L13" s="359">
        <v>9201.503999999999</v>
      </c>
      <c r="M13" s="359">
        <v>6517.732</v>
      </c>
      <c r="N13" s="359">
        <v>5336.8723199999995</v>
      </c>
      <c r="O13" s="359">
        <v>1533.5840000000001</v>
      </c>
      <c r="P13" s="359">
        <v>1186.25</v>
      </c>
      <c r="Q13" s="359">
        <v>2300.3759999999997</v>
      </c>
      <c r="R13" s="359">
        <v>3067.1680000000001</v>
      </c>
      <c r="S13" s="359">
        <v>2380.8333333333335</v>
      </c>
      <c r="T13" s="359">
        <v>1776.4222222222222</v>
      </c>
      <c r="U13" s="359">
        <f t="shared" si="4"/>
        <v>134288.03387555556</v>
      </c>
      <c r="V13" s="360">
        <f t="shared" si="5"/>
        <v>0.75130131946889711</v>
      </c>
      <c r="W13" s="361">
        <f t="shared" si="6"/>
        <v>0.76</v>
      </c>
      <c r="X13" s="362">
        <f t="shared" si="7"/>
        <v>134955</v>
      </c>
      <c r="Y13" s="370">
        <v>0</v>
      </c>
      <c r="Z13" s="371">
        <v>0</v>
      </c>
      <c r="AA13" s="372">
        <f t="shared" si="8"/>
        <v>0</v>
      </c>
      <c r="AB13" s="366">
        <f t="shared" si="9"/>
        <v>0</v>
      </c>
    </row>
    <row r="14" spans="1:28" ht="12" x14ac:dyDescent="0.15">
      <c r="A14" s="367" t="s">
        <v>246</v>
      </c>
      <c r="B14" s="368">
        <v>0</v>
      </c>
      <c r="C14" s="358">
        <v>1.6160000000000001</v>
      </c>
      <c r="D14" s="369">
        <v>2300376</v>
      </c>
      <c r="E14" s="359">
        <f t="shared" si="0"/>
        <v>76679</v>
      </c>
      <c r="F14" s="369">
        <f t="shared" si="1"/>
        <v>27604512</v>
      </c>
      <c r="G14" s="359">
        <v>6388.8888888888887</v>
      </c>
      <c r="H14" s="359">
        <v>6945.4888888888891</v>
      </c>
      <c r="I14" s="369">
        <f t="shared" si="2"/>
        <v>833.45866666666666</v>
      </c>
      <c r="J14" s="359">
        <v>6945.4888888888891</v>
      </c>
      <c r="K14" s="359">
        <f t="shared" si="3"/>
        <v>3194.9666666666667</v>
      </c>
      <c r="L14" s="359">
        <v>9201.503999999999</v>
      </c>
      <c r="M14" s="359">
        <v>6517.732</v>
      </c>
      <c r="N14" s="359">
        <v>5336.8723199999995</v>
      </c>
      <c r="O14" s="359">
        <v>1533.5840000000001</v>
      </c>
      <c r="P14" s="359">
        <v>1186.25</v>
      </c>
      <c r="Q14" s="359">
        <v>2300.3759999999997</v>
      </c>
      <c r="R14" s="359">
        <v>3067.1680000000001</v>
      </c>
      <c r="S14" s="359">
        <v>2380.8333333333335</v>
      </c>
      <c r="T14" s="359">
        <v>0</v>
      </c>
      <c r="U14" s="359">
        <f t="shared" si="4"/>
        <v>132511.61165333336</v>
      </c>
      <c r="V14" s="360">
        <f t="shared" si="5"/>
        <v>0.72813432169607517</v>
      </c>
      <c r="W14" s="361">
        <f t="shared" si="6"/>
        <v>0.73</v>
      </c>
      <c r="X14" s="362">
        <f t="shared" si="7"/>
        <v>132655</v>
      </c>
      <c r="Y14" s="370">
        <v>0</v>
      </c>
      <c r="Z14" s="371">
        <v>0</v>
      </c>
      <c r="AA14" s="372">
        <f t="shared" si="8"/>
        <v>0</v>
      </c>
      <c r="AB14" s="366">
        <f t="shared" si="9"/>
        <v>0</v>
      </c>
    </row>
    <row r="15" spans="1:28" ht="12" x14ac:dyDescent="0.15">
      <c r="A15" s="367" t="s">
        <v>247</v>
      </c>
      <c r="B15" s="368">
        <v>0</v>
      </c>
      <c r="C15" s="358">
        <v>1.6160000000000001</v>
      </c>
      <c r="D15" s="369">
        <v>2300376</v>
      </c>
      <c r="E15" s="359">
        <f t="shared" si="0"/>
        <v>76679</v>
      </c>
      <c r="F15" s="369">
        <f t="shared" si="1"/>
        <v>27604512</v>
      </c>
      <c r="G15" s="359">
        <v>6388.8888888888887</v>
      </c>
      <c r="H15" s="359">
        <v>6945.4888888888891</v>
      </c>
      <c r="I15" s="369">
        <f t="shared" si="2"/>
        <v>833.45866666666666</v>
      </c>
      <c r="J15" s="359">
        <v>6945.4888888888891</v>
      </c>
      <c r="K15" s="359">
        <f t="shared" si="3"/>
        <v>3194.9666666666667</v>
      </c>
      <c r="L15" s="359">
        <v>9201.503999999999</v>
      </c>
      <c r="M15" s="359">
        <v>6517.732</v>
      </c>
      <c r="N15" s="359">
        <v>5336.8723199999995</v>
      </c>
      <c r="O15" s="359">
        <v>1533.5840000000001</v>
      </c>
      <c r="P15" s="359">
        <v>1186.25</v>
      </c>
      <c r="Q15" s="359">
        <v>2300.3759999999997</v>
      </c>
      <c r="R15" s="359">
        <v>3067.1680000000001</v>
      </c>
      <c r="S15" s="359">
        <v>2380.8333333333335</v>
      </c>
      <c r="T15" s="359">
        <v>0</v>
      </c>
      <c r="U15" s="359">
        <f t="shared" si="4"/>
        <v>132511.61165333336</v>
      </c>
      <c r="V15" s="360">
        <f t="shared" si="5"/>
        <v>0.72813432169607517</v>
      </c>
      <c r="W15" s="361">
        <f t="shared" si="6"/>
        <v>0.73</v>
      </c>
      <c r="X15" s="362">
        <f t="shared" si="7"/>
        <v>132655</v>
      </c>
      <c r="Y15" s="370">
        <v>0</v>
      </c>
      <c r="Z15" s="371">
        <v>0</v>
      </c>
      <c r="AA15" s="372">
        <f t="shared" si="8"/>
        <v>0</v>
      </c>
      <c r="AB15" s="366">
        <f t="shared" si="9"/>
        <v>0</v>
      </c>
    </row>
    <row r="16" spans="1:28" ht="12" x14ac:dyDescent="0.15">
      <c r="A16" s="367" t="s">
        <v>249</v>
      </c>
      <c r="B16" s="368" t="s">
        <v>237</v>
      </c>
      <c r="C16" s="358">
        <v>1.6160000000000001</v>
      </c>
      <c r="D16" s="369">
        <v>2300376</v>
      </c>
      <c r="E16" s="359">
        <f t="shared" si="0"/>
        <v>76679</v>
      </c>
      <c r="F16" s="369">
        <f t="shared" si="1"/>
        <v>27604512</v>
      </c>
      <c r="G16" s="359">
        <v>6388.8888888888887</v>
      </c>
      <c r="H16" s="359">
        <v>6945.4888888888891</v>
      </c>
      <c r="I16" s="369">
        <f t="shared" si="2"/>
        <v>833.45866666666666</v>
      </c>
      <c r="J16" s="359">
        <v>6945.4888888888891</v>
      </c>
      <c r="K16" s="359">
        <f t="shared" si="3"/>
        <v>3194.9666666666667</v>
      </c>
      <c r="L16" s="359">
        <v>9201.503999999999</v>
      </c>
      <c r="M16" s="359">
        <v>6517.732</v>
      </c>
      <c r="N16" s="359">
        <v>5336.8723199999995</v>
      </c>
      <c r="O16" s="359">
        <v>1533.5840000000001</v>
      </c>
      <c r="P16" s="359">
        <v>1186.25</v>
      </c>
      <c r="Q16" s="359">
        <v>2300.3759999999997</v>
      </c>
      <c r="R16" s="359">
        <v>3067.1680000000001</v>
      </c>
      <c r="S16" s="359">
        <v>2380.8333333333335</v>
      </c>
      <c r="T16" s="359">
        <v>1776.4222222222222</v>
      </c>
      <c r="U16" s="359">
        <f t="shared" si="4"/>
        <v>134288.03387555556</v>
      </c>
      <c r="V16" s="360">
        <f t="shared" si="5"/>
        <v>0.75130131946889711</v>
      </c>
      <c r="W16" s="361">
        <f t="shared" si="6"/>
        <v>0.76</v>
      </c>
      <c r="X16" s="362">
        <f t="shared" si="7"/>
        <v>134955</v>
      </c>
      <c r="Y16" s="370">
        <v>0</v>
      </c>
      <c r="Z16" s="371">
        <v>0</v>
      </c>
      <c r="AA16" s="372">
        <f t="shared" si="8"/>
        <v>0</v>
      </c>
      <c r="AB16" s="366">
        <f t="shared" si="9"/>
        <v>0</v>
      </c>
    </row>
    <row r="17" spans="1:28" ht="12" x14ac:dyDescent="0.15">
      <c r="A17" s="374" t="s">
        <v>248</v>
      </c>
      <c r="B17" s="375">
        <v>0</v>
      </c>
      <c r="C17" s="376">
        <v>1.6160000000000001</v>
      </c>
      <c r="D17" s="377">
        <v>2300376</v>
      </c>
      <c r="E17" s="378">
        <f t="shared" si="0"/>
        <v>76679</v>
      </c>
      <c r="F17" s="377">
        <f t="shared" si="1"/>
        <v>27604512</v>
      </c>
      <c r="G17" s="378">
        <v>6388.8888888888887</v>
      </c>
      <c r="H17" s="378">
        <v>6945.4888888888891</v>
      </c>
      <c r="I17" s="377">
        <f t="shared" si="2"/>
        <v>833.45866666666666</v>
      </c>
      <c r="J17" s="378">
        <v>6945.4888888888891</v>
      </c>
      <c r="K17" s="378">
        <f t="shared" si="3"/>
        <v>3194.9666666666667</v>
      </c>
      <c r="L17" s="378">
        <v>9201.503999999999</v>
      </c>
      <c r="M17" s="378">
        <v>6517.732</v>
      </c>
      <c r="N17" s="378">
        <v>5336.8723199999995</v>
      </c>
      <c r="O17" s="378">
        <v>1533.5840000000001</v>
      </c>
      <c r="P17" s="378">
        <v>1186.25</v>
      </c>
      <c r="Q17" s="378">
        <v>2300.3759999999997</v>
      </c>
      <c r="R17" s="378">
        <v>3067.1680000000001</v>
      </c>
      <c r="S17" s="378">
        <v>2380.8333333333335</v>
      </c>
      <c r="T17" s="378">
        <v>0</v>
      </c>
      <c r="U17" s="378">
        <f t="shared" si="4"/>
        <v>132511.61165333336</v>
      </c>
      <c r="V17" s="379">
        <f t="shared" si="5"/>
        <v>0.72813432169607517</v>
      </c>
      <c r="W17" s="380">
        <f t="shared" si="6"/>
        <v>0.73</v>
      </c>
      <c r="X17" s="381">
        <f t="shared" si="7"/>
        <v>132655</v>
      </c>
      <c r="Y17" s="382">
        <v>1</v>
      </c>
      <c r="Z17" s="383">
        <v>0.6</v>
      </c>
      <c r="AA17" s="384">
        <f t="shared" si="8"/>
        <v>0.6</v>
      </c>
      <c r="AB17" s="385">
        <f t="shared" si="9"/>
        <v>0.438</v>
      </c>
    </row>
    <row r="18" spans="1:28" ht="12" x14ac:dyDescent="0.15">
      <c r="A18" s="367" t="s">
        <v>249</v>
      </c>
      <c r="B18" s="368">
        <v>0</v>
      </c>
      <c r="C18" s="358">
        <v>1.6160000000000001</v>
      </c>
      <c r="D18" s="369">
        <v>2300376</v>
      </c>
      <c r="E18" s="359">
        <f t="shared" si="0"/>
        <v>76679</v>
      </c>
      <c r="F18" s="369">
        <f t="shared" si="1"/>
        <v>27604512</v>
      </c>
      <c r="G18" s="359">
        <v>6388.8888888888887</v>
      </c>
      <c r="H18" s="359">
        <v>6945.4888888888891</v>
      </c>
      <c r="I18" s="369">
        <f t="shared" si="2"/>
        <v>833.45866666666666</v>
      </c>
      <c r="J18" s="359">
        <v>6945.4888888888891</v>
      </c>
      <c r="K18" s="359">
        <f t="shared" si="3"/>
        <v>3194.9666666666667</v>
      </c>
      <c r="L18" s="359">
        <v>9201.503999999999</v>
      </c>
      <c r="M18" s="359">
        <v>6517.732</v>
      </c>
      <c r="N18" s="359">
        <v>5336.8723199999995</v>
      </c>
      <c r="O18" s="359">
        <v>1533.5840000000001</v>
      </c>
      <c r="P18" s="359">
        <v>1186.25</v>
      </c>
      <c r="Q18" s="359">
        <v>2300.3759999999997</v>
      </c>
      <c r="R18" s="359">
        <v>3067.1680000000001</v>
      </c>
      <c r="S18" s="359">
        <v>2380.8333333333335</v>
      </c>
      <c r="T18" s="359">
        <v>0</v>
      </c>
      <c r="U18" s="359">
        <f t="shared" si="4"/>
        <v>132511.61165333336</v>
      </c>
      <c r="V18" s="360">
        <f t="shared" si="5"/>
        <v>0.72813432169607517</v>
      </c>
      <c r="W18" s="361">
        <f t="shared" si="6"/>
        <v>0.73</v>
      </c>
      <c r="X18" s="362">
        <f t="shared" si="7"/>
        <v>132655</v>
      </c>
      <c r="Y18" s="370">
        <v>0</v>
      </c>
      <c r="Z18" s="371">
        <v>0</v>
      </c>
      <c r="AA18" s="372">
        <f t="shared" si="8"/>
        <v>0</v>
      </c>
      <c r="AB18" s="366">
        <f t="shared" si="9"/>
        <v>0</v>
      </c>
    </row>
    <row r="19" spans="1:28" ht="12" x14ac:dyDescent="0.15">
      <c r="A19" s="367" t="s">
        <v>250</v>
      </c>
      <c r="B19" s="368">
        <v>0</v>
      </c>
      <c r="C19" s="358">
        <v>1.6160000000000001</v>
      </c>
      <c r="D19" s="369">
        <v>2300376</v>
      </c>
      <c r="E19" s="359">
        <f t="shared" si="0"/>
        <v>76679</v>
      </c>
      <c r="F19" s="369">
        <f t="shared" si="1"/>
        <v>27604512</v>
      </c>
      <c r="G19" s="359">
        <v>6388.8888888888887</v>
      </c>
      <c r="H19" s="359">
        <v>6945.4888888888891</v>
      </c>
      <c r="I19" s="369">
        <f t="shared" si="2"/>
        <v>833.45866666666666</v>
      </c>
      <c r="J19" s="359">
        <v>6945.4888888888891</v>
      </c>
      <c r="K19" s="359">
        <f t="shared" si="3"/>
        <v>3194.9666666666667</v>
      </c>
      <c r="L19" s="359">
        <v>9201.503999999999</v>
      </c>
      <c r="M19" s="359">
        <v>6517.732</v>
      </c>
      <c r="N19" s="359">
        <v>5336.8723199999995</v>
      </c>
      <c r="O19" s="359">
        <v>1533.5840000000001</v>
      </c>
      <c r="P19" s="359">
        <v>1186.25</v>
      </c>
      <c r="Q19" s="359">
        <v>2300.3759999999997</v>
      </c>
      <c r="R19" s="359">
        <v>3067.1680000000001</v>
      </c>
      <c r="S19" s="359">
        <v>2380.8333333333335</v>
      </c>
      <c r="T19" s="359">
        <v>0</v>
      </c>
      <c r="U19" s="359">
        <f t="shared" si="4"/>
        <v>132511.61165333336</v>
      </c>
      <c r="V19" s="360">
        <f t="shared" si="5"/>
        <v>0.72813432169607517</v>
      </c>
      <c r="W19" s="361">
        <f t="shared" si="6"/>
        <v>0.73</v>
      </c>
      <c r="X19" s="362">
        <f t="shared" si="7"/>
        <v>132655</v>
      </c>
      <c r="Y19" s="370"/>
      <c r="Z19" s="371">
        <v>0</v>
      </c>
      <c r="AA19" s="372">
        <f t="shared" si="8"/>
        <v>0</v>
      </c>
      <c r="AB19" s="366">
        <f t="shared" si="9"/>
        <v>0</v>
      </c>
    </row>
    <row r="20" spans="1:28" ht="12" x14ac:dyDescent="0.15">
      <c r="A20" s="367" t="s">
        <v>251</v>
      </c>
      <c r="B20" s="368" t="s">
        <v>237</v>
      </c>
      <c r="C20" s="358">
        <v>1.6160000000000001</v>
      </c>
      <c r="D20" s="369">
        <v>2300376</v>
      </c>
      <c r="E20" s="359">
        <f t="shared" si="0"/>
        <v>76679</v>
      </c>
      <c r="F20" s="369">
        <f t="shared" si="1"/>
        <v>27604512</v>
      </c>
      <c r="G20" s="359">
        <v>6388.8888888888887</v>
      </c>
      <c r="H20" s="359">
        <v>6945.4888888888891</v>
      </c>
      <c r="I20" s="369">
        <f t="shared" si="2"/>
        <v>833.45866666666666</v>
      </c>
      <c r="J20" s="359">
        <v>6945.4888888888891</v>
      </c>
      <c r="K20" s="359">
        <f t="shared" si="3"/>
        <v>3194.9666666666667</v>
      </c>
      <c r="L20" s="359">
        <v>9201.503999999999</v>
      </c>
      <c r="M20" s="359">
        <v>6517.732</v>
      </c>
      <c r="N20" s="359">
        <v>5336.8723199999995</v>
      </c>
      <c r="O20" s="359">
        <v>1533.5840000000001</v>
      </c>
      <c r="P20" s="359">
        <v>1186.25</v>
      </c>
      <c r="Q20" s="359">
        <v>2300.3759999999997</v>
      </c>
      <c r="R20" s="359">
        <v>3067.1680000000001</v>
      </c>
      <c r="S20" s="359">
        <v>2380.8333333333335</v>
      </c>
      <c r="T20" s="359">
        <v>1776.4222222222222</v>
      </c>
      <c r="U20" s="359">
        <f t="shared" si="4"/>
        <v>134288.03387555556</v>
      </c>
      <c r="V20" s="360">
        <f t="shared" si="5"/>
        <v>0.75130131946889711</v>
      </c>
      <c r="W20" s="361">
        <f t="shared" si="6"/>
        <v>0.76</v>
      </c>
      <c r="X20" s="362">
        <f t="shared" si="7"/>
        <v>134955</v>
      </c>
      <c r="Y20" s="370"/>
      <c r="Z20" s="371">
        <v>0</v>
      </c>
      <c r="AA20" s="372">
        <f t="shared" si="8"/>
        <v>0</v>
      </c>
      <c r="AB20" s="366">
        <f t="shared" si="9"/>
        <v>0</v>
      </c>
    </row>
    <row r="21" spans="1:28" ht="12" x14ac:dyDescent="0.15">
      <c r="A21" s="367" t="s">
        <v>252</v>
      </c>
      <c r="B21" s="368" t="s">
        <v>237</v>
      </c>
      <c r="C21" s="358">
        <v>1.6160000000000001</v>
      </c>
      <c r="D21" s="369">
        <v>2300376</v>
      </c>
      <c r="E21" s="359">
        <f t="shared" si="0"/>
        <v>76679</v>
      </c>
      <c r="F21" s="369">
        <f t="shared" si="1"/>
        <v>27604512</v>
      </c>
      <c r="G21" s="359">
        <v>6388.8888888888887</v>
      </c>
      <c r="H21" s="359">
        <v>6945.4888888888891</v>
      </c>
      <c r="I21" s="369">
        <f t="shared" si="2"/>
        <v>833.45866666666666</v>
      </c>
      <c r="J21" s="359">
        <v>6945.4888888888891</v>
      </c>
      <c r="K21" s="359">
        <f t="shared" si="3"/>
        <v>3194.9666666666667</v>
      </c>
      <c r="L21" s="359">
        <v>9201.503999999999</v>
      </c>
      <c r="M21" s="359">
        <v>6517.732</v>
      </c>
      <c r="N21" s="359">
        <v>5336.8723199999995</v>
      </c>
      <c r="O21" s="359">
        <v>1533.5840000000001</v>
      </c>
      <c r="P21" s="359">
        <v>1186.25</v>
      </c>
      <c r="Q21" s="359">
        <v>2300.3759999999997</v>
      </c>
      <c r="R21" s="359">
        <v>3067.1680000000001</v>
      </c>
      <c r="S21" s="359">
        <v>2380.8333333333335</v>
      </c>
      <c r="T21" s="359">
        <v>1776.4222222222222</v>
      </c>
      <c r="U21" s="359">
        <f t="shared" si="4"/>
        <v>134288.03387555556</v>
      </c>
      <c r="V21" s="360">
        <f t="shared" si="5"/>
        <v>0.75130131946889711</v>
      </c>
      <c r="W21" s="361">
        <f t="shared" si="6"/>
        <v>0.76</v>
      </c>
      <c r="X21" s="362">
        <f t="shared" si="7"/>
        <v>134955</v>
      </c>
      <c r="Y21" s="370"/>
      <c r="Z21" s="371">
        <v>0</v>
      </c>
      <c r="AA21" s="372">
        <f t="shared" si="8"/>
        <v>0</v>
      </c>
      <c r="AB21" s="366">
        <f t="shared" si="9"/>
        <v>0</v>
      </c>
    </row>
    <row r="22" spans="1:28" ht="12" x14ac:dyDescent="0.15">
      <c r="A22" s="367" t="s">
        <v>253</v>
      </c>
      <c r="B22" s="368" t="s">
        <v>237</v>
      </c>
      <c r="C22" s="358">
        <v>1.6160000000000001</v>
      </c>
      <c r="D22" s="369">
        <v>2300376</v>
      </c>
      <c r="E22" s="359">
        <f t="shared" si="0"/>
        <v>76679</v>
      </c>
      <c r="F22" s="369">
        <f t="shared" si="1"/>
        <v>27604512</v>
      </c>
      <c r="G22" s="359">
        <v>6388.8888888888887</v>
      </c>
      <c r="H22" s="359">
        <v>6945.4888888888891</v>
      </c>
      <c r="I22" s="369">
        <f t="shared" si="2"/>
        <v>833.45866666666666</v>
      </c>
      <c r="J22" s="359">
        <v>6945.4888888888891</v>
      </c>
      <c r="K22" s="359">
        <f t="shared" si="3"/>
        <v>3194.9666666666667</v>
      </c>
      <c r="L22" s="359">
        <v>9201.503999999999</v>
      </c>
      <c r="M22" s="359">
        <v>6517.732</v>
      </c>
      <c r="N22" s="359">
        <v>5336.8723199999995</v>
      </c>
      <c r="O22" s="359">
        <v>1533.5840000000001</v>
      </c>
      <c r="P22" s="359">
        <v>1186.25</v>
      </c>
      <c r="Q22" s="359">
        <v>2300.3759999999997</v>
      </c>
      <c r="R22" s="359">
        <v>3067.1680000000001</v>
      </c>
      <c r="S22" s="359">
        <v>2380.8333333333335</v>
      </c>
      <c r="T22" s="359">
        <v>1776.4222222222222</v>
      </c>
      <c r="U22" s="359">
        <f t="shared" si="4"/>
        <v>134288.03387555556</v>
      </c>
      <c r="V22" s="360">
        <f t="shared" si="5"/>
        <v>0.75130131946889711</v>
      </c>
      <c r="W22" s="361">
        <f t="shared" si="6"/>
        <v>0.76</v>
      </c>
      <c r="X22" s="362">
        <f t="shared" si="7"/>
        <v>134955</v>
      </c>
      <c r="Y22" s="370">
        <v>0</v>
      </c>
      <c r="Z22" s="371">
        <v>0</v>
      </c>
      <c r="AA22" s="372">
        <f t="shared" si="8"/>
        <v>0</v>
      </c>
      <c r="AB22" s="366">
        <f t="shared" si="9"/>
        <v>0</v>
      </c>
    </row>
    <row r="23" spans="1:28" ht="12" x14ac:dyDescent="0.15">
      <c r="A23" s="367" t="s">
        <v>254</v>
      </c>
      <c r="B23" s="368" t="s">
        <v>237</v>
      </c>
      <c r="C23" s="358">
        <v>1.6160000000000001</v>
      </c>
      <c r="D23" s="369">
        <v>2300376</v>
      </c>
      <c r="E23" s="359">
        <f t="shared" si="0"/>
        <v>76679</v>
      </c>
      <c r="F23" s="369">
        <f t="shared" si="1"/>
        <v>27604512</v>
      </c>
      <c r="G23" s="359">
        <v>6388.8888888888887</v>
      </c>
      <c r="H23" s="359">
        <v>6945.4888888888891</v>
      </c>
      <c r="I23" s="369">
        <f t="shared" si="2"/>
        <v>833.45866666666666</v>
      </c>
      <c r="J23" s="359">
        <v>6945.4888888888891</v>
      </c>
      <c r="K23" s="359">
        <f t="shared" si="3"/>
        <v>3194.9666666666667</v>
      </c>
      <c r="L23" s="359">
        <v>9201.503999999999</v>
      </c>
      <c r="M23" s="359">
        <v>6517.732</v>
      </c>
      <c r="N23" s="359">
        <v>5336.8723199999995</v>
      </c>
      <c r="O23" s="359">
        <v>1533.5840000000001</v>
      </c>
      <c r="P23" s="359">
        <v>1186.25</v>
      </c>
      <c r="Q23" s="359">
        <v>2300.3759999999997</v>
      </c>
      <c r="R23" s="359">
        <v>3067.1680000000001</v>
      </c>
      <c r="S23" s="359">
        <v>2380.8333333333335</v>
      </c>
      <c r="T23" s="359">
        <v>1776.4222222222222</v>
      </c>
      <c r="U23" s="359">
        <f t="shared" si="4"/>
        <v>134288.03387555556</v>
      </c>
      <c r="V23" s="360">
        <f t="shared" si="5"/>
        <v>0.75130131946889711</v>
      </c>
      <c r="W23" s="361">
        <f t="shared" si="6"/>
        <v>0.76</v>
      </c>
      <c r="X23" s="362">
        <f t="shared" si="7"/>
        <v>134955</v>
      </c>
      <c r="Y23" s="370">
        <v>0</v>
      </c>
      <c r="Z23" s="371">
        <v>0</v>
      </c>
      <c r="AA23" s="372">
        <f t="shared" si="8"/>
        <v>0</v>
      </c>
      <c r="AB23" s="366">
        <f t="shared" si="9"/>
        <v>0</v>
      </c>
    </row>
    <row r="24" spans="1:28" ht="12" x14ac:dyDescent="0.15">
      <c r="A24" s="367" t="s">
        <v>255</v>
      </c>
      <c r="B24" s="368" t="s">
        <v>237</v>
      </c>
      <c r="C24" s="358">
        <v>1.6160000000000001</v>
      </c>
      <c r="D24" s="369">
        <v>2300376</v>
      </c>
      <c r="E24" s="359">
        <f t="shared" si="0"/>
        <v>76679</v>
      </c>
      <c r="F24" s="369">
        <f t="shared" si="1"/>
        <v>27604512</v>
      </c>
      <c r="G24" s="359">
        <v>6388.8888888888887</v>
      </c>
      <c r="H24" s="359">
        <v>6945.4888888888891</v>
      </c>
      <c r="I24" s="369">
        <f t="shared" si="2"/>
        <v>833.45866666666666</v>
      </c>
      <c r="J24" s="359">
        <v>6945.4888888888891</v>
      </c>
      <c r="K24" s="359">
        <f t="shared" si="3"/>
        <v>3194.9666666666667</v>
      </c>
      <c r="L24" s="359">
        <v>9201.503999999999</v>
      </c>
      <c r="M24" s="359">
        <v>6517.732</v>
      </c>
      <c r="N24" s="359">
        <v>5336.8723199999995</v>
      </c>
      <c r="O24" s="359">
        <v>1533.5840000000001</v>
      </c>
      <c r="P24" s="359">
        <v>1186.25</v>
      </c>
      <c r="Q24" s="359">
        <v>2300.3759999999997</v>
      </c>
      <c r="R24" s="359">
        <v>3067.1680000000001</v>
      </c>
      <c r="S24" s="359">
        <v>2380.8333333333335</v>
      </c>
      <c r="T24" s="359">
        <v>1776.4222222222222</v>
      </c>
      <c r="U24" s="359">
        <f t="shared" si="4"/>
        <v>134288.03387555556</v>
      </c>
      <c r="V24" s="360">
        <f t="shared" si="5"/>
        <v>0.75130131946889711</v>
      </c>
      <c r="W24" s="361">
        <f t="shared" si="6"/>
        <v>0.76</v>
      </c>
      <c r="X24" s="362">
        <f t="shared" si="7"/>
        <v>134955</v>
      </c>
      <c r="Y24" s="370">
        <v>0</v>
      </c>
      <c r="Z24" s="371">
        <v>0</v>
      </c>
      <c r="AA24" s="372">
        <f t="shared" si="8"/>
        <v>0</v>
      </c>
      <c r="AB24" s="366">
        <f t="shared" si="9"/>
        <v>0</v>
      </c>
    </row>
    <row r="25" spans="1:28" ht="12" x14ac:dyDescent="0.15">
      <c r="A25" s="367" t="s">
        <v>256</v>
      </c>
      <c r="B25" s="368" t="s">
        <v>237</v>
      </c>
      <c r="C25" s="358">
        <v>1.6160000000000001</v>
      </c>
      <c r="D25" s="369">
        <v>2300376</v>
      </c>
      <c r="E25" s="359">
        <f t="shared" si="0"/>
        <v>76679</v>
      </c>
      <c r="F25" s="369">
        <f t="shared" si="1"/>
        <v>27604512</v>
      </c>
      <c r="G25" s="359">
        <v>6388.8888888888887</v>
      </c>
      <c r="H25" s="359">
        <v>6945.4888888888891</v>
      </c>
      <c r="I25" s="369">
        <f t="shared" si="2"/>
        <v>833.45866666666666</v>
      </c>
      <c r="J25" s="359">
        <v>6945.4888888888891</v>
      </c>
      <c r="K25" s="359">
        <f t="shared" si="3"/>
        <v>3194.9666666666667</v>
      </c>
      <c r="L25" s="359">
        <v>9201.503999999999</v>
      </c>
      <c r="M25" s="359">
        <v>6517.732</v>
      </c>
      <c r="N25" s="359">
        <v>5336.8723199999995</v>
      </c>
      <c r="O25" s="359">
        <v>1533.5840000000001</v>
      </c>
      <c r="P25" s="359">
        <v>1186.25</v>
      </c>
      <c r="Q25" s="359">
        <v>2300.3759999999997</v>
      </c>
      <c r="R25" s="359">
        <v>3067.1680000000001</v>
      </c>
      <c r="S25" s="359">
        <v>2380.8333333333335</v>
      </c>
      <c r="T25" s="359">
        <v>1776.4222222222222</v>
      </c>
      <c r="U25" s="359">
        <f t="shared" si="4"/>
        <v>134288.03387555556</v>
      </c>
      <c r="V25" s="360">
        <f t="shared" si="5"/>
        <v>0.75130131946889711</v>
      </c>
      <c r="W25" s="361">
        <f t="shared" si="6"/>
        <v>0.76</v>
      </c>
      <c r="X25" s="362">
        <f t="shared" si="7"/>
        <v>134955</v>
      </c>
      <c r="Y25" s="370">
        <v>0</v>
      </c>
      <c r="Z25" s="371">
        <v>0</v>
      </c>
      <c r="AA25" s="372">
        <f t="shared" si="8"/>
        <v>0</v>
      </c>
      <c r="AB25" s="366">
        <f t="shared" si="9"/>
        <v>0</v>
      </c>
    </row>
    <row r="26" spans="1:28" ht="12" x14ac:dyDescent="0.15">
      <c r="A26" s="367" t="s">
        <v>257</v>
      </c>
      <c r="B26" s="368" t="s">
        <v>237</v>
      </c>
      <c r="C26" s="358">
        <v>1.6160000000000001</v>
      </c>
      <c r="D26" s="369">
        <v>2300376</v>
      </c>
      <c r="E26" s="359">
        <f t="shared" si="0"/>
        <v>76679</v>
      </c>
      <c r="F26" s="369">
        <f t="shared" si="1"/>
        <v>27604512</v>
      </c>
      <c r="G26" s="359">
        <v>6388.8888888888887</v>
      </c>
      <c r="H26" s="359">
        <v>6945.4888888888891</v>
      </c>
      <c r="I26" s="369">
        <f t="shared" si="2"/>
        <v>833.45866666666666</v>
      </c>
      <c r="J26" s="359">
        <v>6945.4888888888891</v>
      </c>
      <c r="K26" s="359">
        <f t="shared" si="3"/>
        <v>3194.9666666666667</v>
      </c>
      <c r="L26" s="359">
        <v>9201.503999999999</v>
      </c>
      <c r="M26" s="359">
        <v>6517.732</v>
      </c>
      <c r="N26" s="359">
        <v>5336.8723199999995</v>
      </c>
      <c r="O26" s="359">
        <v>1533.5840000000001</v>
      </c>
      <c r="P26" s="359">
        <v>1186.25</v>
      </c>
      <c r="Q26" s="359">
        <v>2300.3759999999997</v>
      </c>
      <c r="R26" s="359">
        <v>3067.1680000000001</v>
      </c>
      <c r="S26" s="359">
        <v>2380.8333333333335</v>
      </c>
      <c r="T26" s="359">
        <v>1776.4222222222222</v>
      </c>
      <c r="U26" s="359">
        <f t="shared" si="4"/>
        <v>134288.03387555556</v>
      </c>
      <c r="V26" s="360">
        <f t="shared" si="5"/>
        <v>0.75130131946889711</v>
      </c>
      <c r="W26" s="361">
        <f t="shared" si="6"/>
        <v>0.76</v>
      </c>
      <c r="X26" s="362">
        <f t="shared" si="7"/>
        <v>134955</v>
      </c>
      <c r="Y26" s="370"/>
      <c r="Z26" s="371">
        <v>0</v>
      </c>
      <c r="AA26" s="372">
        <f t="shared" si="8"/>
        <v>0</v>
      </c>
      <c r="AB26" s="366">
        <f t="shared" si="9"/>
        <v>0</v>
      </c>
    </row>
    <row r="27" spans="1:28" ht="12" x14ac:dyDescent="0.15">
      <c r="A27" s="367" t="s">
        <v>258</v>
      </c>
      <c r="B27" s="368" t="s">
        <v>237</v>
      </c>
      <c r="C27" s="358">
        <v>1.6160000000000001</v>
      </c>
      <c r="D27" s="369">
        <v>2300376</v>
      </c>
      <c r="E27" s="359">
        <f t="shared" si="0"/>
        <v>76679</v>
      </c>
      <c r="F27" s="369">
        <f t="shared" si="1"/>
        <v>27604512</v>
      </c>
      <c r="G27" s="359">
        <v>6388.8888888888887</v>
      </c>
      <c r="H27" s="359">
        <v>6945.4888888888891</v>
      </c>
      <c r="I27" s="369">
        <f t="shared" si="2"/>
        <v>833.45866666666666</v>
      </c>
      <c r="J27" s="359">
        <v>6945.4888888888891</v>
      </c>
      <c r="K27" s="359">
        <f t="shared" si="3"/>
        <v>3194.9666666666667</v>
      </c>
      <c r="L27" s="359">
        <v>9201.503999999999</v>
      </c>
      <c r="M27" s="359">
        <v>6517.732</v>
      </c>
      <c r="N27" s="359">
        <v>5336.8723199999995</v>
      </c>
      <c r="O27" s="359">
        <v>1533.5840000000001</v>
      </c>
      <c r="P27" s="359">
        <v>1186.25</v>
      </c>
      <c r="Q27" s="359">
        <v>2300.3759999999997</v>
      </c>
      <c r="R27" s="359">
        <v>3067.1680000000001</v>
      </c>
      <c r="S27" s="359">
        <v>2380.8333333333335</v>
      </c>
      <c r="T27" s="359">
        <v>1776.4222222222222</v>
      </c>
      <c r="U27" s="359">
        <f t="shared" si="4"/>
        <v>134288.03387555556</v>
      </c>
      <c r="V27" s="360">
        <f t="shared" si="5"/>
        <v>0.75130131946889711</v>
      </c>
      <c r="W27" s="361">
        <f t="shared" si="6"/>
        <v>0.76</v>
      </c>
      <c r="X27" s="362">
        <f t="shared" si="7"/>
        <v>134955</v>
      </c>
      <c r="Y27" s="370"/>
      <c r="Z27" s="371">
        <v>0</v>
      </c>
      <c r="AA27" s="372">
        <f t="shared" si="8"/>
        <v>0</v>
      </c>
      <c r="AB27" s="366">
        <f t="shared" si="9"/>
        <v>0</v>
      </c>
    </row>
    <row r="28" spans="1:28" ht="12" x14ac:dyDescent="0.15">
      <c r="A28" s="374" t="s">
        <v>259</v>
      </c>
      <c r="B28" s="375" t="s">
        <v>237</v>
      </c>
      <c r="C28" s="376">
        <v>1.6160000000000001</v>
      </c>
      <c r="D28" s="377">
        <v>2300376</v>
      </c>
      <c r="E28" s="378">
        <f t="shared" si="0"/>
        <v>76679</v>
      </c>
      <c r="F28" s="377">
        <f t="shared" si="1"/>
        <v>27604512</v>
      </c>
      <c r="G28" s="378">
        <v>6388.8888888888887</v>
      </c>
      <c r="H28" s="378">
        <v>6945.4888888888891</v>
      </c>
      <c r="I28" s="377">
        <f t="shared" si="2"/>
        <v>833.45866666666666</v>
      </c>
      <c r="J28" s="378">
        <v>6945.4888888888891</v>
      </c>
      <c r="K28" s="378">
        <f t="shared" si="3"/>
        <v>3194.9666666666667</v>
      </c>
      <c r="L28" s="378">
        <v>9201.503999999999</v>
      </c>
      <c r="M28" s="378">
        <v>6517.732</v>
      </c>
      <c r="N28" s="378">
        <v>5336.8723199999995</v>
      </c>
      <c r="O28" s="378">
        <v>1533.5840000000001</v>
      </c>
      <c r="P28" s="378">
        <v>1186.25</v>
      </c>
      <c r="Q28" s="378">
        <v>2300.3759999999997</v>
      </c>
      <c r="R28" s="378">
        <v>3067.1680000000001</v>
      </c>
      <c r="S28" s="378">
        <v>2380.8333333333335</v>
      </c>
      <c r="T28" s="378">
        <v>1776.4222222222222</v>
      </c>
      <c r="U28" s="378">
        <f t="shared" si="4"/>
        <v>134288.03387555556</v>
      </c>
      <c r="V28" s="379">
        <f t="shared" si="5"/>
        <v>0.75130131946889711</v>
      </c>
      <c r="W28" s="380">
        <f t="shared" si="6"/>
        <v>0.76</v>
      </c>
      <c r="X28" s="381">
        <f t="shared" si="7"/>
        <v>134955</v>
      </c>
      <c r="Y28" s="382">
        <v>9</v>
      </c>
      <c r="Z28" s="383">
        <v>0.55000000000000004</v>
      </c>
      <c r="AA28" s="384">
        <f t="shared" si="8"/>
        <v>4.95</v>
      </c>
      <c r="AB28" s="385">
        <f t="shared" si="9"/>
        <v>3.762</v>
      </c>
    </row>
    <row r="29" spans="1:28" ht="12" x14ac:dyDescent="0.15">
      <c r="A29" s="367" t="s">
        <v>260</v>
      </c>
      <c r="B29" s="368" t="s">
        <v>237</v>
      </c>
      <c r="C29" s="358">
        <v>1.6160000000000001</v>
      </c>
      <c r="D29" s="369">
        <v>2300376</v>
      </c>
      <c r="E29" s="359">
        <f t="shared" si="0"/>
        <v>76679</v>
      </c>
      <c r="F29" s="369">
        <f t="shared" si="1"/>
        <v>27604512</v>
      </c>
      <c r="G29" s="359">
        <v>6388.8888888888887</v>
      </c>
      <c r="H29" s="359">
        <v>6945.4888888888891</v>
      </c>
      <c r="I29" s="369">
        <f t="shared" si="2"/>
        <v>833.45866666666666</v>
      </c>
      <c r="J29" s="359">
        <v>6945.4888888888891</v>
      </c>
      <c r="K29" s="359">
        <f t="shared" si="3"/>
        <v>3194.9666666666667</v>
      </c>
      <c r="L29" s="359">
        <v>9201.503999999999</v>
      </c>
      <c r="M29" s="359">
        <v>6517.732</v>
      </c>
      <c r="N29" s="359">
        <v>5336.8723199999995</v>
      </c>
      <c r="O29" s="359">
        <v>1533.5840000000001</v>
      </c>
      <c r="P29" s="359">
        <v>1186.25</v>
      </c>
      <c r="Q29" s="359">
        <v>2300.3759999999997</v>
      </c>
      <c r="R29" s="359">
        <v>3067.1680000000001</v>
      </c>
      <c r="S29" s="359">
        <v>2380.8333333333335</v>
      </c>
      <c r="T29" s="359">
        <v>1776.4222222222222</v>
      </c>
      <c r="U29" s="359">
        <f t="shared" si="4"/>
        <v>134288.03387555556</v>
      </c>
      <c r="V29" s="360">
        <f t="shared" si="5"/>
        <v>0.75130131946889711</v>
      </c>
      <c r="W29" s="361">
        <f t="shared" si="6"/>
        <v>0.76</v>
      </c>
      <c r="X29" s="362">
        <f t="shared" si="7"/>
        <v>134955</v>
      </c>
      <c r="Y29" s="370"/>
      <c r="Z29" s="371">
        <v>0</v>
      </c>
      <c r="AA29" s="372">
        <f t="shared" si="8"/>
        <v>0</v>
      </c>
      <c r="AB29" s="366">
        <f t="shared" si="9"/>
        <v>0</v>
      </c>
    </row>
    <row r="30" spans="1:28" ht="12" x14ac:dyDescent="0.15">
      <c r="A30" s="367" t="s">
        <v>261</v>
      </c>
      <c r="B30" s="368">
        <v>0</v>
      </c>
      <c r="C30" s="358">
        <v>1.67</v>
      </c>
      <c r="D30" s="369">
        <v>2377245</v>
      </c>
      <c r="E30" s="359">
        <f t="shared" si="0"/>
        <v>79242</v>
      </c>
      <c r="F30" s="369">
        <f t="shared" si="1"/>
        <v>28526940</v>
      </c>
      <c r="G30" s="359">
        <v>6388.8888888888887</v>
      </c>
      <c r="H30" s="359">
        <v>7159.0138888888887</v>
      </c>
      <c r="I30" s="369">
        <f t="shared" si="2"/>
        <v>859.08166666666659</v>
      </c>
      <c r="J30" s="359">
        <v>7159.0138888888887</v>
      </c>
      <c r="K30" s="359">
        <f t="shared" si="3"/>
        <v>3301.7291666666665</v>
      </c>
      <c r="L30" s="359">
        <v>9508.98</v>
      </c>
      <c r="M30" s="359">
        <v>6735.5275000000011</v>
      </c>
      <c r="N30" s="359">
        <v>5515.2083999999995</v>
      </c>
      <c r="O30" s="359">
        <v>1584.8300000000002</v>
      </c>
      <c r="P30" s="359">
        <v>1186.25</v>
      </c>
      <c r="Q30" s="359">
        <v>2377.2449999999999</v>
      </c>
      <c r="R30" s="359">
        <v>3169.6600000000003</v>
      </c>
      <c r="S30" s="359">
        <v>2380.8333333333335</v>
      </c>
      <c r="T30" s="359">
        <v>0</v>
      </c>
      <c r="U30" s="359">
        <f t="shared" si="4"/>
        <v>136568.26173333335</v>
      </c>
      <c r="V30" s="360">
        <f t="shared" si="5"/>
        <v>0.72343279742224254</v>
      </c>
      <c r="W30" s="361">
        <f t="shared" si="6"/>
        <v>0.73</v>
      </c>
      <c r="X30" s="362">
        <f t="shared" si="7"/>
        <v>137089</v>
      </c>
      <c r="Y30" s="370">
        <v>0</v>
      </c>
      <c r="Z30" s="371">
        <v>0</v>
      </c>
      <c r="AA30" s="372">
        <f t="shared" si="8"/>
        <v>0</v>
      </c>
      <c r="AB30" s="366">
        <f t="shared" si="9"/>
        <v>0</v>
      </c>
    </row>
    <row r="31" spans="1:28" ht="12" x14ac:dyDescent="0.15">
      <c r="A31" s="367" t="s">
        <v>262</v>
      </c>
      <c r="B31" s="368" t="s">
        <v>237</v>
      </c>
      <c r="C31" s="358">
        <v>1.90615</v>
      </c>
      <c r="D31" s="369">
        <v>2713404.5249999999</v>
      </c>
      <c r="E31" s="359">
        <f t="shared" si="0"/>
        <v>90447</v>
      </c>
      <c r="F31" s="369">
        <f t="shared" si="1"/>
        <v>32560854.299999997</v>
      </c>
      <c r="G31" s="359">
        <v>6388.8888888888887</v>
      </c>
      <c r="H31" s="359">
        <v>8092.7903472222224</v>
      </c>
      <c r="I31" s="369">
        <f t="shared" si="2"/>
        <v>971.1348416666666</v>
      </c>
      <c r="J31" s="359">
        <v>8092.7903472222224</v>
      </c>
      <c r="K31" s="359">
        <f t="shared" si="3"/>
        <v>3768.6173958333334</v>
      </c>
      <c r="L31" s="359">
        <v>10853.6181</v>
      </c>
      <c r="M31" s="359">
        <v>7687.9794875000007</v>
      </c>
      <c r="N31" s="359">
        <v>6295.0984980000003</v>
      </c>
      <c r="O31" s="359">
        <v>1808.9363499999999</v>
      </c>
      <c r="P31" s="359">
        <v>1186.25</v>
      </c>
      <c r="Q31" s="359">
        <v>2713.4045249999999</v>
      </c>
      <c r="R31" s="359">
        <v>3617.8726999999999</v>
      </c>
      <c r="S31" s="359">
        <v>2380.8333333333335</v>
      </c>
      <c r="T31" s="359">
        <v>1776.4222222222222</v>
      </c>
      <c r="U31" s="359">
        <f t="shared" si="4"/>
        <v>156081.63703688889</v>
      </c>
      <c r="V31" s="360">
        <f t="shared" si="5"/>
        <v>0.7256695859109632</v>
      </c>
      <c r="W31" s="361">
        <f t="shared" si="6"/>
        <v>0.73</v>
      </c>
      <c r="X31" s="362">
        <f t="shared" si="7"/>
        <v>156473</v>
      </c>
      <c r="Y31" s="370">
        <v>0</v>
      </c>
      <c r="Z31" s="371">
        <v>0</v>
      </c>
      <c r="AA31" s="372">
        <f t="shared" si="8"/>
        <v>0</v>
      </c>
      <c r="AB31" s="366">
        <f t="shared" si="9"/>
        <v>0</v>
      </c>
    </row>
    <row r="32" spans="1:28" ht="12" x14ac:dyDescent="0.15">
      <c r="A32" s="367" t="s">
        <v>263</v>
      </c>
      <c r="B32" s="368" t="s">
        <v>237</v>
      </c>
      <c r="C32" s="358">
        <v>1.9</v>
      </c>
      <c r="D32" s="369">
        <v>2704650</v>
      </c>
      <c r="E32" s="359">
        <f t="shared" si="0"/>
        <v>90155</v>
      </c>
      <c r="F32" s="369">
        <f t="shared" si="1"/>
        <v>32455800</v>
      </c>
      <c r="G32" s="359">
        <v>6388.8888888888887</v>
      </c>
      <c r="H32" s="359">
        <v>8068.4722222222226</v>
      </c>
      <c r="I32" s="369">
        <f t="shared" si="2"/>
        <v>968.2166666666667</v>
      </c>
      <c r="J32" s="359">
        <v>8068.4722222222226</v>
      </c>
      <c r="K32" s="359">
        <f t="shared" si="3"/>
        <v>3756.4583333333335</v>
      </c>
      <c r="L32" s="359">
        <v>10818.6</v>
      </c>
      <c r="M32" s="359">
        <v>7663.1750000000002</v>
      </c>
      <c r="N32" s="359">
        <v>6274.7879999999996</v>
      </c>
      <c r="O32" s="359">
        <v>1803.1</v>
      </c>
      <c r="P32" s="359">
        <v>1186.25</v>
      </c>
      <c r="Q32" s="359">
        <v>2704.65</v>
      </c>
      <c r="R32" s="359">
        <v>3606.2</v>
      </c>
      <c r="S32" s="359">
        <v>2380.8333333333335</v>
      </c>
      <c r="T32" s="359">
        <v>1776.4222222222222</v>
      </c>
      <c r="U32" s="359">
        <f t="shared" si="4"/>
        <v>155619.52688888891</v>
      </c>
      <c r="V32" s="360">
        <f t="shared" si="5"/>
        <v>0.72613306959002721</v>
      </c>
      <c r="W32" s="361">
        <f t="shared" si="6"/>
        <v>0.73</v>
      </c>
      <c r="X32" s="362">
        <f t="shared" si="7"/>
        <v>155968</v>
      </c>
      <c r="Y32" s="370">
        <v>0</v>
      </c>
      <c r="Z32" s="371">
        <v>0</v>
      </c>
      <c r="AA32" s="372">
        <f t="shared" si="8"/>
        <v>0</v>
      </c>
      <c r="AB32" s="366">
        <f t="shared" si="9"/>
        <v>0</v>
      </c>
    </row>
    <row r="33" spans="1:30" ht="12" x14ac:dyDescent="0.15">
      <c r="A33" s="367" t="s">
        <v>264</v>
      </c>
      <c r="B33" s="368" t="s">
        <v>237</v>
      </c>
      <c r="C33" s="358">
        <v>1.9</v>
      </c>
      <c r="D33" s="369">
        <v>2704650</v>
      </c>
      <c r="E33" s="359">
        <f t="shared" si="0"/>
        <v>90155</v>
      </c>
      <c r="F33" s="369">
        <f t="shared" si="1"/>
        <v>32455800</v>
      </c>
      <c r="G33" s="359">
        <v>6388.8888888888887</v>
      </c>
      <c r="H33" s="359">
        <v>8068.4722222222226</v>
      </c>
      <c r="I33" s="369">
        <f t="shared" si="2"/>
        <v>968.2166666666667</v>
      </c>
      <c r="J33" s="359">
        <v>8068.4722222222226</v>
      </c>
      <c r="K33" s="359">
        <f t="shared" si="3"/>
        <v>3756.4583333333335</v>
      </c>
      <c r="L33" s="359">
        <v>10818.6</v>
      </c>
      <c r="M33" s="359">
        <v>7663.1750000000002</v>
      </c>
      <c r="N33" s="359">
        <v>6274.7879999999996</v>
      </c>
      <c r="O33" s="359">
        <v>1803.1</v>
      </c>
      <c r="P33" s="359">
        <v>1186.25</v>
      </c>
      <c r="Q33" s="359">
        <v>2704.65</v>
      </c>
      <c r="R33" s="359">
        <v>3606.2</v>
      </c>
      <c r="S33" s="359">
        <v>2380.8333333333335</v>
      </c>
      <c r="T33" s="359">
        <v>1776.4222222222222</v>
      </c>
      <c r="U33" s="359">
        <f t="shared" si="4"/>
        <v>155619.52688888891</v>
      </c>
      <c r="V33" s="360">
        <f t="shared" si="5"/>
        <v>0.72613306959002721</v>
      </c>
      <c r="W33" s="361">
        <f t="shared" si="6"/>
        <v>0.73</v>
      </c>
      <c r="X33" s="362">
        <f t="shared" si="7"/>
        <v>155968</v>
      </c>
      <c r="Y33" s="370"/>
      <c r="Z33" s="371">
        <v>0</v>
      </c>
      <c r="AA33" s="372">
        <f t="shared" si="8"/>
        <v>0</v>
      </c>
      <c r="AB33" s="366">
        <f t="shared" si="9"/>
        <v>0</v>
      </c>
    </row>
    <row r="34" spans="1:30" ht="12" x14ac:dyDescent="0.15">
      <c r="A34" s="367" t="s">
        <v>265</v>
      </c>
      <c r="B34" s="368">
        <v>0</v>
      </c>
      <c r="C34" s="358">
        <v>2</v>
      </c>
      <c r="D34" s="369">
        <v>2847000</v>
      </c>
      <c r="E34" s="359">
        <f t="shared" si="0"/>
        <v>94900</v>
      </c>
      <c r="F34" s="369">
        <f t="shared" si="1"/>
        <v>34164000</v>
      </c>
      <c r="G34" s="359">
        <v>6388.8888888888887</v>
      </c>
      <c r="H34" s="359">
        <v>8463.8888888888887</v>
      </c>
      <c r="I34" s="369">
        <f t="shared" si="2"/>
        <v>1015.6666666666666</v>
      </c>
      <c r="J34" s="359">
        <v>7908.333333333333</v>
      </c>
      <c r="K34" s="359">
        <f t="shared" si="3"/>
        <v>3954.1666666666665</v>
      </c>
      <c r="L34" s="359">
        <v>11388</v>
      </c>
      <c r="M34" s="359">
        <v>8066.5</v>
      </c>
      <c r="N34" s="359">
        <v>6605.04</v>
      </c>
      <c r="O34" s="359">
        <v>1898</v>
      </c>
      <c r="P34" s="359">
        <v>1186.25</v>
      </c>
      <c r="Q34" s="359">
        <v>2847</v>
      </c>
      <c r="R34" s="359">
        <v>3796</v>
      </c>
      <c r="S34" s="359">
        <v>0</v>
      </c>
      <c r="T34" s="359">
        <v>0</v>
      </c>
      <c r="U34" s="359">
        <f t="shared" si="4"/>
        <v>158417.73444444445</v>
      </c>
      <c r="V34" s="360">
        <f t="shared" si="5"/>
        <v>0.66931227022596884</v>
      </c>
      <c r="W34" s="361">
        <f t="shared" si="6"/>
        <v>0.67</v>
      </c>
      <c r="X34" s="362">
        <f t="shared" si="7"/>
        <v>158483</v>
      </c>
      <c r="Y34" s="370">
        <v>0</v>
      </c>
      <c r="Z34" s="371">
        <v>0</v>
      </c>
      <c r="AA34" s="372">
        <f t="shared" si="8"/>
        <v>0</v>
      </c>
      <c r="AB34" s="366">
        <f t="shared" si="9"/>
        <v>0</v>
      </c>
    </row>
    <row r="35" spans="1:30" ht="12" x14ac:dyDescent="0.15">
      <c r="A35" s="367" t="s">
        <v>266</v>
      </c>
      <c r="B35" s="368" t="s">
        <v>237</v>
      </c>
      <c r="C35" s="358">
        <v>2.2000000000000002</v>
      </c>
      <c r="D35" s="369">
        <v>3131700.0000000005</v>
      </c>
      <c r="E35" s="359">
        <f t="shared" si="0"/>
        <v>104390</v>
      </c>
      <c r="F35" s="369">
        <f t="shared" si="1"/>
        <v>37580400.000000007</v>
      </c>
      <c r="G35" s="359">
        <v>0</v>
      </c>
      <c r="H35" s="359">
        <v>8699.1666666666679</v>
      </c>
      <c r="I35" s="369">
        <f t="shared" si="2"/>
        <v>1043.9000000000001</v>
      </c>
      <c r="J35" s="359">
        <v>8699.1666666666679</v>
      </c>
      <c r="K35" s="359">
        <f t="shared" si="3"/>
        <v>4349.5833333333339</v>
      </c>
      <c r="L35" s="359">
        <v>12526.8</v>
      </c>
      <c r="M35" s="359">
        <v>8873.15</v>
      </c>
      <c r="N35" s="359">
        <v>7265.5439999999999</v>
      </c>
      <c r="O35" s="359">
        <v>2087.8000000000002</v>
      </c>
      <c r="P35" s="359">
        <v>1186.25</v>
      </c>
      <c r="Q35" s="359">
        <v>3131.7</v>
      </c>
      <c r="R35" s="359">
        <v>4175.6000000000004</v>
      </c>
      <c r="S35" s="359">
        <v>0</v>
      </c>
      <c r="T35" s="359">
        <v>1776.4222222222222</v>
      </c>
      <c r="U35" s="359">
        <f t="shared" si="4"/>
        <v>168205.08288888889</v>
      </c>
      <c r="V35" s="360">
        <f t="shared" si="5"/>
        <v>0.61131413822098768</v>
      </c>
      <c r="W35" s="361">
        <f t="shared" si="6"/>
        <v>0.62</v>
      </c>
      <c r="X35" s="362">
        <f t="shared" si="7"/>
        <v>169112</v>
      </c>
      <c r="Y35" s="370">
        <v>0</v>
      </c>
      <c r="Z35" s="371">
        <v>0</v>
      </c>
      <c r="AA35" s="372">
        <f t="shared" si="8"/>
        <v>0</v>
      </c>
      <c r="AB35" s="366">
        <f t="shared" si="9"/>
        <v>0</v>
      </c>
    </row>
    <row r="36" spans="1:30" ht="12" x14ac:dyDescent="0.15">
      <c r="A36" s="367" t="s">
        <v>267</v>
      </c>
      <c r="B36" s="368" t="s">
        <v>237</v>
      </c>
      <c r="C36" s="358">
        <v>2.2999999999999998</v>
      </c>
      <c r="D36" s="369">
        <v>3274049.9999999995</v>
      </c>
      <c r="E36" s="359">
        <f t="shared" si="0"/>
        <v>109135</v>
      </c>
      <c r="F36" s="369">
        <f t="shared" si="1"/>
        <v>39288599.999999993</v>
      </c>
      <c r="G36" s="359">
        <v>0</v>
      </c>
      <c r="H36" s="359">
        <v>9094.5833333333321</v>
      </c>
      <c r="I36" s="369">
        <f t="shared" si="2"/>
        <v>1091.3499999999999</v>
      </c>
      <c r="J36" s="359">
        <v>9094.5833333333321</v>
      </c>
      <c r="K36" s="359">
        <f t="shared" si="3"/>
        <v>4547.2916666666661</v>
      </c>
      <c r="L36" s="359">
        <v>13096.2</v>
      </c>
      <c r="M36" s="359">
        <v>9276.4750000000022</v>
      </c>
      <c r="N36" s="359">
        <v>7595.7959999999985</v>
      </c>
      <c r="O36" s="359">
        <v>2182.6999999999998</v>
      </c>
      <c r="P36" s="359">
        <v>1186.25</v>
      </c>
      <c r="Q36" s="359">
        <v>3274.05</v>
      </c>
      <c r="R36" s="359">
        <v>4365.3999999999996</v>
      </c>
      <c r="S36" s="359">
        <v>0</v>
      </c>
      <c r="T36" s="359">
        <v>1776.4222222222222</v>
      </c>
      <c r="U36" s="359">
        <f t="shared" si="4"/>
        <v>175716.10155555556</v>
      </c>
      <c r="V36" s="360">
        <f t="shared" si="5"/>
        <v>0.61008019018239401</v>
      </c>
      <c r="W36" s="361">
        <f t="shared" si="6"/>
        <v>0.62</v>
      </c>
      <c r="X36" s="362">
        <f t="shared" si="7"/>
        <v>176799</v>
      </c>
      <c r="Y36" s="370">
        <v>0</v>
      </c>
      <c r="Z36" s="371">
        <v>0</v>
      </c>
      <c r="AA36" s="372">
        <f t="shared" si="8"/>
        <v>0</v>
      </c>
      <c r="AB36" s="366">
        <f t="shared" si="9"/>
        <v>0</v>
      </c>
    </row>
    <row r="37" spans="1:30" s="386" customFormat="1" ht="12" x14ac:dyDescent="0.15">
      <c r="A37" s="367" t="s">
        <v>268</v>
      </c>
      <c r="B37" s="368" t="s">
        <v>237</v>
      </c>
      <c r="C37" s="358">
        <v>2.2999999999999998</v>
      </c>
      <c r="D37" s="369">
        <v>3274049.9999999995</v>
      </c>
      <c r="E37" s="359">
        <f t="shared" si="0"/>
        <v>109135</v>
      </c>
      <c r="F37" s="369">
        <f t="shared" si="1"/>
        <v>39288599.999999993</v>
      </c>
      <c r="G37" s="359">
        <v>0</v>
      </c>
      <c r="H37" s="359">
        <v>9094.5833333333321</v>
      </c>
      <c r="I37" s="369">
        <f t="shared" si="2"/>
        <v>1091.3499999999999</v>
      </c>
      <c r="J37" s="359">
        <v>9094.5833333333321</v>
      </c>
      <c r="K37" s="359">
        <f t="shared" si="3"/>
        <v>4547.2916666666661</v>
      </c>
      <c r="L37" s="359">
        <v>13096.2</v>
      </c>
      <c r="M37" s="359">
        <v>9276.4750000000022</v>
      </c>
      <c r="N37" s="359">
        <v>7595.7959999999985</v>
      </c>
      <c r="O37" s="359">
        <v>2182.6999999999998</v>
      </c>
      <c r="P37" s="359">
        <v>1186.25</v>
      </c>
      <c r="Q37" s="359">
        <v>3274.05</v>
      </c>
      <c r="R37" s="359">
        <v>4365.3999999999996</v>
      </c>
      <c r="S37" s="359">
        <v>0</v>
      </c>
      <c r="T37" s="359">
        <v>1776.4222222222222</v>
      </c>
      <c r="U37" s="359">
        <f t="shared" si="4"/>
        <v>175716.10155555556</v>
      </c>
      <c r="V37" s="360">
        <f t="shared" si="5"/>
        <v>0.61008019018239401</v>
      </c>
      <c r="W37" s="361">
        <f t="shared" si="6"/>
        <v>0.62</v>
      </c>
      <c r="X37" s="362">
        <f t="shared" si="7"/>
        <v>176799</v>
      </c>
      <c r="Y37" s="370"/>
      <c r="Z37" s="371">
        <v>0</v>
      </c>
      <c r="AA37" s="372">
        <f t="shared" si="8"/>
        <v>0</v>
      </c>
      <c r="AB37" s="366">
        <f t="shared" si="9"/>
        <v>0</v>
      </c>
      <c r="AC37" s="339"/>
      <c r="AD37" s="339"/>
    </row>
    <row r="38" spans="1:30" ht="12" x14ac:dyDescent="0.15">
      <c r="A38" s="367" t="s">
        <v>270</v>
      </c>
      <c r="B38" s="368" t="s">
        <v>237</v>
      </c>
      <c r="C38" s="358">
        <v>2.2999999999999998</v>
      </c>
      <c r="D38" s="369">
        <v>3274049.9999999995</v>
      </c>
      <c r="E38" s="359">
        <f t="shared" si="0"/>
        <v>109135</v>
      </c>
      <c r="F38" s="369">
        <f t="shared" si="1"/>
        <v>39288599.999999993</v>
      </c>
      <c r="G38" s="359">
        <v>0</v>
      </c>
      <c r="H38" s="359">
        <v>9094.5833333333321</v>
      </c>
      <c r="I38" s="369">
        <f t="shared" si="2"/>
        <v>1091.3499999999999</v>
      </c>
      <c r="J38" s="359">
        <v>9094.5833333333321</v>
      </c>
      <c r="K38" s="359">
        <f t="shared" si="3"/>
        <v>4547.2916666666661</v>
      </c>
      <c r="L38" s="359">
        <v>13096.2</v>
      </c>
      <c r="M38" s="359">
        <v>9276.4750000000022</v>
      </c>
      <c r="N38" s="359">
        <v>7595.7959999999985</v>
      </c>
      <c r="O38" s="359">
        <v>2182.6999999999998</v>
      </c>
      <c r="P38" s="359">
        <v>1186.25</v>
      </c>
      <c r="Q38" s="359">
        <v>3274.05</v>
      </c>
      <c r="R38" s="359">
        <v>4365.3999999999996</v>
      </c>
      <c r="S38" s="359">
        <v>0</v>
      </c>
      <c r="T38" s="359">
        <v>1776.4222222222222</v>
      </c>
      <c r="U38" s="359">
        <f t="shared" si="4"/>
        <v>175716.10155555556</v>
      </c>
      <c r="V38" s="360">
        <f t="shared" si="5"/>
        <v>0.61008019018239401</v>
      </c>
      <c r="W38" s="361">
        <f t="shared" si="6"/>
        <v>0.62</v>
      </c>
      <c r="X38" s="362">
        <f t="shared" si="7"/>
        <v>176799</v>
      </c>
      <c r="Y38" s="370">
        <v>0</v>
      </c>
      <c r="Z38" s="371">
        <v>0</v>
      </c>
      <c r="AA38" s="372">
        <f t="shared" si="8"/>
        <v>0</v>
      </c>
      <c r="AB38" s="366">
        <f t="shared" si="9"/>
        <v>0</v>
      </c>
    </row>
    <row r="39" spans="1:30" ht="12" x14ac:dyDescent="0.15">
      <c r="A39" s="367" t="s">
        <v>269</v>
      </c>
      <c r="B39" s="368" t="s">
        <v>237</v>
      </c>
      <c r="C39" s="358">
        <v>2.2999999999999998</v>
      </c>
      <c r="D39" s="369">
        <v>3274049.9999999995</v>
      </c>
      <c r="E39" s="359">
        <f t="shared" si="0"/>
        <v>109135</v>
      </c>
      <c r="F39" s="369">
        <f t="shared" si="1"/>
        <v>39288599.999999993</v>
      </c>
      <c r="G39" s="359">
        <v>0</v>
      </c>
      <c r="H39" s="359">
        <v>9094.5833333333321</v>
      </c>
      <c r="I39" s="369">
        <f t="shared" si="2"/>
        <v>1091.3499999999999</v>
      </c>
      <c r="J39" s="359">
        <v>9094.5833333333321</v>
      </c>
      <c r="K39" s="359">
        <f t="shared" si="3"/>
        <v>4547.2916666666661</v>
      </c>
      <c r="L39" s="359">
        <v>13096.2</v>
      </c>
      <c r="M39" s="359">
        <v>9276.4750000000022</v>
      </c>
      <c r="N39" s="359">
        <v>7595.7959999999985</v>
      </c>
      <c r="O39" s="359">
        <v>2182.6999999999998</v>
      </c>
      <c r="P39" s="359">
        <v>1186.25</v>
      </c>
      <c r="Q39" s="359">
        <v>3274.05</v>
      </c>
      <c r="R39" s="359">
        <v>4365.3999999999996</v>
      </c>
      <c r="S39" s="359">
        <v>0</v>
      </c>
      <c r="T39" s="359">
        <v>1776.4222222222222</v>
      </c>
      <c r="U39" s="359">
        <f t="shared" si="4"/>
        <v>175716.10155555556</v>
      </c>
      <c r="V39" s="360">
        <f t="shared" si="5"/>
        <v>0.61008019018239401</v>
      </c>
      <c r="W39" s="361">
        <f t="shared" si="6"/>
        <v>0.62</v>
      </c>
      <c r="X39" s="362">
        <f t="shared" si="7"/>
        <v>176799</v>
      </c>
      <c r="Y39" s="370"/>
      <c r="Z39" s="371">
        <v>0</v>
      </c>
      <c r="AA39" s="372">
        <f t="shared" si="8"/>
        <v>0</v>
      </c>
      <c r="AB39" s="366">
        <f t="shared" si="9"/>
        <v>0</v>
      </c>
    </row>
    <row r="40" spans="1:30" ht="12" x14ac:dyDescent="0.15">
      <c r="A40" s="367" t="s">
        <v>268</v>
      </c>
      <c r="B40" s="368">
        <v>0</v>
      </c>
      <c r="C40" s="358">
        <v>2.2999999999999998</v>
      </c>
      <c r="D40" s="369">
        <v>3274049.9999999995</v>
      </c>
      <c r="E40" s="359">
        <f t="shared" si="0"/>
        <v>109135</v>
      </c>
      <c r="F40" s="369">
        <f t="shared" si="1"/>
        <v>39288599.999999993</v>
      </c>
      <c r="G40" s="359">
        <v>0</v>
      </c>
      <c r="H40" s="359">
        <v>9094.5833333333321</v>
      </c>
      <c r="I40" s="369">
        <f t="shared" si="2"/>
        <v>1091.3499999999999</v>
      </c>
      <c r="J40" s="359">
        <v>9094.5833333333321</v>
      </c>
      <c r="K40" s="359">
        <f t="shared" si="3"/>
        <v>4547.2916666666661</v>
      </c>
      <c r="L40" s="359">
        <v>13096.2</v>
      </c>
      <c r="M40" s="359">
        <v>9276.4750000000022</v>
      </c>
      <c r="N40" s="359">
        <v>7595.7959999999985</v>
      </c>
      <c r="O40" s="359">
        <v>2182.6999999999998</v>
      </c>
      <c r="P40" s="359">
        <v>1186.25</v>
      </c>
      <c r="Q40" s="359">
        <v>3274.05</v>
      </c>
      <c r="R40" s="359">
        <v>4365.3999999999996</v>
      </c>
      <c r="S40" s="359">
        <v>0</v>
      </c>
      <c r="T40" s="359">
        <v>0</v>
      </c>
      <c r="U40" s="359">
        <f t="shared" si="4"/>
        <v>173939.67933333333</v>
      </c>
      <c r="V40" s="360">
        <f t="shared" si="5"/>
        <v>0.59380289855072466</v>
      </c>
      <c r="W40" s="361">
        <f t="shared" si="6"/>
        <v>0.6</v>
      </c>
      <c r="X40" s="362">
        <f t="shared" si="7"/>
        <v>174616</v>
      </c>
      <c r="Y40" s="370"/>
      <c r="Z40" s="371">
        <v>0</v>
      </c>
      <c r="AA40" s="372">
        <f t="shared" si="8"/>
        <v>0</v>
      </c>
      <c r="AB40" s="366">
        <f t="shared" si="9"/>
        <v>0</v>
      </c>
    </row>
    <row r="41" spans="1:30" ht="12" x14ac:dyDescent="0.15">
      <c r="A41" s="367" t="s">
        <v>270</v>
      </c>
      <c r="B41" s="368" t="s">
        <v>237</v>
      </c>
      <c r="C41" s="358">
        <v>2.2999999999999998</v>
      </c>
      <c r="D41" s="369">
        <v>3274049.9999999995</v>
      </c>
      <c r="E41" s="359">
        <f t="shared" si="0"/>
        <v>109135</v>
      </c>
      <c r="F41" s="369">
        <f t="shared" si="1"/>
        <v>39288599.999999993</v>
      </c>
      <c r="G41" s="359">
        <v>0</v>
      </c>
      <c r="H41" s="359">
        <v>9094.5833333333321</v>
      </c>
      <c r="I41" s="369">
        <f t="shared" si="2"/>
        <v>1091.3499999999999</v>
      </c>
      <c r="J41" s="359">
        <v>9094.5833333333321</v>
      </c>
      <c r="K41" s="359">
        <f t="shared" si="3"/>
        <v>4547.2916666666661</v>
      </c>
      <c r="L41" s="359">
        <v>13096.2</v>
      </c>
      <c r="M41" s="359">
        <v>9276.4750000000022</v>
      </c>
      <c r="N41" s="359">
        <v>7595.7959999999985</v>
      </c>
      <c r="O41" s="359">
        <v>2182.6999999999998</v>
      </c>
      <c r="P41" s="359">
        <v>1186.25</v>
      </c>
      <c r="Q41" s="359">
        <v>3274.05</v>
      </c>
      <c r="R41" s="359">
        <v>4365.3999999999996</v>
      </c>
      <c r="S41" s="359">
        <v>0</v>
      </c>
      <c r="T41" s="359">
        <v>1776.4222222222222</v>
      </c>
      <c r="U41" s="359">
        <f t="shared" si="4"/>
        <v>175716.10155555556</v>
      </c>
      <c r="V41" s="360">
        <f t="shared" si="5"/>
        <v>0.61008019018239401</v>
      </c>
      <c r="W41" s="361">
        <f t="shared" si="6"/>
        <v>0.62</v>
      </c>
      <c r="X41" s="362">
        <f t="shared" si="7"/>
        <v>176799</v>
      </c>
      <c r="Y41" s="370">
        <v>0</v>
      </c>
      <c r="Z41" s="371">
        <v>0</v>
      </c>
      <c r="AA41" s="372">
        <f t="shared" si="8"/>
        <v>0</v>
      </c>
      <c r="AB41" s="366">
        <f t="shared" si="9"/>
        <v>0</v>
      </c>
    </row>
    <row r="42" spans="1:30" ht="12" x14ac:dyDescent="0.15">
      <c r="A42" s="374" t="s">
        <v>271</v>
      </c>
      <c r="B42" s="375">
        <v>0</v>
      </c>
      <c r="C42" s="376">
        <v>3.1619999999999999</v>
      </c>
      <c r="D42" s="377">
        <v>4501107</v>
      </c>
      <c r="E42" s="378">
        <f t="shared" si="0"/>
        <v>150037</v>
      </c>
      <c r="F42" s="377">
        <f t="shared" si="1"/>
        <v>54013284</v>
      </c>
      <c r="G42" s="378">
        <v>0</v>
      </c>
      <c r="H42" s="378">
        <v>12503.075000000001</v>
      </c>
      <c r="I42" s="377">
        <f t="shared" si="2"/>
        <v>1500.3690000000001</v>
      </c>
      <c r="J42" s="378">
        <v>12503.075000000001</v>
      </c>
      <c r="K42" s="378">
        <f t="shared" si="3"/>
        <v>6251.5375000000004</v>
      </c>
      <c r="L42" s="378">
        <v>18004.428</v>
      </c>
      <c r="M42" s="378">
        <v>12753.136500000002</v>
      </c>
      <c r="N42" s="378">
        <v>10442.568240000001</v>
      </c>
      <c r="O42" s="378">
        <v>3000.7379999999998</v>
      </c>
      <c r="P42" s="378">
        <v>1186.25</v>
      </c>
      <c r="Q42" s="378">
        <v>4501.107</v>
      </c>
      <c r="R42" s="378">
        <v>6001.4759999999997</v>
      </c>
      <c r="S42" s="378">
        <v>0</v>
      </c>
      <c r="T42" s="378">
        <v>0</v>
      </c>
      <c r="U42" s="378">
        <f t="shared" si="4"/>
        <v>238684.76024</v>
      </c>
      <c r="V42" s="379">
        <f t="shared" si="5"/>
        <v>0.59083932789911819</v>
      </c>
      <c r="W42" s="380">
        <f t="shared" si="6"/>
        <v>0.6</v>
      </c>
      <c r="X42" s="381">
        <f t="shared" si="7"/>
        <v>240059</v>
      </c>
      <c r="Y42" s="382">
        <v>2</v>
      </c>
      <c r="Z42" s="383">
        <v>0.5</v>
      </c>
      <c r="AA42" s="384">
        <f t="shared" si="8"/>
        <v>1</v>
      </c>
      <c r="AB42" s="385">
        <f t="shared" si="9"/>
        <v>0.6</v>
      </c>
    </row>
    <row r="43" spans="1:30" ht="12" x14ac:dyDescent="0.15">
      <c r="A43" s="367" t="s">
        <v>272</v>
      </c>
      <c r="B43" s="368">
        <v>0</v>
      </c>
      <c r="C43" s="358">
        <v>3.1619999999999999</v>
      </c>
      <c r="D43" s="369">
        <v>4501107</v>
      </c>
      <c r="E43" s="359">
        <f t="shared" si="0"/>
        <v>150037</v>
      </c>
      <c r="F43" s="369">
        <f t="shared" si="1"/>
        <v>54013284</v>
      </c>
      <c r="G43" s="359">
        <v>0</v>
      </c>
      <c r="H43" s="359">
        <v>12503.075000000001</v>
      </c>
      <c r="I43" s="369">
        <f t="shared" si="2"/>
        <v>1500.3690000000001</v>
      </c>
      <c r="J43" s="359">
        <v>12503.075000000001</v>
      </c>
      <c r="K43" s="359">
        <f t="shared" si="3"/>
        <v>6251.5375000000004</v>
      </c>
      <c r="L43" s="359">
        <v>18004.428</v>
      </c>
      <c r="M43" s="359">
        <v>12753.136500000002</v>
      </c>
      <c r="N43" s="359">
        <v>10442.568240000001</v>
      </c>
      <c r="O43" s="359">
        <v>3000.7379999999998</v>
      </c>
      <c r="P43" s="359">
        <v>1186.25</v>
      </c>
      <c r="Q43" s="359">
        <v>4501.107</v>
      </c>
      <c r="R43" s="359">
        <v>6001.4759999999997</v>
      </c>
      <c r="S43" s="359">
        <v>0</v>
      </c>
      <c r="T43" s="359">
        <v>0</v>
      </c>
      <c r="U43" s="359">
        <f t="shared" si="4"/>
        <v>238684.76024</v>
      </c>
      <c r="V43" s="360">
        <f t="shared" si="5"/>
        <v>0.59083932789911819</v>
      </c>
      <c r="W43" s="361">
        <f t="shared" si="6"/>
        <v>0.6</v>
      </c>
      <c r="X43" s="362">
        <f t="shared" si="7"/>
        <v>240059</v>
      </c>
      <c r="Y43" s="370">
        <v>0</v>
      </c>
      <c r="Z43" s="371">
        <v>0</v>
      </c>
      <c r="AA43" s="372">
        <f t="shared" si="8"/>
        <v>0</v>
      </c>
      <c r="AB43" s="366">
        <f t="shared" si="9"/>
        <v>0</v>
      </c>
    </row>
    <row r="44" spans="1:30" ht="12" x14ac:dyDescent="0.15">
      <c r="A44" s="367" t="s">
        <v>273</v>
      </c>
      <c r="B44" s="368" t="s">
        <v>237</v>
      </c>
      <c r="C44" s="358">
        <v>3.1619999999999999</v>
      </c>
      <c r="D44" s="369">
        <v>4501107</v>
      </c>
      <c r="E44" s="359">
        <f t="shared" si="0"/>
        <v>150037</v>
      </c>
      <c r="F44" s="369">
        <f t="shared" si="1"/>
        <v>54013284</v>
      </c>
      <c r="G44" s="359">
        <v>0</v>
      </c>
      <c r="H44" s="359">
        <v>12503.075000000001</v>
      </c>
      <c r="I44" s="369">
        <f t="shared" si="2"/>
        <v>1500.3690000000001</v>
      </c>
      <c r="J44" s="359">
        <v>12503.075000000001</v>
      </c>
      <c r="K44" s="359">
        <f t="shared" si="3"/>
        <v>6251.5375000000004</v>
      </c>
      <c r="L44" s="359">
        <v>18004.428</v>
      </c>
      <c r="M44" s="359">
        <v>12753.136500000002</v>
      </c>
      <c r="N44" s="359">
        <v>10442.568240000001</v>
      </c>
      <c r="O44" s="359">
        <v>3000.7379999999998</v>
      </c>
      <c r="P44" s="359">
        <v>1186.25</v>
      </c>
      <c r="Q44" s="359">
        <v>4501.107</v>
      </c>
      <c r="R44" s="359">
        <v>6001.4759999999997</v>
      </c>
      <c r="S44" s="359">
        <v>0</v>
      </c>
      <c r="T44" s="359">
        <v>1776.4222222222222</v>
      </c>
      <c r="U44" s="359">
        <f t="shared" si="4"/>
        <v>240461.18246222223</v>
      </c>
      <c r="V44" s="360">
        <f t="shared" si="5"/>
        <v>0.60267922220667058</v>
      </c>
      <c r="W44" s="361">
        <f t="shared" si="6"/>
        <v>0.61</v>
      </c>
      <c r="X44" s="362">
        <f t="shared" si="7"/>
        <v>241560</v>
      </c>
      <c r="Y44" s="370"/>
      <c r="Z44" s="371">
        <v>0</v>
      </c>
      <c r="AA44" s="372">
        <f t="shared" si="8"/>
        <v>0</v>
      </c>
      <c r="AB44" s="366">
        <f t="shared" si="9"/>
        <v>0</v>
      </c>
    </row>
    <row r="45" spans="1:30" ht="12" x14ac:dyDescent="0.15">
      <c r="A45" s="374" t="s">
        <v>300</v>
      </c>
      <c r="B45" s="375" t="s">
        <v>237</v>
      </c>
      <c r="C45" s="376">
        <v>3.1619999999999999</v>
      </c>
      <c r="D45" s="377">
        <v>4501107</v>
      </c>
      <c r="E45" s="378">
        <f t="shared" si="0"/>
        <v>150037</v>
      </c>
      <c r="F45" s="377">
        <f t="shared" si="1"/>
        <v>54013284</v>
      </c>
      <c r="G45" s="378">
        <v>0</v>
      </c>
      <c r="H45" s="378">
        <v>12503.075000000001</v>
      </c>
      <c r="I45" s="377">
        <f t="shared" si="2"/>
        <v>1500.3690000000001</v>
      </c>
      <c r="J45" s="378">
        <v>12503.075000000001</v>
      </c>
      <c r="K45" s="378">
        <f t="shared" si="3"/>
        <v>6251.5375000000004</v>
      </c>
      <c r="L45" s="378">
        <v>18004.428</v>
      </c>
      <c r="M45" s="378">
        <v>12753.136500000002</v>
      </c>
      <c r="N45" s="378">
        <v>10442.568240000001</v>
      </c>
      <c r="O45" s="378">
        <v>3000.7379999999998</v>
      </c>
      <c r="P45" s="378">
        <v>1186.25</v>
      </c>
      <c r="Q45" s="378">
        <v>4501.107</v>
      </c>
      <c r="R45" s="378">
        <v>6001.4759999999997</v>
      </c>
      <c r="S45" s="378">
        <v>0</v>
      </c>
      <c r="T45" s="378">
        <v>1776.4222222222222</v>
      </c>
      <c r="U45" s="378">
        <f t="shared" si="4"/>
        <v>240461.18246222223</v>
      </c>
      <c r="V45" s="379">
        <f t="shared" si="5"/>
        <v>0.60267922220667058</v>
      </c>
      <c r="W45" s="380">
        <f t="shared" si="6"/>
        <v>0.61</v>
      </c>
      <c r="X45" s="381">
        <f t="shared" si="7"/>
        <v>241560</v>
      </c>
      <c r="Y45" s="382">
        <v>1</v>
      </c>
      <c r="Z45" s="383">
        <v>0.6</v>
      </c>
      <c r="AA45" s="384">
        <f t="shared" si="8"/>
        <v>0.6</v>
      </c>
      <c r="AB45" s="385">
        <f t="shared" si="9"/>
        <v>0.36599999999999999</v>
      </c>
    </row>
    <row r="46" spans="1:30" ht="12" x14ac:dyDescent="0.15">
      <c r="A46" s="374" t="s">
        <v>274</v>
      </c>
      <c r="B46" s="375" t="s">
        <v>237</v>
      </c>
      <c r="C46" s="376">
        <v>3.1619999999999999</v>
      </c>
      <c r="D46" s="377">
        <v>4501107</v>
      </c>
      <c r="E46" s="378">
        <f t="shared" si="0"/>
        <v>150037</v>
      </c>
      <c r="F46" s="377">
        <f t="shared" si="1"/>
        <v>54013284</v>
      </c>
      <c r="G46" s="378">
        <v>0</v>
      </c>
      <c r="H46" s="378">
        <v>12503.075000000001</v>
      </c>
      <c r="I46" s="377">
        <f t="shared" si="2"/>
        <v>1500.3690000000001</v>
      </c>
      <c r="J46" s="378">
        <v>12503.075000000001</v>
      </c>
      <c r="K46" s="378">
        <f t="shared" si="3"/>
        <v>6251.5375000000004</v>
      </c>
      <c r="L46" s="378">
        <v>18004.428</v>
      </c>
      <c r="M46" s="378">
        <v>12753.136500000002</v>
      </c>
      <c r="N46" s="378">
        <v>10442.568240000001</v>
      </c>
      <c r="O46" s="378">
        <v>3000.7379999999998</v>
      </c>
      <c r="P46" s="378">
        <v>1186.25</v>
      </c>
      <c r="Q46" s="378">
        <v>4501.107</v>
      </c>
      <c r="R46" s="378">
        <v>6001.4759999999997</v>
      </c>
      <c r="S46" s="378">
        <v>0</v>
      </c>
      <c r="T46" s="378">
        <v>1776.4222222222222</v>
      </c>
      <c r="U46" s="378">
        <f t="shared" si="4"/>
        <v>240461.18246222223</v>
      </c>
      <c r="V46" s="379">
        <f t="shared" si="5"/>
        <v>0.60267922220667058</v>
      </c>
      <c r="W46" s="380">
        <f t="shared" si="6"/>
        <v>0.61</v>
      </c>
      <c r="X46" s="381">
        <f t="shared" si="7"/>
        <v>241560</v>
      </c>
      <c r="Y46" s="382">
        <v>5</v>
      </c>
      <c r="Z46" s="383">
        <v>0.6</v>
      </c>
      <c r="AA46" s="384">
        <f t="shared" si="8"/>
        <v>3</v>
      </c>
      <c r="AB46" s="385">
        <f t="shared" si="9"/>
        <v>1.83</v>
      </c>
    </row>
    <row r="47" spans="1:30" ht="12" x14ac:dyDescent="0.15">
      <c r="A47" s="367" t="s">
        <v>275</v>
      </c>
      <c r="B47" s="368" t="s">
        <v>237</v>
      </c>
      <c r="C47" s="358">
        <v>3.1619999999999999</v>
      </c>
      <c r="D47" s="369">
        <v>4501107</v>
      </c>
      <c r="E47" s="359">
        <f t="shared" si="0"/>
        <v>150037</v>
      </c>
      <c r="F47" s="369">
        <f t="shared" si="1"/>
        <v>54013284</v>
      </c>
      <c r="G47" s="359">
        <v>0</v>
      </c>
      <c r="H47" s="359">
        <v>12503.075000000001</v>
      </c>
      <c r="I47" s="369">
        <f t="shared" si="2"/>
        <v>1500.3690000000001</v>
      </c>
      <c r="J47" s="359">
        <v>12503.075000000001</v>
      </c>
      <c r="K47" s="359">
        <f t="shared" si="3"/>
        <v>6251.5375000000004</v>
      </c>
      <c r="L47" s="359">
        <v>18004.428</v>
      </c>
      <c r="M47" s="359">
        <v>12753.136500000002</v>
      </c>
      <c r="N47" s="359">
        <v>10442.568240000001</v>
      </c>
      <c r="O47" s="359">
        <v>3000.7379999999998</v>
      </c>
      <c r="P47" s="359">
        <v>1186.25</v>
      </c>
      <c r="Q47" s="359">
        <v>4501.107</v>
      </c>
      <c r="R47" s="359">
        <v>6001.4759999999997</v>
      </c>
      <c r="S47" s="359">
        <v>0</v>
      </c>
      <c r="T47" s="359">
        <v>1776.4222222222222</v>
      </c>
      <c r="U47" s="359">
        <f t="shared" si="4"/>
        <v>240461.18246222223</v>
      </c>
      <c r="V47" s="360">
        <f t="shared" si="5"/>
        <v>0.60267922220667058</v>
      </c>
      <c r="W47" s="361">
        <f t="shared" si="6"/>
        <v>0.61</v>
      </c>
      <c r="X47" s="362">
        <f t="shared" si="7"/>
        <v>241560</v>
      </c>
      <c r="Y47" s="370"/>
      <c r="Z47" s="371">
        <v>0</v>
      </c>
      <c r="AA47" s="372">
        <f t="shared" si="8"/>
        <v>0</v>
      </c>
      <c r="AB47" s="366">
        <f t="shared" si="9"/>
        <v>0</v>
      </c>
    </row>
    <row r="48" spans="1:30" ht="12" x14ac:dyDescent="0.15">
      <c r="A48" s="367" t="s">
        <v>276</v>
      </c>
      <c r="B48" s="368" t="s">
        <v>237</v>
      </c>
      <c r="C48" s="358">
        <v>3.1619999999999999</v>
      </c>
      <c r="D48" s="369">
        <v>4501107</v>
      </c>
      <c r="E48" s="359">
        <f t="shared" si="0"/>
        <v>150037</v>
      </c>
      <c r="F48" s="369">
        <f t="shared" si="1"/>
        <v>54013284</v>
      </c>
      <c r="G48" s="359">
        <v>0</v>
      </c>
      <c r="H48" s="359">
        <v>12503.075000000001</v>
      </c>
      <c r="I48" s="369">
        <f t="shared" si="2"/>
        <v>1500.3690000000001</v>
      </c>
      <c r="J48" s="359">
        <v>12503.075000000001</v>
      </c>
      <c r="K48" s="359">
        <f t="shared" si="3"/>
        <v>6251.5375000000004</v>
      </c>
      <c r="L48" s="359">
        <v>18004.428</v>
      </c>
      <c r="M48" s="359">
        <v>12753.136500000002</v>
      </c>
      <c r="N48" s="359">
        <v>10442.568240000001</v>
      </c>
      <c r="O48" s="359">
        <v>3000.7379999999998</v>
      </c>
      <c r="P48" s="359">
        <v>1186.25</v>
      </c>
      <c r="Q48" s="359">
        <v>4501.107</v>
      </c>
      <c r="R48" s="359">
        <v>6001.4759999999997</v>
      </c>
      <c r="S48" s="359">
        <v>0</v>
      </c>
      <c r="T48" s="359">
        <v>1776.4222222222222</v>
      </c>
      <c r="U48" s="359">
        <f t="shared" si="4"/>
        <v>240461.18246222223</v>
      </c>
      <c r="V48" s="360">
        <f t="shared" si="5"/>
        <v>0.60267922220667058</v>
      </c>
      <c r="W48" s="361">
        <f t="shared" si="6"/>
        <v>0.61</v>
      </c>
      <c r="X48" s="362">
        <f t="shared" si="7"/>
        <v>241560</v>
      </c>
      <c r="Y48" s="370">
        <v>0</v>
      </c>
      <c r="Z48" s="371">
        <v>0</v>
      </c>
      <c r="AA48" s="372">
        <f t="shared" si="8"/>
        <v>0</v>
      </c>
      <c r="AB48" s="366">
        <f t="shared" si="9"/>
        <v>0</v>
      </c>
    </row>
    <row r="49" spans="1:28" ht="12" x14ac:dyDescent="0.15">
      <c r="A49" s="367" t="s">
        <v>277</v>
      </c>
      <c r="B49" s="368" t="s">
        <v>237</v>
      </c>
      <c r="C49" s="358">
        <v>3.1619999999999999</v>
      </c>
      <c r="D49" s="369">
        <v>4501107</v>
      </c>
      <c r="E49" s="359">
        <f t="shared" si="0"/>
        <v>150037</v>
      </c>
      <c r="F49" s="369">
        <f t="shared" si="1"/>
        <v>54013284</v>
      </c>
      <c r="G49" s="359">
        <v>0</v>
      </c>
      <c r="H49" s="359">
        <v>12503.075000000001</v>
      </c>
      <c r="I49" s="369">
        <f t="shared" si="2"/>
        <v>1500.3690000000001</v>
      </c>
      <c r="J49" s="359">
        <v>12503.075000000001</v>
      </c>
      <c r="K49" s="359">
        <f t="shared" si="3"/>
        <v>6251.5375000000004</v>
      </c>
      <c r="L49" s="359">
        <v>18004.428</v>
      </c>
      <c r="M49" s="359">
        <v>12753.136500000002</v>
      </c>
      <c r="N49" s="359">
        <v>10442.568240000001</v>
      </c>
      <c r="O49" s="359">
        <v>3000.7379999999998</v>
      </c>
      <c r="P49" s="359">
        <v>1186.25</v>
      </c>
      <c r="Q49" s="359">
        <v>4501.107</v>
      </c>
      <c r="R49" s="359">
        <v>6001.4759999999997</v>
      </c>
      <c r="S49" s="359">
        <v>0</v>
      </c>
      <c r="T49" s="359">
        <v>1776.4222222222222</v>
      </c>
      <c r="U49" s="359">
        <f t="shared" si="4"/>
        <v>240461.18246222223</v>
      </c>
      <c r="V49" s="360">
        <f t="shared" si="5"/>
        <v>0.60267922220667058</v>
      </c>
      <c r="W49" s="361">
        <f t="shared" si="6"/>
        <v>0.61</v>
      </c>
      <c r="X49" s="362">
        <f t="shared" si="7"/>
        <v>241560</v>
      </c>
      <c r="Y49" s="370">
        <v>0</v>
      </c>
      <c r="Z49" s="371">
        <v>0</v>
      </c>
      <c r="AA49" s="372">
        <f t="shared" si="8"/>
        <v>0</v>
      </c>
      <c r="AB49" s="366">
        <f t="shared" si="9"/>
        <v>0</v>
      </c>
    </row>
    <row r="50" spans="1:28" ht="12" x14ac:dyDescent="0.15">
      <c r="A50" s="367" t="s">
        <v>278</v>
      </c>
      <c r="B50" s="368" t="s">
        <v>237</v>
      </c>
      <c r="C50" s="358">
        <v>3.1619999999999999</v>
      </c>
      <c r="D50" s="369">
        <v>4501107</v>
      </c>
      <c r="E50" s="359">
        <f t="shared" si="0"/>
        <v>150037</v>
      </c>
      <c r="F50" s="369">
        <f t="shared" si="1"/>
        <v>54013284</v>
      </c>
      <c r="G50" s="359">
        <v>0</v>
      </c>
      <c r="H50" s="359">
        <v>12503.075000000001</v>
      </c>
      <c r="I50" s="369">
        <f t="shared" si="2"/>
        <v>1500.3690000000001</v>
      </c>
      <c r="J50" s="359">
        <v>12503.075000000001</v>
      </c>
      <c r="K50" s="359">
        <f t="shared" si="3"/>
        <v>6251.5375000000004</v>
      </c>
      <c r="L50" s="359">
        <v>18004.428</v>
      </c>
      <c r="M50" s="359">
        <v>12753.136500000002</v>
      </c>
      <c r="N50" s="359">
        <v>10442.568240000001</v>
      </c>
      <c r="O50" s="359">
        <v>3000.7379999999998</v>
      </c>
      <c r="P50" s="359">
        <v>1186.25</v>
      </c>
      <c r="Q50" s="359">
        <v>4501.107</v>
      </c>
      <c r="R50" s="359">
        <v>6001.4759999999997</v>
      </c>
      <c r="S50" s="359">
        <v>0</v>
      </c>
      <c r="T50" s="359">
        <v>1776.4222222222222</v>
      </c>
      <c r="U50" s="359">
        <f t="shared" si="4"/>
        <v>240461.18246222223</v>
      </c>
      <c r="V50" s="360">
        <f t="shared" si="5"/>
        <v>0.60267922220667058</v>
      </c>
      <c r="W50" s="361">
        <f t="shared" si="6"/>
        <v>0.61</v>
      </c>
      <c r="X50" s="362">
        <f t="shared" si="7"/>
        <v>241560</v>
      </c>
      <c r="Y50" s="370">
        <v>0</v>
      </c>
      <c r="Z50" s="371">
        <v>0</v>
      </c>
      <c r="AA50" s="372">
        <f t="shared" si="8"/>
        <v>0</v>
      </c>
      <c r="AB50" s="366">
        <f t="shared" si="9"/>
        <v>0</v>
      </c>
    </row>
    <row r="51" spans="1:28" ht="12" x14ac:dyDescent="0.15">
      <c r="A51" s="374" t="s">
        <v>279</v>
      </c>
      <c r="B51" s="375">
        <v>0</v>
      </c>
      <c r="C51" s="376">
        <v>3.1619999999999999</v>
      </c>
      <c r="D51" s="377">
        <v>4501107</v>
      </c>
      <c r="E51" s="378">
        <f t="shared" si="0"/>
        <v>150037</v>
      </c>
      <c r="F51" s="377">
        <f t="shared" si="1"/>
        <v>54013284</v>
      </c>
      <c r="G51" s="378">
        <v>0</v>
      </c>
      <c r="H51" s="378">
        <v>12503.075000000001</v>
      </c>
      <c r="I51" s="377">
        <f t="shared" si="2"/>
        <v>1500.3690000000001</v>
      </c>
      <c r="J51" s="378">
        <v>12503.075000000001</v>
      </c>
      <c r="K51" s="378">
        <f t="shared" si="3"/>
        <v>6251.5375000000004</v>
      </c>
      <c r="L51" s="378">
        <v>18004.428</v>
      </c>
      <c r="M51" s="378">
        <v>12753.136500000002</v>
      </c>
      <c r="N51" s="378">
        <v>10442.568240000001</v>
      </c>
      <c r="O51" s="378">
        <v>3000.7379999999998</v>
      </c>
      <c r="P51" s="378">
        <v>1186.25</v>
      </c>
      <c r="Q51" s="378">
        <v>4501.107</v>
      </c>
      <c r="R51" s="378">
        <v>6001.4759999999997</v>
      </c>
      <c r="S51" s="378">
        <v>0</v>
      </c>
      <c r="T51" s="378">
        <v>0</v>
      </c>
      <c r="U51" s="378">
        <f t="shared" si="4"/>
        <v>238684.76024</v>
      </c>
      <c r="V51" s="379">
        <f t="shared" si="5"/>
        <v>0.59083932789911819</v>
      </c>
      <c r="W51" s="380">
        <f t="shared" si="6"/>
        <v>0.6</v>
      </c>
      <c r="X51" s="381">
        <f t="shared" si="7"/>
        <v>240059</v>
      </c>
      <c r="Y51" s="382">
        <v>5</v>
      </c>
      <c r="Z51" s="383">
        <v>0.6</v>
      </c>
      <c r="AA51" s="384">
        <f t="shared" si="8"/>
        <v>3</v>
      </c>
      <c r="AB51" s="385">
        <f t="shared" si="9"/>
        <v>1.7999999999999998</v>
      </c>
    </row>
    <row r="52" spans="1:28" ht="12" x14ac:dyDescent="0.15">
      <c r="A52" s="374" t="s">
        <v>280</v>
      </c>
      <c r="B52" s="375" t="s">
        <v>237</v>
      </c>
      <c r="C52" s="376">
        <v>3.1619999999999999</v>
      </c>
      <c r="D52" s="377">
        <v>4501107</v>
      </c>
      <c r="E52" s="378">
        <f t="shared" si="0"/>
        <v>150037</v>
      </c>
      <c r="F52" s="377">
        <f t="shared" si="1"/>
        <v>54013284</v>
      </c>
      <c r="G52" s="378">
        <v>0</v>
      </c>
      <c r="H52" s="378">
        <v>12503.075000000001</v>
      </c>
      <c r="I52" s="377">
        <f t="shared" si="2"/>
        <v>1500.3690000000001</v>
      </c>
      <c r="J52" s="378">
        <v>12503.075000000001</v>
      </c>
      <c r="K52" s="378">
        <f t="shared" si="3"/>
        <v>6251.5375000000004</v>
      </c>
      <c r="L52" s="378">
        <v>18004.428</v>
      </c>
      <c r="M52" s="378">
        <v>12753.136500000002</v>
      </c>
      <c r="N52" s="378">
        <v>10442.568240000001</v>
      </c>
      <c r="O52" s="378">
        <v>3000.7379999999998</v>
      </c>
      <c r="P52" s="378">
        <v>1186.25</v>
      </c>
      <c r="Q52" s="378">
        <v>4501.107</v>
      </c>
      <c r="R52" s="378">
        <v>6001.4759999999997</v>
      </c>
      <c r="S52" s="378">
        <v>0</v>
      </c>
      <c r="T52" s="378">
        <v>1776.4222222222222</v>
      </c>
      <c r="U52" s="378">
        <f t="shared" si="4"/>
        <v>240461.18246222223</v>
      </c>
      <c r="V52" s="379">
        <f t="shared" si="5"/>
        <v>0.60267922220667058</v>
      </c>
      <c r="W52" s="380">
        <f t="shared" si="6"/>
        <v>0.61</v>
      </c>
      <c r="X52" s="381">
        <f t="shared" si="7"/>
        <v>241560</v>
      </c>
      <c r="Y52" s="382">
        <v>1</v>
      </c>
      <c r="Z52" s="383">
        <v>0.9</v>
      </c>
      <c r="AA52" s="384">
        <f t="shared" si="8"/>
        <v>0.9</v>
      </c>
      <c r="AB52" s="385">
        <f t="shared" si="9"/>
        <v>0.54900000000000004</v>
      </c>
    </row>
    <row r="53" spans="1:28" ht="12" x14ac:dyDescent="0.15">
      <c r="A53" s="367" t="s">
        <v>281</v>
      </c>
      <c r="B53" s="368" t="s">
        <v>237</v>
      </c>
      <c r="C53" s="358">
        <v>3.1619999999999999</v>
      </c>
      <c r="D53" s="369">
        <v>4501107</v>
      </c>
      <c r="E53" s="359">
        <f t="shared" si="0"/>
        <v>150037</v>
      </c>
      <c r="F53" s="369">
        <f t="shared" si="1"/>
        <v>54013284</v>
      </c>
      <c r="G53" s="359">
        <v>0</v>
      </c>
      <c r="H53" s="359">
        <v>12503.075000000001</v>
      </c>
      <c r="I53" s="369">
        <f t="shared" si="2"/>
        <v>1500.3690000000001</v>
      </c>
      <c r="J53" s="359">
        <v>12503.075000000001</v>
      </c>
      <c r="K53" s="359">
        <f t="shared" si="3"/>
        <v>6251.5375000000004</v>
      </c>
      <c r="L53" s="359">
        <v>18004.428</v>
      </c>
      <c r="M53" s="359">
        <v>12753.136500000002</v>
      </c>
      <c r="N53" s="359">
        <v>10442.568240000001</v>
      </c>
      <c r="O53" s="359">
        <v>3000.7379999999998</v>
      </c>
      <c r="P53" s="359">
        <v>1186.25</v>
      </c>
      <c r="Q53" s="359">
        <v>4501.107</v>
      </c>
      <c r="R53" s="359">
        <v>6001.4759999999997</v>
      </c>
      <c r="S53" s="359">
        <v>0</v>
      </c>
      <c r="T53" s="359">
        <v>1776.4222222222222</v>
      </c>
      <c r="U53" s="359">
        <f t="shared" si="4"/>
        <v>240461.18246222223</v>
      </c>
      <c r="V53" s="360">
        <f t="shared" si="5"/>
        <v>0.60267922220667058</v>
      </c>
      <c r="W53" s="361">
        <f t="shared" si="6"/>
        <v>0.61</v>
      </c>
      <c r="X53" s="362">
        <f t="shared" si="7"/>
        <v>241560</v>
      </c>
      <c r="Y53" s="370">
        <v>1</v>
      </c>
      <c r="Z53" s="371">
        <v>0</v>
      </c>
      <c r="AA53" s="372">
        <f t="shared" si="8"/>
        <v>0</v>
      </c>
      <c r="AB53" s="366">
        <f t="shared" si="9"/>
        <v>0</v>
      </c>
    </row>
    <row r="54" spans="1:28" ht="12" x14ac:dyDescent="0.15">
      <c r="A54" s="367" t="s">
        <v>282</v>
      </c>
      <c r="B54" s="368" t="s">
        <v>237</v>
      </c>
      <c r="C54" s="358">
        <v>3.1619999999999999</v>
      </c>
      <c r="D54" s="369">
        <v>4501107</v>
      </c>
      <c r="E54" s="359">
        <f t="shared" si="0"/>
        <v>150037</v>
      </c>
      <c r="F54" s="369">
        <f t="shared" si="1"/>
        <v>54013284</v>
      </c>
      <c r="G54" s="359">
        <v>0</v>
      </c>
      <c r="H54" s="359">
        <v>12503.075000000001</v>
      </c>
      <c r="I54" s="369">
        <f t="shared" si="2"/>
        <v>1500.3690000000001</v>
      </c>
      <c r="J54" s="359">
        <v>12503.075000000001</v>
      </c>
      <c r="K54" s="359">
        <f t="shared" si="3"/>
        <v>6251.5375000000004</v>
      </c>
      <c r="L54" s="359">
        <v>18004.428</v>
      </c>
      <c r="M54" s="359">
        <v>12753.136500000002</v>
      </c>
      <c r="N54" s="359">
        <v>10442.568240000001</v>
      </c>
      <c r="O54" s="359">
        <v>3000.7379999999998</v>
      </c>
      <c r="P54" s="359">
        <v>1186.25</v>
      </c>
      <c r="Q54" s="359">
        <v>4501.107</v>
      </c>
      <c r="R54" s="359">
        <v>6001.4759999999997</v>
      </c>
      <c r="S54" s="359">
        <v>0</v>
      </c>
      <c r="T54" s="359">
        <v>1776.4222222222222</v>
      </c>
      <c r="U54" s="359">
        <f t="shared" si="4"/>
        <v>240461.18246222223</v>
      </c>
      <c r="V54" s="360">
        <f t="shared" si="5"/>
        <v>0.60267922220667058</v>
      </c>
      <c r="W54" s="361">
        <f t="shared" si="6"/>
        <v>0.61</v>
      </c>
      <c r="X54" s="362">
        <f t="shared" si="7"/>
        <v>241560</v>
      </c>
      <c r="Y54" s="370">
        <v>0</v>
      </c>
      <c r="Z54" s="371">
        <v>0</v>
      </c>
      <c r="AA54" s="372">
        <f t="shared" si="8"/>
        <v>0</v>
      </c>
      <c r="AB54" s="366">
        <f t="shared" si="9"/>
        <v>0</v>
      </c>
    </row>
    <row r="55" spans="1:28" ht="24" customHeight="1" x14ac:dyDescent="0.15">
      <c r="A55" s="367" t="s">
        <v>283</v>
      </c>
      <c r="B55" s="368" t="s">
        <v>237</v>
      </c>
      <c r="C55" s="358">
        <v>3.1619999999999999</v>
      </c>
      <c r="D55" s="369">
        <v>4501107</v>
      </c>
      <c r="E55" s="359">
        <f t="shared" si="0"/>
        <v>150037</v>
      </c>
      <c r="F55" s="369">
        <f t="shared" si="1"/>
        <v>54013284</v>
      </c>
      <c r="G55" s="359">
        <v>0</v>
      </c>
      <c r="H55" s="359">
        <v>12503.075000000001</v>
      </c>
      <c r="I55" s="369">
        <f t="shared" si="2"/>
        <v>1500.3690000000001</v>
      </c>
      <c r="J55" s="359">
        <v>12503.075000000001</v>
      </c>
      <c r="K55" s="359">
        <f t="shared" si="3"/>
        <v>6251.5375000000004</v>
      </c>
      <c r="L55" s="359">
        <v>18004.428</v>
      </c>
      <c r="M55" s="359">
        <v>12753.136500000002</v>
      </c>
      <c r="N55" s="359">
        <v>10442.568240000001</v>
      </c>
      <c r="O55" s="359">
        <v>3000.7379999999998</v>
      </c>
      <c r="P55" s="359">
        <v>1186.25</v>
      </c>
      <c r="Q55" s="359">
        <v>4501.107</v>
      </c>
      <c r="R55" s="359">
        <v>6001.4759999999997</v>
      </c>
      <c r="S55" s="359">
        <v>0</v>
      </c>
      <c r="T55" s="359">
        <v>1776.4222222222222</v>
      </c>
      <c r="U55" s="359">
        <f t="shared" si="4"/>
        <v>240461.18246222223</v>
      </c>
      <c r="V55" s="360">
        <f t="shared" si="5"/>
        <v>0.60267922220667058</v>
      </c>
      <c r="W55" s="361">
        <f t="shared" si="6"/>
        <v>0.61</v>
      </c>
      <c r="X55" s="362">
        <f t="shared" si="7"/>
        <v>241560</v>
      </c>
      <c r="Y55" s="370">
        <v>0</v>
      </c>
      <c r="Z55" s="371">
        <v>0</v>
      </c>
      <c r="AA55" s="372">
        <f t="shared" si="8"/>
        <v>0</v>
      </c>
      <c r="AB55" s="366">
        <f t="shared" si="9"/>
        <v>0</v>
      </c>
    </row>
    <row r="56" spans="1:28" ht="12" x14ac:dyDescent="0.15">
      <c r="A56" s="367" t="s">
        <v>284</v>
      </c>
      <c r="B56" s="368" t="s">
        <v>237</v>
      </c>
      <c r="C56" s="358">
        <v>3.1619999999999999</v>
      </c>
      <c r="D56" s="369">
        <v>4501107</v>
      </c>
      <c r="E56" s="359">
        <f t="shared" si="0"/>
        <v>150037</v>
      </c>
      <c r="F56" s="369">
        <f t="shared" si="1"/>
        <v>54013284</v>
      </c>
      <c r="G56" s="359">
        <v>0</v>
      </c>
      <c r="H56" s="359">
        <v>12503.075000000001</v>
      </c>
      <c r="I56" s="369">
        <f t="shared" si="2"/>
        <v>1500.3690000000001</v>
      </c>
      <c r="J56" s="359">
        <v>12503.075000000001</v>
      </c>
      <c r="K56" s="359">
        <f t="shared" si="3"/>
        <v>6251.5375000000004</v>
      </c>
      <c r="L56" s="359">
        <v>18004.428</v>
      </c>
      <c r="M56" s="359">
        <v>12753.136500000002</v>
      </c>
      <c r="N56" s="359">
        <v>10442.568240000001</v>
      </c>
      <c r="O56" s="359">
        <v>3000.7379999999998</v>
      </c>
      <c r="P56" s="359">
        <v>1186.25</v>
      </c>
      <c r="Q56" s="359">
        <v>4501.107</v>
      </c>
      <c r="R56" s="359">
        <v>6001.4759999999997</v>
      </c>
      <c r="S56" s="359">
        <v>0</v>
      </c>
      <c r="T56" s="359">
        <v>1776.4222222222222</v>
      </c>
      <c r="U56" s="359">
        <f t="shared" si="4"/>
        <v>240461.18246222223</v>
      </c>
      <c r="V56" s="360">
        <f t="shared" si="5"/>
        <v>0.60267922220667058</v>
      </c>
      <c r="W56" s="361">
        <f t="shared" si="6"/>
        <v>0.61</v>
      </c>
      <c r="X56" s="362">
        <f t="shared" si="7"/>
        <v>241560</v>
      </c>
      <c r="Y56" s="370">
        <v>0</v>
      </c>
      <c r="Z56" s="371">
        <v>0</v>
      </c>
      <c r="AA56" s="372">
        <f t="shared" si="8"/>
        <v>0</v>
      </c>
      <c r="AB56" s="366">
        <f t="shared" si="9"/>
        <v>0</v>
      </c>
    </row>
    <row r="57" spans="1:28" ht="12" x14ac:dyDescent="0.15">
      <c r="A57" s="374" t="s">
        <v>285</v>
      </c>
      <c r="B57" s="375" t="s">
        <v>237</v>
      </c>
      <c r="C57" s="376">
        <v>3.1619999999999999</v>
      </c>
      <c r="D57" s="377">
        <v>4501107</v>
      </c>
      <c r="E57" s="378">
        <f t="shared" si="0"/>
        <v>150037</v>
      </c>
      <c r="F57" s="377">
        <f t="shared" si="1"/>
        <v>54013284</v>
      </c>
      <c r="G57" s="378">
        <v>0</v>
      </c>
      <c r="H57" s="378">
        <v>12503.075000000001</v>
      </c>
      <c r="I57" s="377">
        <f t="shared" si="2"/>
        <v>1500.3690000000001</v>
      </c>
      <c r="J57" s="378">
        <v>12503.075000000001</v>
      </c>
      <c r="K57" s="378">
        <f t="shared" si="3"/>
        <v>6251.5375000000004</v>
      </c>
      <c r="L57" s="378">
        <v>18004.428</v>
      </c>
      <c r="M57" s="378">
        <v>12753.136500000002</v>
      </c>
      <c r="N57" s="378">
        <v>10442.568240000001</v>
      </c>
      <c r="O57" s="378">
        <v>3000.7379999999998</v>
      </c>
      <c r="P57" s="378">
        <v>1186.25</v>
      </c>
      <c r="Q57" s="378">
        <v>4501.107</v>
      </c>
      <c r="R57" s="378">
        <v>6001.4759999999997</v>
      </c>
      <c r="S57" s="378">
        <v>0</v>
      </c>
      <c r="T57" s="378">
        <v>1776.4222222222222</v>
      </c>
      <c r="U57" s="378">
        <f t="shared" si="4"/>
        <v>240461.18246222223</v>
      </c>
      <c r="V57" s="379">
        <f t="shared" si="5"/>
        <v>0.60267922220667058</v>
      </c>
      <c r="W57" s="380">
        <f t="shared" si="6"/>
        <v>0.61</v>
      </c>
      <c r="X57" s="381">
        <f t="shared" si="7"/>
        <v>241560</v>
      </c>
      <c r="Y57" s="382">
        <v>1</v>
      </c>
      <c r="Z57" s="383">
        <v>0.5</v>
      </c>
      <c r="AA57" s="384">
        <f t="shared" si="8"/>
        <v>0.5</v>
      </c>
      <c r="AB57" s="385">
        <f t="shared" si="9"/>
        <v>0.30499999999999999</v>
      </c>
    </row>
    <row r="58" spans="1:28" ht="12" x14ac:dyDescent="0.15">
      <c r="A58" s="367" t="s">
        <v>286</v>
      </c>
      <c r="B58" s="368" t="s">
        <v>237</v>
      </c>
      <c r="C58" s="358">
        <v>2.9</v>
      </c>
      <c r="D58" s="369">
        <v>4128150</v>
      </c>
      <c r="E58" s="359">
        <f t="shared" si="0"/>
        <v>137605</v>
      </c>
      <c r="F58" s="369">
        <f t="shared" si="1"/>
        <v>49537800</v>
      </c>
      <c r="G58" s="359">
        <v>0</v>
      </c>
      <c r="H58" s="359">
        <v>11467.083333333334</v>
      </c>
      <c r="I58" s="369">
        <f t="shared" si="2"/>
        <v>1376.05</v>
      </c>
      <c r="J58" s="359">
        <v>11467.083333333334</v>
      </c>
      <c r="K58" s="359">
        <f t="shared" si="3"/>
        <v>5733.541666666667</v>
      </c>
      <c r="L58" s="359">
        <v>16512.599999999999</v>
      </c>
      <c r="M58" s="359">
        <v>11696.424999999999</v>
      </c>
      <c r="N58" s="359">
        <v>9577.3079999999991</v>
      </c>
      <c r="O58" s="359">
        <v>2752.1</v>
      </c>
      <c r="P58" s="359">
        <v>1186.25</v>
      </c>
      <c r="Q58" s="359">
        <v>4128.1499999999996</v>
      </c>
      <c r="R58" s="359">
        <v>5504.2</v>
      </c>
      <c r="S58" s="359">
        <v>0</v>
      </c>
      <c r="T58" s="359">
        <v>1776.4222222222222</v>
      </c>
      <c r="U58" s="359">
        <f t="shared" si="4"/>
        <v>220782.21355555556</v>
      </c>
      <c r="V58" s="360">
        <f t="shared" si="5"/>
        <v>0.60446359911017455</v>
      </c>
      <c r="W58" s="361">
        <f t="shared" si="6"/>
        <v>0.61</v>
      </c>
      <c r="X58" s="362">
        <f t="shared" si="7"/>
        <v>221544</v>
      </c>
      <c r="Y58" s="370"/>
      <c r="Z58" s="371">
        <v>0</v>
      </c>
      <c r="AA58" s="372">
        <f t="shared" si="8"/>
        <v>0</v>
      </c>
      <c r="AB58" s="366">
        <f t="shared" si="9"/>
        <v>0</v>
      </c>
    </row>
    <row r="59" spans="1:28" ht="12" x14ac:dyDescent="0.15">
      <c r="A59" s="367" t="s">
        <v>287</v>
      </c>
      <c r="B59" s="368" t="s">
        <v>237</v>
      </c>
      <c r="C59" s="358">
        <v>2.9</v>
      </c>
      <c r="D59" s="369">
        <v>4128150</v>
      </c>
      <c r="E59" s="359">
        <f t="shared" si="0"/>
        <v>137605</v>
      </c>
      <c r="F59" s="369">
        <f t="shared" si="1"/>
        <v>49537800</v>
      </c>
      <c r="G59" s="359">
        <v>0</v>
      </c>
      <c r="H59" s="359">
        <v>11467.083333333334</v>
      </c>
      <c r="I59" s="369">
        <f t="shared" si="2"/>
        <v>1376.05</v>
      </c>
      <c r="J59" s="359">
        <v>11467.083333333334</v>
      </c>
      <c r="K59" s="359">
        <f t="shared" si="3"/>
        <v>5733.541666666667</v>
      </c>
      <c r="L59" s="359">
        <v>16512.599999999999</v>
      </c>
      <c r="M59" s="359">
        <v>11696.424999999999</v>
      </c>
      <c r="N59" s="359">
        <v>9577.3079999999991</v>
      </c>
      <c r="O59" s="359">
        <v>2752.1</v>
      </c>
      <c r="P59" s="359">
        <v>1186.25</v>
      </c>
      <c r="Q59" s="359">
        <v>4128.1499999999996</v>
      </c>
      <c r="R59" s="359">
        <v>5504.2</v>
      </c>
      <c r="S59" s="359">
        <v>0</v>
      </c>
      <c r="T59" s="359">
        <v>1776.4222222222222</v>
      </c>
      <c r="U59" s="359">
        <f t="shared" si="4"/>
        <v>220782.21355555556</v>
      </c>
      <c r="V59" s="360">
        <f t="shared" si="5"/>
        <v>0.60446359911017455</v>
      </c>
      <c r="W59" s="361">
        <f t="shared" si="6"/>
        <v>0.61</v>
      </c>
      <c r="X59" s="362">
        <f t="shared" si="7"/>
        <v>221544</v>
      </c>
      <c r="Y59" s="370"/>
      <c r="Z59" s="371">
        <v>0</v>
      </c>
      <c r="AA59" s="372">
        <f t="shared" si="8"/>
        <v>0</v>
      </c>
      <c r="AB59" s="366">
        <f t="shared" si="9"/>
        <v>0</v>
      </c>
    </row>
    <row r="60" spans="1:28" ht="24" x14ac:dyDescent="0.15">
      <c r="A60" s="367" t="s">
        <v>288</v>
      </c>
      <c r="B60" s="368" t="s">
        <v>237</v>
      </c>
      <c r="C60" s="358">
        <v>3.8639999999999999</v>
      </c>
      <c r="D60" s="369">
        <v>5500404</v>
      </c>
      <c r="E60" s="359">
        <f t="shared" si="0"/>
        <v>183347</v>
      </c>
      <c r="F60" s="369">
        <f t="shared" si="1"/>
        <v>66004848</v>
      </c>
      <c r="G60" s="359">
        <v>0</v>
      </c>
      <c r="H60" s="359">
        <v>15278.9</v>
      </c>
      <c r="I60" s="369">
        <f t="shared" si="2"/>
        <v>1833.4679999999998</v>
      </c>
      <c r="J60" s="359">
        <v>15278.9</v>
      </c>
      <c r="K60" s="359">
        <f t="shared" si="3"/>
        <v>7639.45</v>
      </c>
      <c r="L60" s="359">
        <v>22001.615999999998</v>
      </c>
      <c r="M60" s="359">
        <v>15584.478000000001</v>
      </c>
      <c r="N60" s="359">
        <v>12760.937279999998</v>
      </c>
      <c r="O60" s="359">
        <v>3666.9359999999997</v>
      </c>
      <c r="P60" s="359">
        <v>1186.25</v>
      </c>
      <c r="Q60" s="359">
        <v>5500.4039999999995</v>
      </c>
      <c r="R60" s="359">
        <v>7333.8719999999994</v>
      </c>
      <c r="S60" s="359">
        <v>0</v>
      </c>
      <c r="T60" s="359">
        <v>1776.4222222222222</v>
      </c>
      <c r="U60" s="359">
        <f t="shared" si="4"/>
        <v>293188.63350222219</v>
      </c>
      <c r="V60" s="360">
        <f t="shared" si="5"/>
        <v>0.59909152318948333</v>
      </c>
      <c r="W60" s="361">
        <f t="shared" si="6"/>
        <v>0.6</v>
      </c>
      <c r="X60" s="362">
        <f t="shared" si="7"/>
        <v>293355</v>
      </c>
      <c r="Y60" s="370"/>
      <c r="Z60" s="371">
        <v>0</v>
      </c>
      <c r="AA60" s="372">
        <f t="shared" si="8"/>
        <v>0</v>
      </c>
      <c r="AB60" s="366">
        <f t="shared" si="9"/>
        <v>0</v>
      </c>
    </row>
    <row r="61" spans="1:28" ht="24" x14ac:dyDescent="0.15">
      <c r="A61" s="367" t="s">
        <v>289</v>
      </c>
      <c r="B61" s="368" t="s">
        <v>237</v>
      </c>
      <c r="C61" s="358">
        <v>3.8639999999999999</v>
      </c>
      <c r="D61" s="369">
        <v>5500404</v>
      </c>
      <c r="E61" s="359">
        <f t="shared" si="0"/>
        <v>183347</v>
      </c>
      <c r="F61" s="369">
        <f t="shared" si="1"/>
        <v>66004848</v>
      </c>
      <c r="G61" s="359">
        <v>0</v>
      </c>
      <c r="H61" s="359">
        <v>15278.9</v>
      </c>
      <c r="I61" s="369">
        <f t="shared" si="2"/>
        <v>1833.4679999999998</v>
      </c>
      <c r="J61" s="359">
        <v>15278.9</v>
      </c>
      <c r="K61" s="359">
        <f t="shared" si="3"/>
        <v>7639.45</v>
      </c>
      <c r="L61" s="359">
        <v>22001.615999999998</v>
      </c>
      <c r="M61" s="359">
        <v>15584.478000000001</v>
      </c>
      <c r="N61" s="359">
        <v>12760.937279999998</v>
      </c>
      <c r="O61" s="359">
        <v>3666.9359999999997</v>
      </c>
      <c r="P61" s="359">
        <v>1186.25</v>
      </c>
      <c r="Q61" s="359">
        <v>5500.4039999999995</v>
      </c>
      <c r="R61" s="359">
        <v>7333.8719999999994</v>
      </c>
      <c r="S61" s="359">
        <v>0</v>
      </c>
      <c r="T61" s="359">
        <v>1776.4222222222222</v>
      </c>
      <c r="U61" s="359">
        <f t="shared" si="4"/>
        <v>293188.63350222219</v>
      </c>
      <c r="V61" s="360">
        <f t="shared" si="5"/>
        <v>0.59909152318948333</v>
      </c>
      <c r="W61" s="361">
        <f t="shared" si="6"/>
        <v>0.6</v>
      </c>
      <c r="X61" s="362">
        <f t="shared" si="7"/>
        <v>293355</v>
      </c>
      <c r="Y61" s="370"/>
      <c r="Z61" s="371">
        <v>0</v>
      </c>
      <c r="AA61" s="372">
        <f t="shared" si="8"/>
        <v>0</v>
      </c>
      <c r="AB61" s="366">
        <f t="shared" si="9"/>
        <v>0</v>
      </c>
    </row>
    <row r="62" spans="1:28" ht="24" x14ac:dyDescent="0.15">
      <c r="A62" s="367" t="s">
        <v>290</v>
      </c>
      <c r="B62" s="368" t="s">
        <v>237</v>
      </c>
      <c r="C62" s="358">
        <v>3.8639999999999999</v>
      </c>
      <c r="D62" s="369">
        <v>5500404</v>
      </c>
      <c r="E62" s="359">
        <f t="shared" si="0"/>
        <v>183347</v>
      </c>
      <c r="F62" s="369">
        <f t="shared" si="1"/>
        <v>66004848</v>
      </c>
      <c r="G62" s="359">
        <v>0</v>
      </c>
      <c r="H62" s="359">
        <v>15278.9</v>
      </c>
      <c r="I62" s="369">
        <f t="shared" si="2"/>
        <v>1833.4679999999998</v>
      </c>
      <c r="J62" s="359">
        <v>15278.9</v>
      </c>
      <c r="K62" s="359">
        <f t="shared" si="3"/>
        <v>7639.45</v>
      </c>
      <c r="L62" s="359">
        <v>22001.615999999998</v>
      </c>
      <c r="M62" s="359">
        <v>15584.478000000001</v>
      </c>
      <c r="N62" s="359">
        <v>12760.937279999998</v>
      </c>
      <c r="O62" s="359">
        <v>3666.9359999999997</v>
      </c>
      <c r="P62" s="359">
        <v>1186.25</v>
      </c>
      <c r="Q62" s="359">
        <v>5500.4039999999995</v>
      </c>
      <c r="R62" s="359">
        <v>7333.8719999999994</v>
      </c>
      <c r="S62" s="359">
        <v>0</v>
      </c>
      <c r="T62" s="359">
        <v>1776.4222222222222</v>
      </c>
      <c r="U62" s="359">
        <f t="shared" si="4"/>
        <v>293188.63350222219</v>
      </c>
      <c r="V62" s="360">
        <f t="shared" si="5"/>
        <v>0.59909152318948333</v>
      </c>
      <c r="W62" s="361">
        <f t="shared" si="6"/>
        <v>0.6</v>
      </c>
      <c r="X62" s="362">
        <f t="shared" si="7"/>
        <v>293355</v>
      </c>
      <c r="Y62" s="370"/>
      <c r="Z62" s="371">
        <v>0</v>
      </c>
      <c r="AA62" s="372">
        <f t="shared" si="8"/>
        <v>0</v>
      </c>
      <c r="AB62" s="366">
        <f t="shared" si="9"/>
        <v>0</v>
      </c>
    </row>
    <row r="63" spans="1:28" ht="36" x14ac:dyDescent="0.15">
      <c r="A63" s="374" t="s">
        <v>291</v>
      </c>
      <c r="B63" s="375" t="s">
        <v>237</v>
      </c>
      <c r="C63" s="376">
        <v>3.8639999999999999</v>
      </c>
      <c r="D63" s="377">
        <v>5500404</v>
      </c>
      <c r="E63" s="378">
        <f t="shared" si="0"/>
        <v>183347</v>
      </c>
      <c r="F63" s="377">
        <f t="shared" si="1"/>
        <v>66004848</v>
      </c>
      <c r="G63" s="378">
        <v>0</v>
      </c>
      <c r="H63" s="378">
        <v>15278.9</v>
      </c>
      <c r="I63" s="377">
        <f t="shared" si="2"/>
        <v>1833.4679999999998</v>
      </c>
      <c r="J63" s="378">
        <v>15278.9</v>
      </c>
      <c r="K63" s="378">
        <f t="shared" si="3"/>
        <v>7639.45</v>
      </c>
      <c r="L63" s="378">
        <v>22001.615999999998</v>
      </c>
      <c r="M63" s="378">
        <v>15584.478000000001</v>
      </c>
      <c r="N63" s="378">
        <v>12760.937279999998</v>
      </c>
      <c r="O63" s="378">
        <v>3666.9359999999997</v>
      </c>
      <c r="P63" s="378">
        <v>1186.25</v>
      </c>
      <c r="Q63" s="378">
        <v>5500.4039999999995</v>
      </c>
      <c r="R63" s="378">
        <v>7333.8719999999994</v>
      </c>
      <c r="S63" s="378">
        <v>0</v>
      </c>
      <c r="T63" s="378">
        <v>1776.4222222222222</v>
      </c>
      <c r="U63" s="378">
        <f t="shared" si="4"/>
        <v>293188.63350222219</v>
      </c>
      <c r="V63" s="379">
        <f t="shared" si="5"/>
        <v>0.59909152318948333</v>
      </c>
      <c r="W63" s="380">
        <f t="shared" si="6"/>
        <v>0.6</v>
      </c>
      <c r="X63" s="381">
        <f t="shared" si="7"/>
        <v>293355</v>
      </c>
      <c r="Y63" s="382">
        <v>1</v>
      </c>
      <c r="Z63" s="383">
        <v>0.8</v>
      </c>
      <c r="AA63" s="384">
        <f t="shared" si="8"/>
        <v>0.8</v>
      </c>
      <c r="AB63" s="385">
        <f t="shared" si="9"/>
        <v>0.48</v>
      </c>
    </row>
    <row r="64" spans="1:28" ht="36" x14ac:dyDescent="0.15">
      <c r="A64" s="367" t="s">
        <v>292</v>
      </c>
      <c r="B64" s="368" t="s">
        <v>237</v>
      </c>
      <c r="C64" s="358">
        <v>3.8639999999999999</v>
      </c>
      <c r="D64" s="369">
        <v>5500404</v>
      </c>
      <c r="E64" s="359">
        <f t="shared" si="0"/>
        <v>183347</v>
      </c>
      <c r="F64" s="369">
        <f t="shared" si="1"/>
        <v>66004848</v>
      </c>
      <c r="G64" s="359">
        <v>0</v>
      </c>
      <c r="H64" s="359">
        <v>15278.9</v>
      </c>
      <c r="I64" s="369">
        <f t="shared" si="2"/>
        <v>1833.4679999999998</v>
      </c>
      <c r="J64" s="359">
        <v>15278.9</v>
      </c>
      <c r="K64" s="359">
        <f t="shared" si="3"/>
        <v>7639.45</v>
      </c>
      <c r="L64" s="359">
        <v>22001.615999999998</v>
      </c>
      <c r="M64" s="359">
        <v>15584.478000000001</v>
      </c>
      <c r="N64" s="359">
        <v>12760.937279999998</v>
      </c>
      <c r="O64" s="359">
        <v>3666.9359999999997</v>
      </c>
      <c r="P64" s="359">
        <v>1186.25</v>
      </c>
      <c r="Q64" s="359">
        <v>5500.4039999999995</v>
      </c>
      <c r="R64" s="359">
        <v>7333.8719999999994</v>
      </c>
      <c r="S64" s="359">
        <v>0</v>
      </c>
      <c r="T64" s="359">
        <v>1776.4222222222222</v>
      </c>
      <c r="U64" s="359">
        <f t="shared" si="4"/>
        <v>293188.63350222219</v>
      </c>
      <c r="V64" s="360">
        <f t="shared" si="5"/>
        <v>0.59909152318948333</v>
      </c>
      <c r="W64" s="361">
        <f t="shared" si="6"/>
        <v>0.6</v>
      </c>
      <c r="X64" s="362">
        <f t="shared" si="7"/>
        <v>293355</v>
      </c>
      <c r="Y64" s="370"/>
      <c r="Z64" s="371">
        <v>0</v>
      </c>
      <c r="AA64" s="372">
        <f t="shared" si="8"/>
        <v>0</v>
      </c>
      <c r="AB64" s="366">
        <f t="shared" si="9"/>
        <v>0</v>
      </c>
    </row>
    <row r="65" spans="1:28" ht="12" x14ac:dyDescent="0.15">
      <c r="A65" s="367" t="s">
        <v>301</v>
      </c>
      <c r="B65" s="368" t="s">
        <v>237</v>
      </c>
      <c r="C65" s="358">
        <v>3.8639999999999999</v>
      </c>
      <c r="D65" s="369">
        <v>5500404</v>
      </c>
      <c r="E65" s="359">
        <f t="shared" si="0"/>
        <v>183347</v>
      </c>
      <c r="F65" s="369">
        <f t="shared" si="1"/>
        <v>66004848</v>
      </c>
      <c r="G65" s="359">
        <v>0</v>
      </c>
      <c r="H65" s="359">
        <v>15278.9</v>
      </c>
      <c r="I65" s="369">
        <f t="shared" si="2"/>
        <v>1833.4679999999998</v>
      </c>
      <c r="J65" s="359">
        <v>15278.9</v>
      </c>
      <c r="K65" s="359">
        <f t="shared" si="3"/>
        <v>7639.45</v>
      </c>
      <c r="L65" s="359">
        <v>22001.615999999998</v>
      </c>
      <c r="M65" s="359">
        <v>15584.478000000001</v>
      </c>
      <c r="N65" s="359">
        <v>12760.937279999998</v>
      </c>
      <c r="O65" s="359">
        <v>3666.9359999999997</v>
      </c>
      <c r="P65" s="359">
        <v>1186.25</v>
      </c>
      <c r="Q65" s="359">
        <v>5500.4039999999995</v>
      </c>
      <c r="R65" s="359">
        <v>7333.8719999999994</v>
      </c>
      <c r="S65" s="359">
        <v>0</v>
      </c>
      <c r="T65" s="359">
        <v>1776.4222222222222</v>
      </c>
      <c r="U65" s="359">
        <f t="shared" si="4"/>
        <v>293188.63350222219</v>
      </c>
      <c r="V65" s="360">
        <f t="shared" si="5"/>
        <v>0.59909152318948333</v>
      </c>
      <c r="W65" s="361">
        <f t="shared" si="6"/>
        <v>0.6</v>
      </c>
      <c r="X65" s="362">
        <f t="shared" si="7"/>
        <v>293355</v>
      </c>
      <c r="Y65" s="370"/>
      <c r="Z65" s="371">
        <v>0</v>
      </c>
      <c r="AA65" s="372">
        <f t="shared" si="8"/>
        <v>0</v>
      </c>
      <c r="AB65" s="366">
        <f t="shared" si="9"/>
        <v>0</v>
      </c>
    </row>
    <row r="66" spans="1:28" ht="12" x14ac:dyDescent="0.15">
      <c r="A66" s="367" t="s">
        <v>293</v>
      </c>
      <c r="B66" s="368" t="s">
        <v>237</v>
      </c>
      <c r="C66" s="358">
        <v>3.8639999999999999</v>
      </c>
      <c r="D66" s="369">
        <v>5500404</v>
      </c>
      <c r="E66" s="359">
        <f t="shared" si="0"/>
        <v>183347</v>
      </c>
      <c r="F66" s="369">
        <f t="shared" si="1"/>
        <v>66004848</v>
      </c>
      <c r="G66" s="359">
        <v>0</v>
      </c>
      <c r="H66" s="359">
        <v>15278.9</v>
      </c>
      <c r="I66" s="369">
        <f t="shared" si="2"/>
        <v>1833.4679999999998</v>
      </c>
      <c r="J66" s="359">
        <v>15278.9</v>
      </c>
      <c r="K66" s="359">
        <f t="shared" si="3"/>
        <v>7639.45</v>
      </c>
      <c r="L66" s="359">
        <v>22001.615999999998</v>
      </c>
      <c r="M66" s="359">
        <v>15584.478000000001</v>
      </c>
      <c r="N66" s="359">
        <v>12760.937279999998</v>
      </c>
      <c r="O66" s="359">
        <v>3666.9359999999997</v>
      </c>
      <c r="P66" s="359">
        <v>1186.25</v>
      </c>
      <c r="Q66" s="359">
        <v>5500.4039999999995</v>
      </c>
      <c r="R66" s="359">
        <v>7333.8719999999994</v>
      </c>
      <c r="S66" s="359">
        <v>0</v>
      </c>
      <c r="T66" s="359">
        <v>1776.4222222222222</v>
      </c>
      <c r="U66" s="359">
        <f t="shared" si="4"/>
        <v>293188.63350222219</v>
      </c>
      <c r="V66" s="360">
        <f t="shared" si="5"/>
        <v>0.59909152318948333</v>
      </c>
      <c r="W66" s="361">
        <f t="shared" si="6"/>
        <v>0.6</v>
      </c>
      <c r="X66" s="362">
        <f t="shared" si="7"/>
        <v>293355</v>
      </c>
      <c r="Y66" s="370">
        <v>0</v>
      </c>
      <c r="Z66" s="371">
        <v>0</v>
      </c>
      <c r="AA66" s="372">
        <f t="shared" si="8"/>
        <v>0</v>
      </c>
      <c r="AB66" s="366">
        <f t="shared" si="9"/>
        <v>0</v>
      </c>
    </row>
    <row r="67" spans="1:28" ht="12" x14ac:dyDescent="0.15">
      <c r="A67" s="367" t="s">
        <v>294</v>
      </c>
      <c r="B67" s="368" t="s">
        <v>237</v>
      </c>
      <c r="C67" s="358">
        <v>5.2690000000000001</v>
      </c>
      <c r="D67" s="369">
        <v>7500421.5</v>
      </c>
      <c r="E67" s="359">
        <f t="shared" si="0"/>
        <v>250014</v>
      </c>
      <c r="F67" s="369">
        <f t="shared" si="1"/>
        <v>90005058</v>
      </c>
      <c r="G67" s="359">
        <v>0</v>
      </c>
      <c r="H67" s="359">
        <v>20834.504166666666</v>
      </c>
      <c r="I67" s="369">
        <f t="shared" si="2"/>
        <v>2500.1405</v>
      </c>
      <c r="J67" s="359">
        <v>20834.504166666666</v>
      </c>
      <c r="K67" s="359">
        <f t="shared" si="3"/>
        <v>10417.252083333333</v>
      </c>
      <c r="L67" s="359">
        <v>30001.685999999998</v>
      </c>
      <c r="M67" s="359">
        <v>21251.19425</v>
      </c>
      <c r="N67" s="359">
        <v>17400.977879999999</v>
      </c>
      <c r="O67" s="359">
        <v>5000.2810000000009</v>
      </c>
      <c r="P67" s="359">
        <v>1186.25</v>
      </c>
      <c r="Q67" s="359">
        <v>7500.4214999999995</v>
      </c>
      <c r="R67" s="359">
        <v>10000.562000000002</v>
      </c>
      <c r="S67" s="359">
        <v>0</v>
      </c>
      <c r="T67" s="359">
        <v>1776.4222222222222</v>
      </c>
      <c r="U67" s="359">
        <f t="shared" si="4"/>
        <v>398718.19576888892</v>
      </c>
      <c r="V67" s="360">
        <f t="shared" si="5"/>
        <v>0.59478347520094443</v>
      </c>
      <c r="W67" s="361">
        <f t="shared" si="6"/>
        <v>0.6</v>
      </c>
      <c r="X67" s="362">
        <f t="shared" si="7"/>
        <v>400022</v>
      </c>
      <c r="Y67" s="370"/>
      <c r="Z67" s="371">
        <v>0</v>
      </c>
      <c r="AA67" s="372">
        <f t="shared" si="8"/>
        <v>0</v>
      </c>
      <c r="AB67" s="366">
        <f t="shared" si="9"/>
        <v>0</v>
      </c>
    </row>
    <row r="68" spans="1:28" ht="12" x14ac:dyDescent="0.15">
      <c r="A68" s="367" t="s">
        <v>295</v>
      </c>
      <c r="B68" s="368" t="s">
        <v>237</v>
      </c>
      <c r="C68" s="358">
        <v>5.2690000000000001</v>
      </c>
      <c r="D68" s="369">
        <v>7500421.5</v>
      </c>
      <c r="E68" s="359">
        <f t="shared" ref="E68:E69" si="10">ROUND(+D68/30,0)</f>
        <v>250014</v>
      </c>
      <c r="F68" s="369">
        <f t="shared" ref="F68:F69" si="11">+D68*12</f>
        <v>90005058</v>
      </c>
      <c r="G68" s="359">
        <v>0</v>
      </c>
      <c r="H68" s="359">
        <v>20834.504166666666</v>
      </c>
      <c r="I68" s="369">
        <f t="shared" ref="I68:I69" si="12">+H68*0.12</f>
        <v>2500.1405</v>
      </c>
      <c r="J68" s="359">
        <v>20834.504166666666</v>
      </c>
      <c r="K68" s="359">
        <f t="shared" ref="K68:K69" si="13">(+D68/2)/360</f>
        <v>10417.252083333333</v>
      </c>
      <c r="L68" s="359">
        <v>30001.685999999998</v>
      </c>
      <c r="M68" s="359">
        <v>21251.19425</v>
      </c>
      <c r="N68" s="359">
        <v>17400.977879999999</v>
      </c>
      <c r="O68" s="359">
        <v>5000.2810000000009</v>
      </c>
      <c r="P68" s="359">
        <v>1186.25</v>
      </c>
      <c r="Q68" s="359">
        <v>7500.4214999999995</v>
      </c>
      <c r="R68" s="359">
        <v>10000.562000000002</v>
      </c>
      <c r="S68" s="359">
        <v>0</v>
      </c>
      <c r="T68" s="359">
        <v>1776.4222222222222</v>
      </c>
      <c r="U68" s="359">
        <f t="shared" ref="U68:U69" si="14">SUM(G68:T68)+E68</f>
        <v>398718.19576888892</v>
      </c>
      <c r="V68" s="360">
        <f t="shared" ref="V68:V69" si="15">+U68/E68-1</f>
        <v>0.59478347520094443</v>
      </c>
      <c r="W68" s="361">
        <f t="shared" ref="W68:W69" si="16">+ROUNDUP(V68,2)</f>
        <v>0.6</v>
      </c>
      <c r="X68" s="362">
        <f t="shared" ref="X68:X69" si="17">ROUND(W68*E68+E68,0)</f>
        <v>400022</v>
      </c>
      <c r="Y68" s="370"/>
      <c r="Z68" s="371">
        <v>0</v>
      </c>
      <c r="AA68" s="372">
        <f t="shared" ref="AA68:AA69" si="18">+Y68*Z68</f>
        <v>0</v>
      </c>
      <c r="AB68" s="366">
        <f t="shared" ref="AB68:AB69" si="19">+W68*AA68</f>
        <v>0</v>
      </c>
    </row>
    <row r="69" spans="1:28" ht="13" thickBot="1" x14ac:dyDescent="0.2">
      <c r="A69" s="374" t="s">
        <v>296</v>
      </c>
      <c r="B69" s="375" t="s">
        <v>237</v>
      </c>
      <c r="C69" s="376">
        <v>5.2690000000000001</v>
      </c>
      <c r="D69" s="377">
        <v>7500421.5</v>
      </c>
      <c r="E69" s="377">
        <f t="shared" si="10"/>
        <v>250014</v>
      </c>
      <c r="F69" s="377">
        <f t="shared" si="11"/>
        <v>90005058</v>
      </c>
      <c r="G69" s="377">
        <v>0</v>
      </c>
      <c r="H69" s="377">
        <v>20834.504166666666</v>
      </c>
      <c r="I69" s="377">
        <f t="shared" si="12"/>
        <v>2500.1405</v>
      </c>
      <c r="J69" s="377">
        <v>20834.504166666666</v>
      </c>
      <c r="K69" s="377">
        <f t="shared" si="13"/>
        <v>10417.252083333333</v>
      </c>
      <c r="L69" s="377">
        <v>30001.685999999998</v>
      </c>
      <c r="M69" s="377">
        <v>21251.19425</v>
      </c>
      <c r="N69" s="377">
        <v>17400.977879999999</v>
      </c>
      <c r="O69" s="377">
        <v>5000.2810000000009</v>
      </c>
      <c r="P69" s="378">
        <v>1186.25</v>
      </c>
      <c r="Q69" s="377">
        <v>7500.4214999999995</v>
      </c>
      <c r="R69" s="377">
        <v>10000.562000000002</v>
      </c>
      <c r="S69" s="377">
        <v>0</v>
      </c>
      <c r="T69" s="377">
        <v>1776.4222222222222</v>
      </c>
      <c r="U69" s="377">
        <f t="shared" si="14"/>
        <v>398718.19576888892</v>
      </c>
      <c r="V69" s="387">
        <f t="shared" si="15"/>
        <v>0.59478347520094443</v>
      </c>
      <c r="W69" s="380">
        <f t="shared" si="16"/>
        <v>0.6</v>
      </c>
      <c r="X69" s="381">
        <f t="shared" si="17"/>
        <v>400022</v>
      </c>
      <c r="Y69" s="382">
        <v>1</v>
      </c>
      <c r="Z69" s="383">
        <v>0.6</v>
      </c>
      <c r="AA69" s="384">
        <f t="shared" si="18"/>
        <v>0.6</v>
      </c>
      <c r="AB69" s="388">
        <f t="shared" si="19"/>
        <v>0.36</v>
      </c>
    </row>
    <row r="70" spans="1:28" ht="12" thickBot="1" x14ac:dyDescent="0.2">
      <c r="A70" s="389" t="s">
        <v>297</v>
      </c>
      <c r="B70" s="390"/>
      <c r="C70" s="390"/>
      <c r="D70" s="390"/>
      <c r="E70" s="390"/>
      <c r="F70" s="390"/>
      <c r="G70" s="390"/>
      <c r="H70" s="390"/>
      <c r="I70" s="390"/>
      <c r="J70" s="390"/>
      <c r="K70" s="390"/>
      <c r="L70" s="390"/>
      <c r="M70" s="390"/>
      <c r="N70" s="390"/>
      <c r="O70" s="390"/>
      <c r="P70" s="390"/>
      <c r="Q70" s="390"/>
      <c r="R70" s="390"/>
      <c r="S70" s="390"/>
      <c r="T70" s="390"/>
      <c r="U70" s="390"/>
      <c r="V70" s="390"/>
      <c r="W70" s="390"/>
      <c r="X70" s="390"/>
      <c r="Y70" s="390"/>
      <c r="Z70" s="390"/>
      <c r="AA70" s="391">
        <f>SUM(AA13:AA69)</f>
        <v>15.95</v>
      </c>
      <c r="AB70" s="391">
        <f>SUM(AB13:AB69)</f>
        <v>10.489999999999998</v>
      </c>
    </row>
    <row r="71" spans="1:28" ht="12" thickBot="1" x14ac:dyDescent="0.2">
      <c r="A71" s="389" t="s">
        <v>186</v>
      </c>
      <c r="B71" s="392"/>
      <c r="C71" s="393"/>
      <c r="D71" s="394"/>
      <c r="E71" s="395"/>
      <c r="F71" s="396"/>
      <c r="G71" s="396"/>
      <c r="H71" s="396"/>
      <c r="I71" s="396"/>
      <c r="J71" s="396"/>
      <c r="K71" s="396"/>
      <c r="L71" s="396"/>
      <c r="M71" s="396"/>
      <c r="N71" s="396"/>
      <c r="O71" s="396"/>
      <c r="P71" s="396"/>
      <c r="Q71" s="396"/>
      <c r="R71" s="396"/>
      <c r="S71" s="396"/>
      <c r="T71" s="396"/>
      <c r="U71" s="397"/>
      <c r="V71" s="397"/>
      <c r="W71" s="398" t="s">
        <v>298</v>
      </c>
      <c r="X71" s="399" t="s">
        <v>298</v>
      </c>
      <c r="Y71" s="400"/>
      <c r="Z71" s="401"/>
      <c r="AA71" s="552">
        <f>ROUND(+AB70/AA70,2)</f>
        <v>0.66</v>
      </c>
      <c r="AB71" s="553"/>
    </row>
    <row r="72" spans="1:28" x14ac:dyDescent="0.15">
      <c r="A72" s="402"/>
      <c r="B72" s="403"/>
      <c r="C72" s="404"/>
      <c r="D72" s="402"/>
      <c r="E72" s="405"/>
      <c r="F72" s="402"/>
      <c r="G72" s="402"/>
      <c r="H72" s="402"/>
      <c r="I72" s="402"/>
      <c r="J72" s="402"/>
      <c r="K72" s="402"/>
      <c r="L72" s="402"/>
      <c r="M72" s="402"/>
      <c r="N72" s="402"/>
      <c r="O72" s="402"/>
      <c r="P72" s="402"/>
      <c r="Q72" s="402"/>
      <c r="R72" s="402"/>
      <c r="S72" s="402"/>
      <c r="T72" s="402"/>
      <c r="U72" s="402"/>
      <c r="V72" s="402"/>
      <c r="W72" s="402"/>
      <c r="X72" s="406"/>
      <c r="Y72" s="402"/>
      <c r="Z72" s="402"/>
      <c r="AA72" s="402"/>
      <c r="AB72" s="407"/>
    </row>
    <row r="73" spans="1:28" x14ac:dyDescent="0.15">
      <c r="A73" s="402"/>
      <c r="B73" s="403"/>
      <c r="C73" s="404"/>
      <c r="D73" s="402"/>
      <c r="E73" s="408"/>
      <c r="F73" s="402"/>
      <c r="G73" s="402"/>
      <c r="H73" s="402"/>
      <c r="I73" s="402"/>
      <c r="J73" s="402"/>
      <c r="K73" s="402"/>
      <c r="L73" s="402"/>
      <c r="M73" s="402"/>
      <c r="N73" s="402"/>
      <c r="O73" s="402"/>
      <c r="P73" s="402"/>
      <c r="Q73" s="402"/>
      <c r="R73" s="402"/>
      <c r="S73" s="402"/>
      <c r="T73" s="402"/>
      <c r="U73" s="402"/>
      <c r="V73" s="402"/>
      <c r="W73" s="409"/>
      <c r="X73" s="406"/>
      <c r="Y73" s="402"/>
      <c r="Z73" s="402"/>
      <c r="AA73" s="402"/>
      <c r="AB73" s="407"/>
    </row>
    <row r="74" spans="1:28" x14ac:dyDescent="0.15">
      <c r="A74" s="402"/>
      <c r="B74" s="403"/>
      <c r="C74" s="404"/>
      <c r="D74" s="402"/>
      <c r="E74" s="408"/>
      <c r="F74" s="402"/>
      <c r="G74" s="402"/>
      <c r="H74" s="402"/>
      <c r="I74" s="402"/>
      <c r="J74" s="402"/>
      <c r="K74" s="402"/>
      <c r="L74" s="402"/>
      <c r="M74" s="402"/>
      <c r="N74" s="402"/>
      <c r="O74" s="402"/>
      <c r="P74" s="402"/>
      <c r="Q74" s="402"/>
      <c r="R74" s="402"/>
      <c r="S74" s="402"/>
      <c r="T74" s="402"/>
      <c r="U74" s="402"/>
      <c r="V74" s="402"/>
      <c r="W74" s="409"/>
      <c r="X74" s="406"/>
      <c r="Y74" s="402"/>
      <c r="Z74" s="402"/>
      <c r="AA74" s="402"/>
      <c r="AB74" s="407"/>
    </row>
    <row r="75" spans="1:28" x14ac:dyDescent="0.15">
      <c r="A75" s="402"/>
      <c r="B75" s="403"/>
      <c r="C75" s="404"/>
      <c r="D75" s="402"/>
      <c r="E75" s="408"/>
      <c r="F75" s="402"/>
      <c r="G75" s="402"/>
      <c r="H75" s="402"/>
      <c r="I75" s="402"/>
      <c r="J75" s="402"/>
      <c r="K75" s="402"/>
      <c r="L75" s="402"/>
      <c r="M75" s="402"/>
      <c r="N75" s="402"/>
      <c r="O75" s="402"/>
      <c r="P75" s="402"/>
      <c r="Q75" s="402"/>
      <c r="R75" s="402"/>
      <c r="S75" s="402"/>
      <c r="T75" s="402"/>
      <c r="U75" s="402"/>
      <c r="V75" s="402"/>
      <c r="W75" s="409"/>
      <c r="X75" s="406"/>
      <c r="Y75" s="402"/>
      <c r="Z75" s="402"/>
      <c r="AA75" s="402"/>
      <c r="AB75" s="407"/>
    </row>
    <row r="76" spans="1:28" x14ac:dyDescent="0.15">
      <c r="A76" s="402"/>
      <c r="B76" s="403"/>
      <c r="C76" s="404"/>
      <c r="D76" s="402"/>
      <c r="E76" s="408"/>
      <c r="F76" s="402"/>
      <c r="G76" s="402"/>
      <c r="H76" s="402"/>
      <c r="I76" s="402"/>
      <c r="J76" s="402"/>
      <c r="K76" s="402"/>
      <c r="L76" s="402"/>
      <c r="M76" s="402"/>
      <c r="N76" s="402"/>
      <c r="O76" s="402"/>
      <c r="P76" s="402"/>
      <c r="Q76" s="402"/>
      <c r="R76" s="402"/>
      <c r="S76" s="402"/>
      <c r="T76" s="402"/>
      <c r="U76" s="402"/>
      <c r="V76" s="402"/>
      <c r="W76" s="409"/>
      <c r="X76" s="406"/>
      <c r="Y76" s="402"/>
      <c r="Z76" s="402"/>
      <c r="AA76" s="402"/>
      <c r="AB76" s="407"/>
    </row>
    <row r="77" spans="1:28" x14ac:dyDescent="0.15">
      <c r="A77" s="402"/>
      <c r="B77" s="403"/>
      <c r="C77" s="404"/>
      <c r="D77" s="402"/>
      <c r="E77" s="408"/>
      <c r="F77" s="402"/>
      <c r="G77" s="402"/>
      <c r="H77" s="402"/>
      <c r="I77" s="402"/>
      <c r="J77" s="402"/>
      <c r="K77" s="402"/>
      <c r="L77" s="402"/>
      <c r="M77" s="402"/>
      <c r="N77" s="402"/>
      <c r="O77" s="402"/>
      <c r="P77" s="402"/>
      <c r="Q77" s="402"/>
      <c r="R77" s="402"/>
      <c r="S77" s="402"/>
      <c r="T77" s="402"/>
      <c r="U77" s="402"/>
      <c r="V77" s="402"/>
      <c r="W77" s="409"/>
      <c r="X77" s="406"/>
      <c r="Y77" s="402"/>
      <c r="Z77" s="402"/>
      <c r="AA77" s="402"/>
      <c r="AB77" s="407"/>
    </row>
    <row r="78" spans="1:28" x14ac:dyDescent="0.15">
      <c r="A78" s="402"/>
      <c r="B78" s="403"/>
      <c r="C78" s="404"/>
      <c r="D78" s="402"/>
      <c r="E78" s="408"/>
      <c r="F78" s="402"/>
      <c r="G78" s="402"/>
      <c r="H78" s="402"/>
      <c r="I78" s="402"/>
      <c r="J78" s="402"/>
      <c r="K78" s="402"/>
      <c r="L78" s="402"/>
      <c r="M78" s="402"/>
      <c r="N78" s="402"/>
      <c r="O78" s="402"/>
      <c r="P78" s="402"/>
      <c r="Q78" s="402"/>
      <c r="R78" s="402"/>
      <c r="S78" s="402"/>
      <c r="T78" s="402"/>
      <c r="U78" s="402"/>
      <c r="V78" s="402"/>
      <c r="W78" s="409"/>
      <c r="X78" s="406"/>
      <c r="Y78" s="402"/>
      <c r="Z78" s="402"/>
      <c r="AA78" s="402"/>
      <c r="AB78" s="407"/>
    </row>
    <row r="79" spans="1:28" x14ac:dyDescent="0.15">
      <c r="A79" s="402"/>
      <c r="B79" s="403"/>
      <c r="C79" s="404"/>
      <c r="D79" s="402"/>
      <c r="E79" s="408"/>
      <c r="F79" s="402"/>
      <c r="G79" s="402"/>
      <c r="H79" s="402"/>
      <c r="I79" s="402"/>
      <c r="J79" s="402"/>
      <c r="K79" s="402"/>
      <c r="L79" s="402"/>
      <c r="M79" s="402"/>
      <c r="N79" s="402"/>
      <c r="O79" s="402"/>
      <c r="P79" s="402"/>
      <c r="Q79" s="402"/>
      <c r="R79" s="402"/>
      <c r="S79" s="402"/>
      <c r="T79" s="402"/>
      <c r="U79" s="402"/>
      <c r="V79" s="402"/>
      <c r="W79" s="409"/>
      <c r="X79" s="406"/>
      <c r="Y79" s="402"/>
      <c r="Z79" s="402"/>
      <c r="AA79" s="402"/>
      <c r="AB79" s="407"/>
    </row>
    <row r="80" spans="1:28" x14ac:dyDescent="0.15">
      <c r="A80" s="402"/>
      <c r="B80" s="403"/>
      <c r="C80" s="404"/>
      <c r="D80" s="402"/>
      <c r="E80" s="408"/>
      <c r="F80" s="402"/>
      <c r="G80" s="402"/>
      <c r="H80" s="402"/>
      <c r="I80" s="402"/>
      <c r="J80" s="402"/>
      <c r="K80" s="402"/>
      <c r="L80" s="402"/>
      <c r="M80" s="402"/>
      <c r="N80" s="402"/>
      <c r="O80" s="402"/>
      <c r="P80" s="402"/>
      <c r="Q80" s="402"/>
      <c r="R80" s="402"/>
      <c r="S80" s="402"/>
      <c r="T80" s="402"/>
      <c r="U80" s="402"/>
      <c r="V80" s="402"/>
      <c r="W80" s="409"/>
      <c r="X80" s="406"/>
      <c r="Y80" s="402"/>
      <c r="Z80" s="402"/>
      <c r="AA80" s="402"/>
      <c r="AB80" s="407"/>
    </row>
    <row r="81" spans="1:28" x14ac:dyDescent="0.15">
      <c r="A81" s="402"/>
      <c r="B81" s="403"/>
      <c r="C81" s="404"/>
      <c r="D81" s="402"/>
      <c r="E81" s="408"/>
      <c r="F81" s="402"/>
      <c r="G81" s="402"/>
      <c r="H81" s="402"/>
      <c r="I81" s="402"/>
      <c r="J81" s="402"/>
      <c r="K81" s="402"/>
      <c r="L81" s="402"/>
      <c r="M81" s="402"/>
      <c r="N81" s="402"/>
      <c r="O81" s="402"/>
      <c r="P81" s="402"/>
      <c r="Q81" s="402"/>
      <c r="R81" s="402"/>
      <c r="S81" s="402"/>
      <c r="T81" s="402"/>
      <c r="U81" s="402"/>
      <c r="V81" s="402"/>
      <c r="W81" s="409"/>
      <c r="X81" s="406"/>
      <c r="Y81" s="402"/>
      <c r="Z81" s="402"/>
      <c r="AA81" s="402"/>
      <c r="AB81" s="407"/>
    </row>
    <row r="82" spans="1:28" x14ac:dyDescent="0.15">
      <c r="A82" s="402"/>
      <c r="B82" s="403"/>
      <c r="C82" s="404"/>
      <c r="D82" s="402"/>
      <c r="E82" s="408"/>
      <c r="F82" s="402"/>
      <c r="G82" s="402"/>
      <c r="H82" s="402"/>
      <c r="I82" s="402"/>
      <c r="J82" s="402"/>
      <c r="K82" s="402"/>
      <c r="L82" s="402"/>
      <c r="M82" s="402"/>
      <c r="N82" s="402"/>
      <c r="O82" s="402"/>
      <c r="P82" s="402"/>
      <c r="Q82" s="402"/>
      <c r="R82" s="402"/>
      <c r="S82" s="402"/>
      <c r="T82" s="402"/>
      <c r="U82" s="402"/>
      <c r="V82" s="402"/>
      <c r="W82" s="409"/>
      <c r="X82" s="406"/>
      <c r="Y82" s="402"/>
      <c r="Z82" s="402"/>
      <c r="AA82" s="402"/>
      <c r="AB82" s="407"/>
    </row>
    <row r="83" spans="1:28" x14ac:dyDescent="0.15">
      <c r="A83" s="402"/>
      <c r="B83" s="403"/>
      <c r="C83" s="404"/>
      <c r="D83" s="402"/>
      <c r="E83" s="408"/>
      <c r="F83" s="402"/>
      <c r="G83" s="402"/>
      <c r="H83" s="402"/>
      <c r="I83" s="402"/>
      <c r="J83" s="402"/>
      <c r="K83" s="402"/>
      <c r="L83" s="402"/>
      <c r="M83" s="402"/>
      <c r="N83" s="402"/>
      <c r="O83" s="402"/>
      <c r="P83" s="402"/>
      <c r="Q83" s="402"/>
      <c r="R83" s="402"/>
      <c r="S83" s="402"/>
      <c r="T83" s="402"/>
      <c r="U83" s="402"/>
      <c r="V83" s="402"/>
      <c r="W83" s="409"/>
      <c r="X83" s="406"/>
      <c r="Y83" s="402"/>
      <c r="Z83" s="402"/>
      <c r="AA83" s="402"/>
      <c r="AB83" s="407"/>
    </row>
    <row r="84" spans="1:28" x14ac:dyDescent="0.15">
      <c r="A84" s="402"/>
      <c r="B84" s="403"/>
      <c r="C84" s="404"/>
      <c r="D84" s="402"/>
      <c r="E84" s="403"/>
      <c r="F84" s="402"/>
      <c r="G84" s="402"/>
      <c r="H84" s="402"/>
      <c r="I84" s="402"/>
      <c r="J84" s="402"/>
      <c r="K84" s="402"/>
      <c r="L84" s="402"/>
      <c r="M84" s="402"/>
      <c r="N84" s="402"/>
      <c r="O84" s="402"/>
      <c r="P84" s="402"/>
      <c r="Q84" s="402"/>
      <c r="R84" s="402"/>
      <c r="S84" s="402"/>
      <c r="T84" s="402"/>
      <c r="U84" s="402"/>
      <c r="V84" s="402"/>
      <c r="W84" s="402"/>
      <c r="X84" s="410"/>
      <c r="Y84" s="402"/>
      <c r="Z84" s="402"/>
      <c r="AA84" s="402"/>
      <c r="AB84" s="407"/>
    </row>
    <row r="85" spans="1:28" x14ac:dyDescent="0.15">
      <c r="A85" s="402"/>
      <c r="B85" s="403"/>
      <c r="C85" s="404"/>
      <c r="D85" s="402"/>
      <c r="E85" s="408"/>
      <c r="F85" s="402"/>
      <c r="G85" s="402"/>
      <c r="H85" s="402"/>
      <c r="I85" s="402"/>
      <c r="J85" s="402"/>
      <c r="K85" s="402"/>
      <c r="L85" s="402"/>
      <c r="M85" s="402"/>
      <c r="N85" s="402"/>
      <c r="O85" s="402"/>
      <c r="P85" s="402"/>
      <c r="Q85" s="402"/>
      <c r="R85" s="402"/>
      <c r="S85" s="402"/>
      <c r="T85" s="402"/>
      <c r="U85" s="402"/>
      <c r="V85" s="402"/>
      <c r="W85" s="409"/>
      <c r="X85" s="406"/>
      <c r="Y85" s="402"/>
      <c r="Z85" s="402"/>
      <c r="AA85" s="402"/>
      <c r="AB85" s="407"/>
    </row>
    <row r="86" spans="1:28" x14ac:dyDescent="0.15">
      <c r="A86" s="402"/>
      <c r="B86" s="403"/>
      <c r="C86" s="404"/>
      <c r="D86" s="402"/>
      <c r="E86" s="408"/>
      <c r="F86" s="402"/>
      <c r="G86" s="402"/>
      <c r="H86" s="402"/>
      <c r="I86" s="402"/>
      <c r="J86" s="402"/>
      <c r="K86" s="402"/>
      <c r="L86" s="402"/>
      <c r="M86" s="402"/>
      <c r="N86" s="402"/>
      <c r="O86" s="402"/>
      <c r="P86" s="402"/>
      <c r="Q86" s="402"/>
      <c r="R86" s="402"/>
      <c r="S86" s="402"/>
      <c r="T86" s="402"/>
      <c r="U86" s="402"/>
      <c r="V86" s="402"/>
      <c r="W86" s="409"/>
      <c r="X86" s="406"/>
      <c r="Y86" s="402"/>
      <c r="Z86" s="402"/>
      <c r="AA86" s="402"/>
      <c r="AB86" s="407"/>
    </row>
    <row r="87" spans="1:28" x14ac:dyDescent="0.15">
      <c r="A87" s="402"/>
      <c r="B87" s="403"/>
      <c r="C87" s="404"/>
      <c r="D87" s="402"/>
      <c r="E87" s="403"/>
      <c r="F87" s="402"/>
      <c r="G87" s="402"/>
      <c r="H87" s="402"/>
      <c r="I87" s="402"/>
      <c r="J87" s="402"/>
      <c r="K87" s="402"/>
      <c r="L87" s="402"/>
      <c r="M87" s="402"/>
      <c r="N87" s="402"/>
      <c r="O87" s="402"/>
      <c r="P87" s="402"/>
      <c r="Q87" s="402"/>
      <c r="R87" s="402"/>
      <c r="S87" s="402"/>
      <c r="T87" s="402"/>
      <c r="U87" s="402"/>
      <c r="V87" s="402"/>
      <c r="W87" s="402"/>
      <c r="X87" s="410"/>
      <c r="Y87" s="402"/>
      <c r="Z87" s="402"/>
      <c r="AA87" s="402"/>
      <c r="AB87" s="407"/>
    </row>
    <row r="88" spans="1:28" x14ac:dyDescent="0.15">
      <c r="A88" s="402"/>
      <c r="B88" s="403"/>
      <c r="C88" s="404"/>
      <c r="D88" s="402"/>
      <c r="E88" s="403"/>
      <c r="F88" s="402"/>
      <c r="G88" s="402"/>
      <c r="H88" s="402"/>
      <c r="I88" s="402"/>
      <c r="J88" s="402"/>
      <c r="K88" s="402"/>
      <c r="L88" s="402"/>
      <c r="M88" s="402"/>
      <c r="N88" s="402"/>
      <c r="O88" s="402"/>
      <c r="P88" s="402"/>
      <c r="Q88" s="402"/>
      <c r="R88" s="402"/>
      <c r="S88" s="402"/>
      <c r="T88" s="402"/>
      <c r="U88" s="402"/>
      <c r="V88" s="402"/>
      <c r="W88" s="409"/>
      <c r="X88" s="410"/>
      <c r="Y88" s="402"/>
      <c r="Z88" s="402"/>
      <c r="AA88" s="402"/>
      <c r="AB88" s="407"/>
    </row>
    <row r="89" spans="1:28" x14ac:dyDescent="0.15">
      <c r="A89" s="402"/>
      <c r="B89" s="403"/>
      <c r="C89" s="404"/>
      <c r="D89" s="402"/>
      <c r="E89" s="403"/>
      <c r="F89" s="402"/>
      <c r="G89" s="402"/>
      <c r="H89" s="402"/>
      <c r="I89" s="402"/>
      <c r="J89" s="402"/>
      <c r="K89" s="402"/>
      <c r="L89" s="402"/>
      <c r="M89" s="402"/>
      <c r="N89" s="402"/>
      <c r="O89" s="402"/>
      <c r="P89" s="402"/>
      <c r="Q89" s="402"/>
      <c r="R89" s="402"/>
      <c r="S89" s="402"/>
      <c r="T89" s="402"/>
      <c r="U89" s="402"/>
      <c r="V89" s="402"/>
      <c r="W89" s="409"/>
      <c r="X89" s="410"/>
      <c r="Y89" s="402"/>
      <c r="Z89" s="402"/>
      <c r="AA89" s="402"/>
      <c r="AB89" s="407"/>
    </row>
    <row r="90" spans="1:28" x14ac:dyDescent="0.15">
      <c r="A90" s="402"/>
      <c r="B90" s="403"/>
      <c r="C90" s="404"/>
      <c r="D90" s="402"/>
      <c r="E90" s="403"/>
      <c r="F90" s="402"/>
      <c r="G90" s="402"/>
      <c r="H90" s="402"/>
      <c r="I90" s="402"/>
      <c r="J90" s="402"/>
      <c r="K90" s="402"/>
      <c r="L90" s="402"/>
      <c r="M90" s="402"/>
      <c r="N90" s="402"/>
      <c r="O90" s="402"/>
      <c r="P90" s="402"/>
      <c r="Q90" s="402"/>
      <c r="R90" s="402"/>
      <c r="S90" s="402"/>
      <c r="T90" s="402"/>
      <c r="U90" s="402"/>
      <c r="V90" s="402"/>
      <c r="W90" s="409"/>
      <c r="X90" s="410"/>
      <c r="Y90" s="402"/>
      <c r="Z90" s="402"/>
      <c r="AA90" s="402"/>
      <c r="AB90" s="407"/>
    </row>
    <row r="91" spans="1:28" x14ac:dyDescent="0.15">
      <c r="A91" s="402"/>
      <c r="B91" s="403"/>
      <c r="C91" s="404"/>
      <c r="D91" s="402"/>
      <c r="E91" s="403"/>
      <c r="F91" s="402"/>
      <c r="G91" s="402"/>
      <c r="H91" s="402"/>
      <c r="I91" s="402"/>
      <c r="J91" s="402"/>
      <c r="K91" s="402"/>
      <c r="L91" s="402"/>
      <c r="M91" s="402"/>
      <c r="N91" s="402"/>
      <c r="O91" s="402"/>
      <c r="P91" s="402"/>
      <c r="Q91" s="402"/>
      <c r="R91" s="402"/>
      <c r="S91" s="402"/>
      <c r="T91" s="402"/>
      <c r="U91" s="402"/>
      <c r="V91" s="402"/>
      <c r="W91" s="402"/>
      <c r="X91" s="410"/>
      <c r="Y91" s="402"/>
      <c r="Z91" s="402"/>
      <c r="AA91" s="402"/>
      <c r="AB91" s="407"/>
    </row>
    <row r="92" spans="1:28" x14ac:dyDescent="0.15">
      <c r="A92" s="402"/>
      <c r="B92" s="403"/>
      <c r="C92" s="404"/>
      <c r="D92" s="402"/>
      <c r="E92" s="403"/>
      <c r="F92" s="402"/>
      <c r="G92" s="402"/>
      <c r="H92" s="402"/>
      <c r="I92" s="402"/>
      <c r="J92" s="402"/>
      <c r="K92" s="402"/>
      <c r="L92" s="402"/>
      <c r="M92" s="402"/>
      <c r="N92" s="402"/>
      <c r="O92" s="402"/>
      <c r="P92" s="402"/>
      <c r="Q92" s="402"/>
      <c r="R92" s="402"/>
      <c r="S92" s="402"/>
      <c r="T92" s="402"/>
      <c r="U92" s="402"/>
      <c r="V92" s="402"/>
      <c r="W92" s="409"/>
      <c r="X92" s="410"/>
      <c r="Y92" s="402"/>
      <c r="Z92" s="402"/>
      <c r="AA92" s="402"/>
      <c r="AB92" s="407"/>
    </row>
    <row r="93" spans="1:28" x14ac:dyDescent="0.15">
      <c r="A93" s="402"/>
      <c r="B93" s="403"/>
      <c r="C93" s="404"/>
      <c r="D93" s="402"/>
      <c r="E93" s="403"/>
      <c r="F93" s="402"/>
      <c r="G93" s="402"/>
      <c r="H93" s="402"/>
      <c r="I93" s="402"/>
      <c r="J93" s="402"/>
      <c r="K93" s="402"/>
      <c r="L93" s="402"/>
      <c r="M93" s="402"/>
      <c r="N93" s="402"/>
      <c r="O93" s="402"/>
      <c r="P93" s="402"/>
      <c r="Q93" s="402"/>
      <c r="R93" s="402"/>
      <c r="S93" s="402"/>
      <c r="T93" s="402"/>
      <c r="U93" s="402"/>
      <c r="V93" s="402"/>
      <c r="W93" s="402"/>
      <c r="X93" s="410"/>
      <c r="Y93" s="402"/>
      <c r="Z93" s="402"/>
      <c r="AA93" s="402"/>
      <c r="AB93" s="407"/>
    </row>
    <row r="94" spans="1:28" x14ac:dyDescent="0.15">
      <c r="A94" s="402"/>
      <c r="B94" s="403"/>
      <c r="C94" s="404"/>
      <c r="D94" s="402"/>
      <c r="E94" s="403"/>
      <c r="F94" s="402"/>
      <c r="G94" s="402"/>
      <c r="H94" s="402"/>
      <c r="I94" s="402"/>
      <c r="J94" s="402"/>
      <c r="K94" s="402"/>
      <c r="L94" s="402"/>
      <c r="M94" s="402"/>
      <c r="N94" s="402"/>
      <c r="O94" s="402"/>
      <c r="P94" s="402"/>
      <c r="Q94" s="402"/>
      <c r="R94" s="402"/>
      <c r="S94" s="402"/>
      <c r="T94" s="402"/>
      <c r="U94" s="402"/>
      <c r="V94" s="402"/>
      <c r="W94" s="402"/>
      <c r="X94" s="410"/>
      <c r="Y94" s="402"/>
      <c r="Z94" s="402"/>
      <c r="AA94" s="402"/>
      <c r="AB94" s="407"/>
    </row>
    <row r="95" spans="1:28" x14ac:dyDescent="0.15">
      <c r="A95" s="402"/>
      <c r="B95" s="403"/>
      <c r="C95" s="404"/>
      <c r="D95" s="402"/>
      <c r="E95" s="403"/>
      <c r="F95" s="402"/>
      <c r="G95" s="402"/>
      <c r="H95" s="402"/>
      <c r="I95" s="402"/>
      <c r="J95" s="402"/>
      <c r="K95" s="402"/>
      <c r="L95" s="402"/>
      <c r="M95" s="402"/>
      <c r="N95" s="402"/>
      <c r="O95" s="402"/>
      <c r="P95" s="402"/>
      <c r="Q95" s="402"/>
      <c r="R95" s="402"/>
      <c r="S95" s="402"/>
      <c r="T95" s="402"/>
      <c r="U95" s="402"/>
      <c r="V95" s="402"/>
      <c r="W95" s="402"/>
      <c r="X95" s="410"/>
      <c r="Y95" s="402"/>
      <c r="Z95" s="402"/>
      <c r="AA95" s="402"/>
      <c r="AB95" s="407"/>
    </row>
    <row r="96" spans="1:28" x14ac:dyDescent="0.15">
      <c r="A96" s="402"/>
      <c r="B96" s="403"/>
      <c r="C96" s="404"/>
      <c r="D96" s="402"/>
      <c r="E96" s="403"/>
      <c r="F96" s="402"/>
      <c r="G96" s="402"/>
      <c r="H96" s="402"/>
      <c r="I96" s="402"/>
      <c r="J96" s="402"/>
      <c r="K96" s="402"/>
      <c r="L96" s="402"/>
      <c r="M96" s="402"/>
      <c r="N96" s="402"/>
      <c r="O96" s="402"/>
      <c r="P96" s="402"/>
      <c r="Q96" s="402"/>
      <c r="R96" s="402"/>
      <c r="S96" s="402"/>
      <c r="T96" s="402"/>
      <c r="U96" s="402"/>
      <c r="V96" s="402"/>
      <c r="W96" s="402"/>
      <c r="X96" s="410"/>
      <c r="Y96" s="402"/>
      <c r="Z96" s="402"/>
      <c r="AA96" s="402"/>
      <c r="AB96" s="407"/>
    </row>
    <row r="97" spans="1:28" x14ac:dyDescent="0.15">
      <c r="A97" s="402"/>
      <c r="B97" s="403"/>
      <c r="C97" s="404"/>
      <c r="D97" s="402"/>
      <c r="E97" s="403"/>
      <c r="F97" s="402"/>
      <c r="G97" s="402"/>
      <c r="H97" s="402"/>
      <c r="I97" s="402"/>
      <c r="J97" s="402"/>
      <c r="K97" s="402"/>
      <c r="L97" s="402"/>
      <c r="M97" s="402"/>
      <c r="N97" s="402"/>
      <c r="O97" s="402"/>
      <c r="P97" s="402"/>
      <c r="Q97" s="402"/>
      <c r="R97" s="402"/>
      <c r="S97" s="402"/>
      <c r="T97" s="402"/>
      <c r="U97" s="402"/>
      <c r="V97" s="402"/>
      <c r="W97" s="402"/>
      <c r="X97" s="410"/>
      <c r="Y97" s="402"/>
      <c r="Z97" s="402"/>
      <c r="AA97" s="402"/>
      <c r="AB97" s="407"/>
    </row>
    <row r="98" spans="1:28" x14ac:dyDescent="0.15">
      <c r="A98" s="402"/>
      <c r="B98" s="403"/>
      <c r="C98" s="404"/>
      <c r="D98" s="402"/>
      <c r="E98" s="403"/>
      <c r="F98" s="402"/>
      <c r="G98" s="402"/>
      <c r="H98" s="402"/>
      <c r="I98" s="402"/>
      <c r="J98" s="402"/>
      <c r="K98" s="402"/>
      <c r="L98" s="402"/>
      <c r="M98" s="402"/>
      <c r="N98" s="402"/>
      <c r="O98" s="402"/>
      <c r="P98" s="402"/>
      <c r="Q98" s="402"/>
      <c r="R98" s="402"/>
      <c r="S98" s="402"/>
      <c r="T98" s="402"/>
      <c r="U98" s="402"/>
      <c r="V98" s="402"/>
      <c r="W98" s="402"/>
      <c r="X98" s="410"/>
      <c r="Y98" s="402"/>
      <c r="Z98" s="402"/>
      <c r="AA98" s="402"/>
      <c r="AB98" s="407"/>
    </row>
    <row r="99" spans="1:28" x14ac:dyDescent="0.15">
      <c r="A99" s="402"/>
      <c r="B99" s="403"/>
      <c r="C99" s="404"/>
      <c r="D99" s="402"/>
      <c r="E99" s="403"/>
      <c r="F99" s="402"/>
      <c r="G99" s="402"/>
      <c r="H99" s="402"/>
      <c r="I99" s="402"/>
      <c r="J99" s="402"/>
      <c r="K99" s="402"/>
      <c r="L99" s="402"/>
      <c r="M99" s="402"/>
      <c r="N99" s="402"/>
      <c r="O99" s="402"/>
      <c r="P99" s="402"/>
      <c r="Q99" s="402"/>
      <c r="R99" s="402"/>
      <c r="S99" s="402"/>
      <c r="T99" s="402"/>
      <c r="U99" s="402"/>
      <c r="V99" s="402"/>
      <c r="W99" s="402"/>
      <c r="X99" s="410"/>
      <c r="Y99" s="402"/>
      <c r="Z99" s="402"/>
      <c r="AA99" s="402"/>
      <c r="AB99" s="407"/>
    </row>
    <row r="100" spans="1:28" x14ac:dyDescent="0.15">
      <c r="A100" s="402"/>
      <c r="B100" s="403"/>
      <c r="C100" s="404"/>
      <c r="D100" s="402"/>
      <c r="E100" s="403"/>
      <c r="F100" s="402"/>
      <c r="G100" s="402"/>
      <c r="H100" s="402"/>
      <c r="I100" s="402"/>
      <c r="J100" s="402"/>
      <c r="K100" s="402"/>
      <c r="L100" s="402"/>
      <c r="M100" s="402"/>
      <c r="N100" s="402"/>
      <c r="O100" s="402"/>
      <c r="P100" s="402"/>
      <c r="Q100" s="402"/>
      <c r="R100" s="402"/>
      <c r="S100" s="402"/>
      <c r="T100" s="402"/>
      <c r="U100" s="402"/>
      <c r="V100" s="402"/>
      <c r="W100" s="402"/>
      <c r="X100" s="410"/>
      <c r="Y100" s="402"/>
      <c r="Z100" s="402"/>
      <c r="AA100" s="402"/>
      <c r="AB100" s="407"/>
    </row>
    <row r="101" spans="1:28" x14ac:dyDescent="0.15">
      <c r="A101" s="402"/>
      <c r="B101" s="403"/>
      <c r="C101" s="404"/>
      <c r="D101" s="402"/>
      <c r="E101" s="403"/>
      <c r="F101" s="402"/>
      <c r="G101" s="402"/>
      <c r="H101" s="402"/>
      <c r="I101" s="402"/>
      <c r="J101" s="402"/>
      <c r="K101" s="402"/>
      <c r="L101" s="402"/>
      <c r="M101" s="402"/>
      <c r="N101" s="402"/>
      <c r="O101" s="402"/>
      <c r="P101" s="402"/>
      <c r="Q101" s="402"/>
      <c r="R101" s="402"/>
      <c r="S101" s="402"/>
      <c r="T101" s="402"/>
      <c r="U101" s="402"/>
      <c r="V101" s="402"/>
      <c r="W101" s="402"/>
      <c r="X101" s="410"/>
      <c r="Y101" s="402"/>
      <c r="Z101" s="402"/>
      <c r="AA101" s="402"/>
      <c r="AB101" s="407"/>
    </row>
    <row r="102" spans="1:28" x14ac:dyDescent="0.15">
      <c r="A102" s="402"/>
      <c r="B102" s="403"/>
      <c r="C102" s="404"/>
      <c r="D102" s="402"/>
      <c r="E102" s="403"/>
      <c r="F102" s="402"/>
      <c r="G102" s="402"/>
      <c r="H102" s="402"/>
      <c r="I102" s="402"/>
      <c r="J102" s="402"/>
      <c r="K102" s="402"/>
      <c r="L102" s="402"/>
      <c r="M102" s="402"/>
      <c r="N102" s="402"/>
      <c r="O102" s="402"/>
      <c r="P102" s="402"/>
      <c r="Q102" s="402"/>
      <c r="R102" s="402"/>
      <c r="S102" s="402"/>
      <c r="T102" s="402"/>
      <c r="U102" s="402"/>
      <c r="V102" s="402"/>
      <c r="W102" s="402"/>
      <c r="X102" s="410"/>
      <c r="Y102" s="402"/>
      <c r="Z102" s="402"/>
      <c r="AA102" s="402"/>
      <c r="AB102" s="407"/>
    </row>
    <row r="103" spans="1:28" x14ac:dyDescent="0.15">
      <c r="A103" s="402"/>
      <c r="B103" s="403"/>
      <c r="C103" s="404"/>
      <c r="D103" s="402"/>
      <c r="E103" s="403"/>
      <c r="F103" s="402"/>
      <c r="G103" s="402"/>
      <c r="H103" s="402"/>
      <c r="I103" s="402"/>
      <c r="J103" s="402"/>
      <c r="K103" s="402"/>
      <c r="L103" s="402"/>
      <c r="M103" s="402"/>
      <c r="N103" s="402"/>
      <c r="O103" s="402"/>
      <c r="P103" s="402"/>
      <c r="Q103" s="402"/>
      <c r="R103" s="402"/>
      <c r="S103" s="402"/>
      <c r="T103" s="402"/>
      <c r="U103" s="402"/>
      <c r="V103" s="402"/>
      <c r="W103" s="402"/>
      <c r="X103" s="410"/>
      <c r="Y103" s="402"/>
      <c r="Z103" s="402"/>
      <c r="AA103" s="402"/>
      <c r="AB103" s="407"/>
    </row>
    <row r="104" spans="1:28" x14ac:dyDescent="0.15">
      <c r="A104" s="402"/>
      <c r="B104" s="403"/>
      <c r="C104" s="404"/>
      <c r="D104" s="402"/>
      <c r="E104" s="403"/>
      <c r="F104" s="402"/>
      <c r="G104" s="402"/>
      <c r="H104" s="402"/>
      <c r="I104" s="402"/>
      <c r="J104" s="402"/>
      <c r="K104" s="402"/>
      <c r="L104" s="402"/>
      <c r="M104" s="402"/>
      <c r="N104" s="402"/>
      <c r="O104" s="402"/>
      <c r="P104" s="402"/>
      <c r="Q104" s="402"/>
      <c r="R104" s="402"/>
      <c r="S104" s="402"/>
      <c r="T104" s="402"/>
      <c r="U104" s="402"/>
      <c r="V104" s="402"/>
      <c r="W104" s="402"/>
      <c r="X104" s="410"/>
      <c r="Y104" s="402"/>
      <c r="Z104" s="402"/>
      <c r="AA104" s="402"/>
      <c r="AB104" s="407"/>
    </row>
    <row r="105" spans="1:28" x14ac:dyDescent="0.15">
      <c r="A105" s="402"/>
      <c r="B105" s="403"/>
      <c r="C105" s="404"/>
      <c r="D105" s="402"/>
      <c r="E105" s="403"/>
      <c r="F105" s="402"/>
      <c r="G105" s="402"/>
      <c r="H105" s="402"/>
      <c r="I105" s="402"/>
      <c r="J105" s="402"/>
      <c r="K105" s="402"/>
      <c r="L105" s="402"/>
      <c r="M105" s="402"/>
      <c r="N105" s="402"/>
      <c r="O105" s="402"/>
      <c r="P105" s="402"/>
      <c r="Q105" s="402"/>
      <c r="R105" s="402"/>
      <c r="S105" s="402"/>
      <c r="T105" s="402"/>
      <c r="U105" s="402"/>
      <c r="V105" s="402"/>
      <c r="W105" s="402"/>
      <c r="X105" s="410"/>
      <c r="Y105" s="402"/>
      <c r="Z105" s="402"/>
      <c r="AA105" s="402"/>
      <c r="AB105" s="407"/>
    </row>
    <row r="106" spans="1:28" x14ac:dyDescent="0.15">
      <c r="A106" s="402"/>
      <c r="B106" s="403"/>
      <c r="C106" s="404"/>
      <c r="D106" s="402"/>
      <c r="E106" s="403"/>
      <c r="F106" s="402"/>
      <c r="G106" s="402"/>
      <c r="H106" s="402"/>
      <c r="I106" s="402"/>
      <c r="J106" s="402"/>
      <c r="K106" s="402"/>
      <c r="L106" s="402"/>
      <c r="M106" s="402"/>
      <c r="N106" s="402"/>
      <c r="O106" s="402"/>
      <c r="P106" s="402"/>
      <c r="Q106" s="402"/>
      <c r="R106" s="402"/>
      <c r="S106" s="402"/>
      <c r="T106" s="402"/>
      <c r="U106" s="402"/>
      <c r="V106" s="402"/>
      <c r="W106" s="402"/>
      <c r="X106" s="410"/>
      <c r="Y106" s="402"/>
      <c r="Z106" s="402"/>
      <c r="AA106" s="402"/>
      <c r="AB106" s="407"/>
    </row>
    <row r="107" spans="1:28" x14ac:dyDescent="0.15">
      <c r="A107" s="402"/>
      <c r="B107" s="403"/>
      <c r="C107" s="404"/>
      <c r="D107" s="402"/>
      <c r="E107" s="403"/>
      <c r="F107" s="402"/>
      <c r="G107" s="402"/>
      <c r="H107" s="402"/>
      <c r="I107" s="402"/>
      <c r="J107" s="402"/>
      <c r="K107" s="402"/>
      <c r="L107" s="402"/>
      <c r="M107" s="402"/>
      <c r="N107" s="402"/>
      <c r="O107" s="402"/>
      <c r="P107" s="402"/>
      <c r="Q107" s="402"/>
      <c r="R107" s="402"/>
      <c r="S107" s="402"/>
      <c r="T107" s="402"/>
      <c r="U107" s="402"/>
      <c r="V107" s="402"/>
      <c r="W107" s="402"/>
      <c r="X107" s="410"/>
      <c r="Y107" s="402"/>
      <c r="Z107" s="402"/>
      <c r="AA107" s="402"/>
      <c r="AB107" s="407"/>
    </row>
    <row r="108" spans="1:28" x14ac:dyDescent="0.15">
      <c r="A108" s="402"/>
      <c r="B108" s="403"/>
      <c r="C108" s="404"/>
      <c r="D108" s="402"/>
      <c r="E108" s="403"/>
      <c r="F108" s="402"/>
      <c r="G108" s="402"/>
      <c r="H108" s="402"/>
      <c r="I108" s="402"/>
      <c r="J108" s="402"/>
      <c r="K108" s="402"/>
      <c r="L108" s="402"/>
      <c r="M108" s="402"/>
      <c r="N108" s="402"/>
      <c r="O108" s="402"/>
      <c r="P108" s="402"/>
      <c r="Q108" s="402"/>
      <c r="R108" s="402"/>
      <c r="S108" s="402"/>
      <c r="T108" s="402"/>
      <c r="U108" s="402"/>
      <c r="V108" s="402"/>
      <c r="W108" s="402"/>
      <c r="X108" s="410"/>
      <c r="Y108" s="402"/>
      <c r="Z108" s="402"/>
      <c r="AA108" s="402"/>
      <c r="AB108" s="407"/>
    </row>
    <row r="109" spans="1:28" x14ac:dyDescent="0.15">
      <c r="A109" s="402"/>
      <c r="B109" s="403"/>
      <c r="C109" s="404"/>
      <c r="D109" s="402"/>
      <c r="E109" s="403"/>
      <c r="F109" s="402"/>
      <c r="G109" s="402"/>
      <c r="H109" s="402"/>
      <c r="I109" s="402"/>
      <c r="J109" s="402"/>
      <c r="K109" s="402"/>
      <c r="L109" s="402"/>
      <c r="M109" s="402"/>
      <c r="N109" s="402"/>
      <c r="O109" s="402"/>
      <c r="P109" s="402"/>
      <c r="Q109" s="402"/>
      <c r="R109" s="402"/>
      <c r="S109" s="402"/>
      <c r="T109" s="402"/>
      <c r="U109" s="402"/>
      <c r="V109" s="402"/>
      <c r="W109" s="402"/>
      <c r="X109" s="410"/>
      <c r="Y109" s="402"/>
      <c r="Z109" s="402"/>
      <c r="AA109" s="402"/>
      <c r="AB109" s="407"/>
    </row>
    <row r="110" spans="1:28" x14ac:dyDescent="0.15">
      <c r="A110" s="402"/>
      <c r="B110" s="403"/>
      <c r="C110" s="404"/>
      <c r="D110" s="402"/>
      <c r="E110" s="403"/>
      <c r="F110" s="402"/>
      <c r="G110" s="402"/>
      <c r="H110" s="402"/>
      <c r="I110" s="402"/>
      <c r="J110" s="402"/>
      <c r="K110" s="402"/>
      <c r="L110" s="402"/>
      <c r="M110" s="402"/>
      <c r="N110" s="402"/>
      <c r="O110" s="402"/>
      <c r="P110" s="402"/>
      <c r="Q110" s="402"/>
      <c r="R110" s="402"/>
      <c r="S110" s="402"/>
      <c r="T110" s="402"/>
      <c r="U110" s="402"/>
      <c r="V110" s="402"/>
      <c r="W110" s="402"/>
      <c r="X110" s="410"/>
      <c r="Y110" s="402"/>
      <c r="Z110" s="402"/>
      <c r="AA110" s="402"/>
      <c r="AB110" s="407"/>
    </row>
    <row r="111" spans="1:28" x14ac:dyDescent="0.15">
      <c r="A111" s="402"/>
      <c r="B111" s="403"/>
      <c r="C111" s="404"/>
      <c r="D111" s="402"/>
      <c r="E111" s="403"/>
      <c r="F111" s="402"/>
      <c r="G111" s="402"/>
      <c r="H111" s="402"/>
      <c r="I111" s="402"/>
      <c r="J111" s="402"/>
      <c r="K111" s="402"/>
      <c r="L111" s="402"/>
      <c r="M111" s="402"/>
      <c r="N111" s="402"/>
      <c r="O111" s="402"/>
      <c r="P111" s="402"/>
      <c r="Q111" s="402"/>
      <c r="R111" s="402"/>
      <c r="S111" s="402"/>
      <c r="T111" s="402"/>
      <c r="U111" s="402"/>
      <c r="V111" s="402"/>
      <c r="W111" s="402"/>
      <c r="X111" s="410"/>
      <c r="Y111" s="402"/>
      <c r="Z111" s="402"/>
      <c r="AA111" s="402"/>
      <c r="AB111" s="407"/>
    </row>
    <row r="112" spans="1:28" x14ac:dyDescent="0.15">
      <c r="A112" s="402"/>
      <c r="B112" s="403"/>
      <c r="C112" s="404"/>
      <c r="D112" s="402"/>
      <c r="E112" s="403"/>
      <c r="F112" s="402"/>
      <c r="G112" s="402"/>
      <c r="H112" s="402"/>
      <c r="I112" s="402"/>
      <c r="J112" s="402"/>
      <c r="K112" s="402"/>
      <c r="L112" s="402"/>
      <c r="M112" s="402"/>
      <c r="N112" s="402"/>
      <c r="O112" s="402"/>
      <c r="P112" s="402"/>
      <c r="Q112" s="402"/>
      <c r="R112" s="402"/>
      <c r="S112" s="402"/>
      <c r="T112" s="402"/>
      <c r="U112" s="402"/>
      <c r="V112" s="402"/>
      <c r="W112" s="402"/>
      <c r="X112" s="410"/>
      <c r="Y112" s="402"/>
      <c r="Z112" s="402"/>
      <c r="AA112" s="402"/>
      <c r="AB112" s="407"/>
    </row>
    <row r="113" spans="1:28" x14ac:dyDescent="0.15">
      <c r="A113" s="402"/>
      <c r="B113" s="403"/>
      <c r="C113" s="404"/>
      <c r="D113" s="402"/>
      <c r="E113" s="403"/>
      <c r="F113" s="402"/>
      <c r="G113" s="402"/>
      <c r="H113" s="402"/>
      <c r="I113" s="402"/>
      <c r="J113" s="402"/>
      <c r="K113" s="402"/>
      <c r="L113" s="402"/>
      <c r="M113" s="402"/>
      <c r="N113" s="402"/>
      <c r="O113" s="402"/>
      <c r="P113" s="402"/>
      <c r="Q113" s="402"/>
      <c r="R113" s="402"/>
      <c r="S113" s="402"/>
      <c r="T113" s="402"/>
      <c r="U113" s="402"/>
      <c r="V113" s="402"/>
      <c r="W113" s="402"/>
      <c r="X113" s="410"/>
      <c r="Y113" s="402"/>
      <c r="Z113" s="402"/>
      <c r="AA113" s="402"/>
      <c r="AB113" s="407"/>
    </row>
    <row r="114" spans="1:28" x14ac:dyDescent="0.15">
      <c r="A114" s="402"/>
      <c r="B114" s="403"/>
      <c r="C114" s="404"/>
      <c r="D114" s="402"/>
      <c r="E114" s="403"/>
      <c r="F114" s="402"/>
      <c r="G114" s="402"/>
      <c r="H114" s="402"/>
      <c r="I114" s="402"/>
      <c r="J114" s="402"/>
      <c r="K114" s="402"/>
      <c r="L114" s="402"/>
      <c r="M114" s="402"/>
      <c r="N114" s="402"/>
      <c r="O114" s="402"/>
      <c r="P114" s="402"/>
      <c r="Q114" s="402"/>
      <c r="R114" s="402"/>
      <c r="S114" s="402"/>
      <c r="T114" s="402"/>
      <c r="U114" s="402"/>
      <c r="V114" s="402"/>
      <c r="W114" s="402"/>
      <c r="X114" s="410"/>
      <c r="Y114" s="402"/>
      <c r="Z114" s="402"/>
      <c r="AA114" s="402"/>
      <c r="AB114" s="407"/>
    </row>
    <row r="115" spans="1:28" x14ac:dyDescent="0.15">
      <c r="A115" s="402"/>
      <c r="B115" s="403"/>
      <c r="C115" s="404"/>
      <c r="D115" s="402"/>
      <c r="E115" s="403"/>
      <c r="F115" s="402"/>
      <c r="G115" s="402"/>
      <c r="H115" s="402"/>
      <c r="I115" s="402"/>
      <c r="J115" s="402"/>
      <c r="K115" s="402"/>
      <c r="L115" s="402"/>
      <c r="M115" s="402"/>
      <c r="N115" s="402"/>
      <c r="O115" s="402"/>
      <c r="P115" s="402"/>
      <c r="Q115" s="402"/>
      <c r="R115" s="402"/>
      <c r="S115" s="402"/>
      <c r="T115" s="402"/>
      <c r="U115" s="402"/>
      <c r="V115" s="402"/>
      <c r="W115" s="402"/>
      <c r="X115" s="410"/>
      <c r="Y115" s="402"/>
      <c r="Z115" s="402"/>
      <c r="AA115" s="402"/>
      <c r="AB115" s="407"/>
    </row>
    <row r="116" spans="1:28" x14ac:dyDescent="0.15">
      <c r="A116" s="402"/>
      <c r="B116" s="403"/>
      <c r="C116" s="404"/>
      <c r="D116" s="402"/>
      <c r="E116" s="403"/>
      <c r="F116" s="402"/>
      <c r="G116" s="402"/>
      <c r="H116" s="402"/>
      <c r="I116" s="402"/>
      <c r="J116" s="402"/>
      <c r="K116" s="402"/>
      <c r="L116" s="402"/>
      <c r="M116" s="402"/>
      <c r="N116" s="402"/>
      <c r="O116" s="402"/>
      <c r="P116" s="402"/>
      <c r="Q116" s="402"/>
      <c r="R116" s="402"/>
      <c r="S116" s="402"/>
      <c r="T116" s="402"/>
      <c r="U116" s="402"/>
      <c r="V116" s="402"/>
      <c r="W116" s="402"/>
      <c r="X116" s="410"/>
      <c r="Y116" s="402"/>
      <c r="Z116" s="402"/>
      <c r="AA116" s="402"/>
      <c r="AB116" s="407"/>
    </row>
    <row r="117" spans="1:28" x14ac:dyDescent="0.15">
      <c r="A117" s="402"/>
      <c r="B117" s="403"/>
      <c r="C117" s="404"/>
      <c r="D117" s="402"/>
      <c r="E117" s="403"/>
      <c r="F117" s="402"/>
      <c r="G117" s="402"/>
      <c r="H117" s="402"/>
      <c r="I117" s="402"/>
      <c r="J117" s="402"/>
      <c r="K117" s="402"/>
      <c r="L117" s="402"/>
      <c r="M117" s="402"/>
      <c r="N117" s="402"/>
      <c r="O117" s="402"/>
      <c r="P117" s="402"/>
      <c r="Q117" s="402"/>
      <c r="R117" s="402"/>
      <c r="S117" s="402"/>
      <c r="T117" s="402"/>
      <c r="U117" s="402"/>
      <c r="V117" s="402"/>
      <c r="W117" s="402"/>
      <c r="X117" s="410"/>
      <c r="Y117" s="402"/>
      <c r="Z117" s="402"/>
      <c r="AA117" s="402"/>
      <c r="AB117" s="407"/>
    </row>
    <row r="118" spans="1:28" x14ac:dyDescent="0.15">
      <c r="A118" s="402"/>
      <c r="B118" s="403"/>
      <c r="C118" s="404"/>
      <c r="D118" s="402"/>
      <c r="E118" s="403"/>
      <c r="F118" s="402"/>
      <c r="G118" s="402"/>
      <c r="H118" s="402"/>
      <c r="I118" s="402"/>
      <c r="J118" s="402"/>
      <c r="K118" s="402"/>
      <c r="L118" s="402"/>
      <c r="M118" s="402"/>
      <c r="N118" s="402"/>
      <c r="O118" s="402"/>
      <c r="P118" s="402"/>
      <c r="Q118" s="402"/>
      <c r="R118" s="402"/>
      <c r="S118" s="402"/>
      <c r="T118" s="402"/>
      <c r="U118" s="402"/>
      <c r="V118" s="402"/>
      <c r="W118" s="402"/>
      <c r="X118" s="410"/>
      <c r="Y118" s="402"/>
      <c r="Z118" s="402"/>
      <c r="AA118" s="402"/>
      <c r="AB118" s="407"/>
    </row>
    <row r="119" spans="1:28" x14ac:dyDescent="0.15">
      <c r="A119" s="402"/>
      <c r="B119" s="403"/>
      <c r="C119" s="404"/>
      <c r="D119" s="402"/>
      <c r="E119" s="403"/>
      <c r="F119" s="402"/>
      <c r="G119" s="402"/>
      <c r="H119" s="402"/>
      <c r="I119" s="402"/>
      <c r="J119" s="402"/>
      <c r="K119" s="402"/>
      <c r="L119" s="402"/>
      <c r="M119" s="402"/>
      <c r="N119" s="402"/>
      <c r="O119" s="402"/>
      <c r="P119" s="402"/>
      <c r="Q119" s="402"/>
      <c r="R119" s="402"/>
      <c r="S119" s="402"/>
      <c r="T119" s="402"/>
      <c r="U119" s="402"/>
      <c r="V119" s="402"/>
      <c r="W119" s="402"/>
      <c r="X119" s="410"/>
      <c r="Y119" s="402"/>
      <c r="Z119" s="402"/>
      <c r="AA119" s="402"/>
      <c r="AB119" s="407"/>
    </row>
    <row r="120" spans="1:28" x14ac:dyDescent="0.15">
      <c r="A120" s="402"/>
      <c r="B120" s="403"/>
      <c r="C120" s="404"/>
      <c r="D120" s="402"/>
      <c r="E120" s="403"/>
      <c r="F120" s="402"/>
      <c r="G120" s="402"/>
      <c r="H120" s="402"/>
      <c r="I120" s="402"/>
      <c r="J120" s="402"/>
      <c r="K120" s="402"/>
      <c r="L120" s="402"/>
      <c r="M120" s="402"/>
      <c r="N120" s="402"/>
      <c r="O120" s="402"/>
      <c r="P120" s="402"/>
      <c r="Q120" s="402"/>
      <c r="R120" s="402"/>
      <c r="S120" s="402"/>
      <c r="T120" s="402"/>
      <c r="U120" s="402"/>
      <c r="V120" s="402"/>
      <c r="W120" s="402"/>
      <c r="X120" s="410"/>
      <c r="Y120" s="402"/>
      <c r="Z120" s="402"/>
      <c r="AA120" s="402"/>
      <c r="AB120" s="407"/>
    </row>
    <row r="121" spans="1:28" x14ac:dyDescent="0.15">
      <c r="A121" s="402"/>
      <c r="B121" s="403"/>
      <c r="C121" s="404"/>
      <c r="D121" s="402"/>
      <c r="E121" s="403"/>
      <c r="F121" s="402"/>
      <c r="G121" s="402"/>
      <c r="H121" s="402"/>
      <c r="I121" s="402"/>
      <c r="J121" s="402"/>
      <c r="K121" s="402"/>
      <c r="L121" s="402"/>
      <c r="M121" s="402"/>
      <c r="N121" s="402"/>
      <c r="O121" s="402"/>
      <c r="P121" s="402"/>
      <c r="Q121" s="402"/>
      <c r="R121" s="402"/>
      <c r="S121" s="402"/>
      <c r="T121" s="402"/>
      <c r="U121" s="402"/>
      <c r="V121" s="402"/>
      <c r="W121" s="402"/>
      <c r="X121" s="410"/>
      <c r="Y121" s="402"/>
      <c r="Z121" s="402"/>
      <c r="AA121" s="402"/>
      <c r="AB121" s="407"/>
    </row>
    <row r="122" spans="1:28" x14ac:dyDescent="0.15">
      <c r="A122" s="402"/>
      <c r="B122" s="403"/>
      <c r="C122" s="404"/>
      <c r="D122" s="402"/>
      <c r="E122" s="403"/>
      <c r="F122" s="402"/>
      <c r="G122" s="402"/>
      <c r="H122" s="402"/>
      <c r="I122" s="402"/>
      <c r="J122" s="402"/>
      <c r="K122" s="402"/>
      <c r="L122" s="402"/>
      <c r="M122" s="402"/>
      <c r="N122" s="402"/>
      <c r="O122" s="402"/>
      <c r="P122" s="402"/>
      <c r="Q122" s="402"/>
      <c r="R122" s="402"/>
      <c r="S122" s="402"/>
      <c r="T122" s="402"/>
      <c r="U122" s="402"/>
      <c r="V122" s="402"/>
      <c r="W122" s="402"/>
      <c r="X122" s="410"/>
      <c r="Y122" s="402"/>
      <c r="Z122" s="402"/>
      <c r="AA122" s="402"/>
      <c r="AB122" s="407"/>
    </row>
    <row r="123" spans="1:28" x14ac:dyDescent="0.15">
      <c r="A123" s="402"/>
      <c r="B123" s="403"/>
      <c r="C123" s="404"/>
      <c r="D123" s="402"/>
      <c r="E123" s="403"/>
      <c r="F123" s="402"/>
      <c r="G123" s="402"/>
      <c r="H123" s="402"/>
      <c r="I123" s="402"/>
      <c r="J123" s="402"/>
      <c r="K123" s="402"/>
      <c r="L123" s="402"/>
      <c r="M123" s="402"/>
      <c r="N123" s="402"/>
      <c r="O123" s="402"/>
      <c r="P123" s="402"/>
      <c r="Q123" s="402"/>
      <c r="R123" s="402"/>
      <c r="S123" s="402"/>
      <c r="T123" s="402"/>
      <c r="U123" s="402"/>
      <c r="V123" s="402"/>
      <c r="W123" s="402"/>
      <c r="X123" s="410"/>
      <c r="Y123" s="402"/>
      <c r="Z123" s="402"/>
      <c r="AA123" s="402"/>
      <c r="AB123" s="407"/>
    </row>
    <row r="124" spans="1:28" x14ac:dyDescent="0.15">
      <c r="A124" s="402"/>
      <c r="B124" s="403"/>
      <c r="C124" s="404"/>
      <c r="D124" s="402"/>
      <c r="E124" s="403"/>
      <c r="F124" s="402"/>
      <c r="G124" s="402"/>
      <c r="H124" s="402"/>
      <c r="I124" s="402"/>
      <c r="J124" s="402"/>
      <c r="K124" s="402"/>
      <c r="L124" s="402"/>
      <c r="M124" s="402"/>
      <c r="N124" s="402"/>
      <c r="O124" s="402"/>
      <c r="P124" s="402"/>
      <c r="Q124" s="402"/>
      <c r="R124" s="402"/>
      <c r="S124" s="402"/>
      <c r="T124" s="402"/>
      <c r="U124" s="402"/>
      <c r="V124" s="402"/>
      <c r="W124" s="402"/>
      <c r="X124" s="410"/>
      <c r="Y124" s="402"/>
      <c r="Z124" s="402"/>
      <c r="AA124" s="402"/>
      <c r="AB124" s="407"/>
    </row>
    <row r="125" spans="1:28" x14ac:dyDescent="0.15">
      <c r="A125" s="402"/>
      <c r="B125" s="403"/>
      <c r="C125" s="404"/>
      <c r="D125" s="402"/>
      <c r="E125" s="403"/>
      <c r="F125" s="402"/>
      <c r="G125" s="402"/>
      <c r="H125" s="402"/>
      <c r="I125" s="402"/>
      <c r="J125" s="402"/>
      <c r="K125" s="402"/>
      <c r="L125" s="402"/>
      <c r="M125" s="402"/>
      <c r="N125" s="402"/>
      <c r="O125" s="402"/>
      <c r="P125" s="402"/>
      <c r="Q125" s="402"/>
      <c r="R125" s="402"/>
      <c r="S125" s="402"/>
      <c r="T125" s="402"/>
      <c r="U125" s="402"/>
      <c r="V125" s="402"/>
      <c r="W125" s="402"/>
      <c r="X125" s="410"/>
      <c r="Y125" s="402"/>
      <c r="Z125" s="402"/>
      <c r="AA125" s="402"/>
      <c r="AB125" s="407"/>
    </row>
    <row r="126" spans="1:28" x14ac:dyDescent="0.15">
      <c r="A126" s="402"/>
      <c r="B126" s="403"/>
      <c r="C126" s="404"/>
      <c r="D126" s="402"/>
      <c r="E126" s="403"/>
      <c r="F126" s="402"/>
      <c r="G126" s="402"/>
      <c r="H126" s="402"/>
      <c r="I126" s="402"/>
      <c r="J126" s="402"/>
      <c r="K126" s="402"/>
      <c r="L126" s="402"/>
      <c r="M126" s="402"/>
      <c r="N126" s="402"/>
      <c r="O126" s="402"/>
      <c r="P126" s="402"/>
      <c r="Q126" s="402"/>
      <c r="R126" s="402"/>
      <c r="S126" s="402"/>
      <c r="T126" s="402"/>
      <c r="U126" s="402"/>
      <c r="V126" s="402"/>
      <c r="W126" s="402"/>
      <c r="X126" s="410"/>
      <c r="Y126" s="402"/>
      <c r="Z126" s="402"/>
      <c r="AA126" s="402"/>
      <c r="AB126" s="407"/>
    </row>
    <row r="127" spans="1:28" x14ac:dyDescent="0.15">
      <c r="A127" s="402"/>
      <c r="B127" s="403"/>
      <c r="C127" s="404"/>
      <c r="D127" s="402"/>
      <c r="E127" s="403"/>
      <c r="F127" s="402"/>
      <c r="G127" s="402"/>
      <c r="H127" s="402"/>
      <c r="I127" s="402"/>
      <c r="J127" s="402"/>
      <c r="K127" s="402"/>
      <c r="L127" s="402"/>
      <c r="M127" s="402"/>
      <c r="N127" s="402"/>
      <c r="O127" s="402"/>
      <c r="P127" s="402"/>
      <c r="Q127" s="402"/>
      <c r="R127" s="402"/>
      <c r="S127" s="402"/>
      <c r="T127" s="402"/>
      <c r="U127" s="402"/>
      <c r="V127" s="402"/>
      <c r="W127" s="402"/>
      <c r="X127" s="410"/>
      <c r="Y127" s="402"/>
      <c r="Z127" s="402"/>
      <c r="AA127" s="402"/>
      <c r="AB127" s="407"/>
    </row>
    <row r="128" spans="1:28" x14ac:dyDescent="0.15">
      <c r="A128" s="402"/>
      <c r="B128" s="403"/>
      <c r="C128" s="404"/>
      <c r="D128" s="402"/>
      <c r="E128" s="403"/>
      <c r="F128" s="402"/>
      <c r="G128" s="402"/>
      <c r="H128" s="402"/>
      <c r="I128" s="402"/>
      <c r="J128" s="402"/>
      <c r="K128" s="402"/>
      <c r="L128" s="402"/>
      <c r="M128" s="402"/>
      <c r="N128" s="402"/>
      <c r="O128" s="402"/>
      <c r="P128" s="402"/>
      <c r="Q128" s="402"/>
      <c r="R128" s="402"/>
      <c r="S128" s="402"/>
      <c r="T128" s="402"/>
      <c r="U128" s="402"/>
      <c r="V128" s="402"/>
      <c r="W128" s="402"/>
      <c r="X128" s="410"/>
      <c r="Y128" s="402"/>
      <c r="Z128" s="402"/>
      <c r="AA128" s="402"/>
      <c r="AB128" s="407"/>
    </row>
    <row r="129" spans="1:28" x14ac:dyDescent="0.15">
      <c r="A129" s="402"/>
      <c r="B129" s="403"/>
      <c r="C129" s="404"/>
      <c r="D129" s="402"/>
      <c r="E129" s="403"/>
      <c r="F129" s="402"/>
      <c r="G129" s="402"/>
      <c r="H129" s="402"/>
      <c r="I129" s="402"/>
      <c r="J129" s="402"/>
      <c r="K129" s="402"/>
      <c r="L129" s="402"/>
      <c r="M129" s="402"/>
      <c r="N129" s="402"/>
      <c r="O129" s="402"/>
      <c r="P129" s="402"/>
      <c r="Q129" s="402"/>
      <c r="R129" s="402"/>
      <c r="S129" s="402"/>
      <c r="T129" s="402"/>
      <c r="U129" s="402"/>
      <c r="V129" s="402"/>
      <c r="W129" s="402"/>
      <c r="X129" s="410"/>
      <c r="Y129" s="402"/>
      <c r="Z129" s="402"/>
      <c r="AA129" s="402"/>
      <c r="AB129" s="407"/>
    </row>
    <row r="130" spans="1:28" x14ac:dyDescent="0.15">
      <c r="A130" s="402"/>
      <c r="B130" s="403"/>
      <c r="C130" s="404"/>
      <c r="D130" s="402"/>
      <c r="E130" s="403"/>
      <c r="F130" s="402"/>
      <c r="G130" s="402"/>
      <c r="H130" s="402"/>
      <c r="I130" s="402"/>
      <c r="J130" s="402"/>
      <c r="K130" s="402"/>
      <c r="L130" s="402"/>
      <c r="M130" s="402"/>
      <c r="N130" s="402"/>
      <c r="O130" s="402"/>
      <c r="P130" s="402"/>
      <c r="Q130" s="402"/>
      <c r="R130" s="402"/>
      <c r="S130" s="402"/>
      <c r="T130" s="402"/>
      <c r="U130" s="402"/>
      <c r="V130" s="402"/>
      <c r="W130" s="402"/>
      <c r="X130" s="410"/>
      <c r="Y130" s="402"/>
      <c r="Z130" s="402"/>
      <c r="AA130" s="402"/>
      <c r="AB130" s="407"/>
    </row>
    <row r="131" spans="1:28" x14ac:dyDescent="0.15">
      <c r="A131" s="402"/>
      <c r="B131" s="403"/>
      <c r="C131" s="404"/>
      <c r="D131" s="402"/>
      <c r="E131" s="403"/>
      <c r="F131" s="402"/>
      <c r="G131" s="402"/>
      <c r="H131" s="402"/>
      <c r="I131" s="402"/>
      <c r="J131" s="402"/>
      <c r="K131" s="402"/>
      <c r="L131" s="402"/>
      <c r="M131" s="402"/>
      <c r="N131" s="402"/>
      <c r="O131" s="402"/>
      <c r="P131" s="402"/>
      <c r="Q131" s="402"/>
      <c r="R131" s="402"/>
      <c r="S131" s="402"/>
      <c r="T131" s="402"/>
      <c r="U131" s="402"/>
      <c r="V131" s="402"/>
      <c r="W131" s="402"/>
      <c r="X131" s="410"/>
      <c r="Y131" s="402"/>
      <c r="Z131" s="402"/>
      <c r="AA131" s="402"/>
      <c r="AB131" s="407"/>
    </row>
    <row r="132" spans="1:28" x14ac:dyDescent="0.15">
      <c r="A132" s="402"/>
      <c r="B132" s="403"/>
      <c r="C132" s="404"/>
      <c r="D132" s="402"/>
      <c r="E132" s="403"/>
      <c r="F132" s="402"/>
      <c r="G132" s="402"/>
      <c r="H132" s="402"/>
      <c r="I132" s="402"/>
      <c r="J132" s="402"/>
      <c r="K132" s="402"/>
      <c r="L132" s="402"/>
      <c r="M132" s="402"/>
      <c r="N132" s="402"/>
      <c r="O132" s="402"/>
      <c r="P132" s="402"/>
      <c r="Q132" s="402"/>
      <c r="R132" s="402"/>
      <c r="S132" s="402"/>
      <c r="T132" s="402"/>
      <c r="U132" s="402"/>
      <c r="V132" s="402"/>
      <c r="W132" s="402"/>
      <c r="X132" s="410"/>
      <c r="Y132" s="402"/>
      <c r="Z132" s="402"/>
      <c r="AA132" s="402"/>
      <c r="AB132" s="407"/>
    </row>
    <row r="133" spans="1:28" x14ac:dyDescent="0.15">
      <c r="A133" s="402"/>
      <c r="B133" s="403"/>
      <c r="C133" s="404"/>
      <c r="D133" s="402"/>
      <c r="E133" s="403"/>
      <c r="F133" s="402"/>
      <c r="G133" s="402"/>
      <c r="H133" s="402"/>
      <c r="I133" s="402"/>
      <c r="J133" s="402"/>
      <c r="K133" s="402"/>
      <c r="L133" s="402"/>
      <c r="M133" s="402"/>
      <c r="N133" s="402"/>
      <c r="O133" s="402"/>
      <c r="P133" s="402"/>
      <c r="Q133" s="402"/>
      <c r="R133" s="402"/>
      <c r="S133" s="402"/>
      <c r="T133" s="402"/>
      <c r="U133" s="402"/>
      <c r="V133" s="402"/>
      <c r="W133" s="402"/>
      <c r="X133" s="410"/>
      <c r="Y133" s="402"/>
      <c r="Z133" s="402"/>
      <c r="AA133" s="402"/>
      <c r="AB133" s="407"/>
    </row>
    <row r="134" spans="1:28" x14ac:dyDescent="0.15">
      <c r="A134" s="402"/>
      <c r="B134" s="403"/>
      <c r="C134" s="404"/>
      <c r="D134" s="402"/>
      <c r="E134" s="403"/>
      <c r="F134" s="402"/>
      <c r="G134" s="402"/>
      <c r="H134" s="402"/>
      <c r="I134" s="402"/>
      <c r="J134" s="402"/>
      <c r="K134" s="402"/>
      <c r="L134" s="402"/>
      <c r="M134" s="402"/>
      <c r="N134" s="402"/>
      <c r="O134" s="402"/>
      <c r="P134" s="402"/>
      <c r="Q134" s="402"/>
      <c r="R134" s="402"/>
      <c r="S134" s="402"/>
      <c r="T134" s="402"/>
      <c r="U134" s="402"/>
      <c r="V134" s="402"/>
      <c r="W134" s="402"/>
      <c r="X134" s="410"/>
      <c r="Y134" s="402"/>
      <c r="Z134" s="402"/>
      <c r="AA134" s="402"/>
      <c r="AB134" s="407"/>
    </row>
    <row r="135" spans="1:28" x14ac:dyDescent="0.15">
      <c r="A135" s="402"/>
      <c r="B135" s="403"/>
      <c r="C135" s="404"/>
      <c r="D135" s="402"/>
      <c r="E135" s="403"/>
      <c r="F135" s="402"/>
      <c r="G135" s="402"/>
      <c r="H135" s="402"/>
      <c r="I135" s="402"/>
      <c r="J135" s="402"/>
      <c r="K135" s="402"/>
      <c r="L135" s="402"/>
      <c r="M135" s="402"/>
      <c r="N135" s="402"/>
      <c r="O135" s="402"/>
      <c r="P135" s="402"/>
      <c r="Q135" s="402"/>
      <c r="R135" s="402"/>
      <c r="S135" s="402"/>
      <c r="T135" s="402"/>
      <c r="U135" s="402"/>
      <c r="V135" s="402"/>
      <c r="W135" s="402"/>
      <c r="X135" s="410"/>
      <c r="Y135" s="402"/>
      <c r="Z135" s="402"/>
      <c r="AA135" s="402"/>
      <c r="AB135" s="407"/>
    </row>
    <row r="136" spans="1:28" x14ac:dyDescent="0.15">
      <c r="A136" s="402"/>
      <c r="B136" s="403"/>
      <c r="C136" s="404"/>
      <c r="D136" s="402"/>
      <c r="E136" s="403"/>
      <c r="F136" s="402"/>
      <c r="G136" s="402"/>
      <c r="H136" s="402"/>
      <c r="I136" s="402"/>
      <c r="J136" s="402"/>
      <c r="K136" s="402"/>
      <c r="L136" s="402"/>
      <c r="M136" s="402"/>
      <c r="N136" s="402"/>
      <c r="O136" s="402"/>
      <c r="P136" s="402"/>
      <c r="Q136" s="402"/>
      <c r="R136" s="402"/>
      <c r="S136" s="402"/>
      <c r="T136" s="402"/>
      <c r="U136" s="402"/>
      <c r="V136" s="402"/>
      <c r="W136" s="402"/>
      <c r="X136" s="410"/>
      <c r="Y136" s="402"/>
      <c r="Z136" s="402"/>
      <c r="AA136" s="402"/>
      <c r="AB136" s="407"/>
    </row>
    <row r="137" spans="1:28" x14ac:dyDescent="0.15">
      <c r="A137" s="402"/>
      <c r="B137" s="403"/>
      <c r="C137" s="404"/>
      <c r="D137" s="402"/>
      <c r="E137" s="403"/>
      <c r="F137" s="402"/>
      <c r="G137" s="402"/>
      <c r="H137" s="402"/>
      <c r="I137" s="402"/>
      <c r="J137" s="402"/>
      <c r="K137" s="402"/>
      <c r="L137" s="402"/>
      <c r="M137" s="402"/>
      <c r="N137" s="402"/>
      <c r="O137" s="402"/>
      <c r="P137" s="402"/>
      <c r="Q137" s="402"/>
      <c r="R137" s="402"/>
      <c r="S137" s="402"/>
      <c r="T137" s="402"/>
      <c r="U137" s="402"/>
      <c r="V137" s="402"/>
      <c r="W137" s="402"/>
      <c r="X137" s="410"/>
      <c r="Y137" s="402"/>
      <c r="Z137" s="402"/>
      <c r="AA137" s="402"/>
      <c r="AB137" s="407"/>
    </row>
    <row r="138" spans="1:28" x14ac:dyDescent="0.15">
      <c r="A138" s="402"/>
      <c r="B138" s="403"/>
      <c r="C138" s="404"/>
      <c r="D138" s="402"/>
      <c r="E138" s="403"/>
      <c r="F138" s="402"/>
      <c r="G138" s="402"/>
      <c r="H138" s="402"/>
      <c r="I138" s="402"/>
      <c r="J138" s="402"/>
      <c r="K138" s="402"/>
      <c r="L138" s="402"/>
      <c r="M138" s="402"/>
      <c r="N138" s="402"/>
      <c r="O138" s="402"/>
      <c r="P138" s="402"/>
      <c r="Q138" s="402"/>
      <c r="R138" s="402"/>
      <c r="S138" s="402"/>
      <c r="T138" s="402"/>
      <c r="U138" s="402"/>
      <c r="V138" s="402"/>
      <c r="W138" s="402"/>
      <c r="X138" s="410"/>
      <c r="Y138" s="402"/>
      <c r="Z138" s="402"/>
      <c r="AA138" s="402"/>
      <c r="AB138" s="407"/>
    </row>
    <row r="139" spans="1:28" x14ac:dyDescent="0.15">
      <c r="A139" s="402"/>
      <c r="B139" s="403"/>
      <c r="C139" s="404"/>
      <c r="D139" s="402"/>
      <c r="E139" s="403"/>
      <c r="F139" s="402"/>
      <c r="G139" s="402"/>
      <c r="H139" s="402"/>
      <c r="I139" s="402"/>
      <c r="J139" s="402"/>
      <c r="K139" s="402"/>
      <c r="L139" s="402"/>
      <c r="M139" s="402"/>
      <c r="N139" s="402"/>
      <c r="O139" s="402"/>
      <c r="P139" s="402"/>
      <c r="Q139" s="402"/>
      <c r="R139" s="402"/>
      <c r="S139" s="402"/>
      <c r="T139" s="402"/>
      <c r="U139" s="402"/>
      <c r="V139" s="402"/>
      <c r="W139" s="402"/>
      <c r="X139" s="410"/>
      <c r="Y139" s="402"/>
      <c r="Z139" s="402"/>
      <c r="AA139" s="402"/>
      <c r="AB139" s="407"/>
    </row>
    <row r="140" spans="1:28" x14ac:dyDescent="0.15">
      <c r="A140" s="402"/>
      <c r="B140" s="403"/>
      <c r="C140" s="404"/>
      <c r="D140" s="402"/>
      <c r="E140" s="403"/>
      <c r="F140" s="402"/>
      <c r="G140" s="402"/>
      <c r="H140" s="402"/>
      <c r="I140" s="402"/>
      <c r="J140" s="402"/>
      <c r="K140" s="402"/>
      <c r="L140" s="402"/>
      <c r="M140" s="402"/>
      <c r="N140" s="402"/>
      <c r="O140" s="402"/>
      <c r="P140" s="402"/>
      <c r="Q140" s="402"/>
      <c r="R140" s="402"/>
      <c r="S140" s="402"/>
      <c r="T140" s="402"/>
      <c r="U140" s="402"/>
      <c r="V140" s="402"/>
      <c r="W140" s="402"/>
      <c r="X140" s="410"/>
      <c r="Y140" s="402"/>
      <c r="Z140" s="402"/>
      <c r="AA140" s="402"/>
      <c r="AB140" s="407"/>
    </row>
    <row r="141" spans="1:28" x14ac:dyDescent="0.15">
      <c r="A141" s="402"/>
      <c r="B141" s="403"/>
      <c r="C141" s="404"/>
      <c r="D141" s="402"/>
      <c r="E141" s="403"/>
      <c r="F141" s="402"/>
      <c r="G141" s="402"/>
      <c r="H141" s="402"/>
      <c r="I141" s="402"/>
      <c r="J141" s="402"/>
      <c r="K141" s="402"/>
      <c r="L141" s="402"/>
      <c r="M141" s="402"/>
      <c r="N141" s="402"/>
      <c r="O141" s="402"/>
      <c r="P141" s="402"/>
      <c r="Q141" s="402"/>
      <c r="R141" s="402"/>
      <c r="S141" s="402"/>
      <c r="T141" s="402"/>
      <c r="U141" s="402"/>
      <c r="V141" s="402"/>
      <c r="W141" s="402"/>
      <c r="X141" s="410"/>
      <c r="Y141" s="402"/>
      <c r="Z141" s="402"/>
      <c r="AA141" s="402"/>
      <c r="AB141" s="407"/>
    </row>
    <row r="142" spans="1:28" x14ac:dyDescent="0.15">
      <c r="A142" s="402"/>
      <c r="B142" s="403"/>
      <c r="C142" s="404"/>
      <c r="D142" s="402"/>
      <c r="E142" s="403"/>
      <c r="F142" s="402"/>
      <c r="G142" s="402"/>
      <c r="H142" s="402"/>
      <c r="I142" s="402"/>
      <c r="J142" s="402"/>
      <c r="K142" s="402"/>
      <c r="L142" s="402"/>
      <c r="M142" s="402"/>
      <c r="N142" s="402"/>
      <c r="O142" s="402"/>
      <c r="P142" s="402"/>
      <c r="Q142" s="402"/>
      <c r="R142" s="402"/>
      <c r="S142" s="402"/>
      <c r="T142" s="402"/>
      <c r="U142" s="402"/>
      <c r="V142" s="402"/>
      <c r="W142" s="402"/>
      <c r="X142" s="410"/>
      <c r="Y142" s="402"/>
      <c r="Z142" s="402"/>
      <c r="AA142" s="402"/>
      <c r="AB142" s="407"/>
    </row>
    <row r="143" spans="1:28" x14ac:dyDescent="0.15">
      <c r="A143" s="402"/>
      <c r="B143" s="403"/>
      <c r="C143" s="404"/>
      <c r="D143" s="402"/>
      <c r="E143" s="403"/>
      <c r="F143" s="402"/>
      <c r="G143" s="402"/>
      <c r="H143" s="402"/>
      <c r="I143" s="402"/>
      <c r="J143" s="402"/>
      <c r="K143" s="402"/>
      <c r="L143" s="402"/>
      <c r="M143" s="402"/>
      <c r="N143" s="402"/>
      <c r="O143" s="402"/>
      <c r="P143" s="402"/>
      <c r="Q143" s="402"/>
      <c r="R143" s="402"/>
      <c r="S143" s="402"/>
      <c r="T143" s="402"/>
      <c r="U143" s="402"/>
      <c r="V143" s="402"/>
      <c r="W143" s="402"/>
      <c r="X143" s="410"/>
      <c r="Y143" s="402"/>
      <c r="Z143" s="402"/>
      <c r="AA143" s="402"/>
      <c r="AB143" s="407"/>
    </row>
    <row r="144" spans="1:28" x14ac:dyDescent="0.15">
      <c r="A144" s="402"/>
      <c r="B144" s="403"/>
      <c r="C144" s="404"/>
      <c r="D144" s="402"/>
      <c r="E144" s="403"/>
      <c r="F144" s="402"/>
      <c r="G144" s="402"/>
      <c r="H144" s="402"/>
      <c r="I144" s="402"/>
      <c r="J144" s="402"/>
      <c r="K144" s="402"/>
      <c r="L144" s="402"/>
      <c r="M144" s="402"/>
      <c r="N144" s="402"/>
      <c r="O144" s="402"/>
      <c r="P144" s="402"/>
      <c r="Q144" s="402"/>
      <c r="R144" s="402"/>
      <c r="S144" s="402"/>
      <c r="T144" s="402"/>
      <c r="U144" s="402"/>
      <c r="V144" s="402"/>
      <c r="W144" s="402"/>
      <c r="X144" s="410"/>
      <c r="Y144" s="402"/>
      <c r="Z144" s="402"/>
      <c r="AA144" s="402"/>
      <c r="AB144" s="407"/>
    </row>
    <row r="145" spans="1:28" x14ac:dyDescent="0.15">
      <c r="A145" s="402"/>
      <c r="B145" s="403"/>
      <c r="C145" s="404"/>
      <c r="D145" s="402"/>
      <c r="E145" s="403"/>
      <c r="F145" s="402"/>
      <c r="G145" s="402"/>
      <c r="H145" s="402"/>
      <c r="I145" s="402"/>
      <c r="J145" s="402"/>
      <c r="K145" s="402"/>
      <c r="L145" s="402"/>
      <c r="M145" s="402"/>
      <c r="N145" s="402"/>
      <c r="O145" s="402"/>
      <c r="P145" s="402"/>
      <c r="Q145" s="402"/>
      <c r="R145" s="402"/>
      <c r="S145" s="402"/>
      <c r="T145" s="402"/>
      <c r="U145" s="402"/>
      <c r="V145" s="402"/>
      <c r="W145" s="402"/>
      <c r="X145" s="410"/>
      <c r="Y145" s="402"/>
      <c r="Z145" s="402"/>
      <c r="AA145" s="402"/>
      <c r="AB145" s="407"/>
    </row>
    <row r="146" spans="1:28" x14ac:dyDescent="0.15">
      <c r="A146" s="402"/>
      <c r="B146" s="403"/>
      <c r="C146" s="404"/>
      <c r="D146" s="402"/>
      <c r="E146" s="403"/>
      <c r="F146" s="402"/>
      <c r="G146" s="402"/>
      <c r="H146" s="402"/>
      <c r="I146" s="402"/>
      <c r="J146" s="402"/>
      <c r="K146" s="402"/>
      <c r="L146" s="402"/>
      <c r="M146" s="402"/>
      <c r="N146" s="402"/>
      <c r="O146" s="402"/>
      <c r="P146" s="402"/>
      <c r="Q146" s="402"/>
      <c r="R146" s="402"/>
      <c r="S146" s="402"/>
      <c r="T146" s="402"/>
      <c r="U146" s="402"/>
      <c r="V146" s="402"/>
      <c r="W146" s="402"/>
      <c r="X146" s="410"/>
      <c r="Y146" s="402"/>
      <c r="Z146" s="402"/>
      <c r="AA146" s="402"/>
      <c r="AB146" s="407"/>
    </row>
    <row r="147" spans="1:28" x14ac:dyDescent="0.15">
      <c r="A147" s="402"/>
      <c r="B147" s="403"/>
      <c r="C147" s="404"/>
      <c r="D147" s="402"/>
      <c r="E147" s="403"/>
      <c r="F147" s="402"/>
      <c r="G147" s="402"/>
      <c r="H147" s="402"/>
      <c r="I147" s="402"/>
      <c r="J147" s="402"/>
      <c r="K147" s="402"/>
      <c r="L147" s="402"/>
      <c r="M147" s="402"/>
      <c r="N147" s="402"/>
      <c r="O147" s="402"/>
      <c r="P147" s="402"/>
      <c r="Q147" s="402"/>
      <c r="R147" s="402"/>
      <c r="S147" s="402"/>
      <c r="T147" s="402"/>
      <c r="U147" s="402"/>
      <c r="V147" s="402"/>
      <c r="W147" s="402"/>
      <c r="X147" s="410"/>
      <c r="Y147" s="402"/>
      <c r="Z147" s="402"/>
      <c r="AA147" s="402"/>
      <c r="AB147" s="407"/>
    </row>
    <row r="148" spans="1:28" x14ac:dyDescent="0.15">
      <c r="A148" s="402"/>
      <c r="B148" s="403"/>
      <c r="C148" s="404"/>
      <c r="D148" s="402"/>
      <c r="E148" s="403"/>
      <c r="F148" s="402"/>
      <c r="G148" s="402"/>
      <c r="H148" s="402"/>
      <c r="I148" s="402"/>
      <c r="J148" s="402"/>
      <c r="K148" s="402"/>
      <c r="L148" s="402"/>
      <c r="M148" s="402"/>
      <c r="N148" s="402"/>
      <c r="O148" s="402"/>
      <c r="P148" s="402"/>
      <c r="Q148" s="402"/>
      <c r="R148" s="402"/>
      <c r="S148" s="402"/>
      <c r="T148" s="402"/>
      <c r="U148" s="402"/>
      <c r="V148" s="402"/>
      <c r="W148" s="402"/>
      <c r="X148" s="410"/>
      <c r="Y148" s="402"/>
      <c r="Z148" s="402"/>
      <c r="AA148" s="402"/>
      <c r="AB148" s="407"/>
    </row>
    <row r="149" spans="1:28" x14ac:dyDescent="0.15">
      <c r="A149" s="402"/>
      <c r="B149" s="403"/>
      <c r="C149" s="404"/>
      <c r="D149" s="402"/>
      <c r="E149" s="403"/>
      <c r="F149" s="402"/>
      <c r="G149" s="402"/>
      <c r="H149" s="402"/>
      <c r="I149" s="402"/>
      <c r="J149" s="402"/>
      <c r="K149" s="402"/>
      <c r="L149" s="402"/>
      <c r="M149" s="402"/>
      <c r="N149" s="402"/>
      <c r="O149" s="402"/>
      <c r="P149" s="402"/>
      <c r="Q149" s="402"/>
      <c r="R149" s="402"/>
      <c r="S149" s="402"/>
      <c r="T149" s="402"/>
      <c r="U149" s="402"/>
      <c r="V149" s="402"/>
      <c r="W149" s="402"/>
      <c r="X149" s="410"/>
      <c r="Y149" s="402"/>
      <c r="Z149" s="402"/>
      <c r="AA149" s="402"/>
      <c r="AB149" s="407"/>
    </row>
    <row r="150" spans="1:28" x14ac:dyDescent="0.15">
      <c r="A150" s="402"/>
      <c r="B150" s="403"/>
      <c r="C150" s="404"/>
      <c r="D150" s="402"/>
      <c r="E150" s="403"/>
      <c r="F150" s="402"/>
      <c r="G150" s="402"/>
      <c r="H150" s="402"/>
      <c r="I150" s="402"/>
      <c r="J150" s="402"/>
      <c r="K150" s="402"/>
      <c r="L150" s="402"/>
      <c r="M150" s="402"/>
      <c r="N150" s="402"/>
      <c r="O150" s="402"/>
      <c r="P150" s="402"/>
      <c r="Q150" s="402"/>
      <c r="R150" s="402"/>
      <c r="S150" s="402"/>
      <c r="T150" s="402"/>
      <c r="U150" s="402"/>
      <c r="V150" s="402"/>
      <c r="W150" s="402"/>
      <c r="X150" s="410"/>
      <c r="Y150" s="402"/>
      <c r="Z150" s="402"/>
      <c r="AA150" s="402"/>
      <c r="AB150" s="407"/>
    </row>
    <row r="151" spans="1:28" x14ac:dyDescent="0.15">
      <c r="A151" s="402"/>
      <c r="B151" s="403"/>
      <c r="C151" s="404"/>
      <c r="D151" s="402"/>
      <c r="E151" s="403"/>
      <c r="F151" s="402"/>
      <c r="G151" s="402"/>
      <c r="H151" s="402"/>
      <c r="I151" s="402"/>
      <c r="J151" s="402"/>
      <c r="K151" s="402"/>
      <c r="L151" s="402"/>
      <c r="M151" s="402"/>
      <c r="N151" s="402"/>
      <c r="O151" s="402"/>
      <c r="P151" s="402"/>
      <c r="Q151" s="402"/>
      <c r="R151" s="402"/>
      <c r="S151" s="402"/>
      <c r="T151" s="402"/>
      <c r="U151" s="402"/>
      <c r="V151" s="402"/>
      <c r="W151" s="402"/>
      <c r="X151" s="410"/>
      <c r="Y151" s="402"/>
      <c r="Z151" s="402"/>
      <c r="AA151" s="402"/>
      <c r="AB151" s="407"/>
    </row>
    <row r="152" spans="1:28" x14ac:dyDescent="0.15">
      <c r="A152" s="402"/>
      <c r="B152" s="403"/>
      <c r="C152" s="404"/>
      <c r="D152" s="402"/>
      <c r="E152" s="403"/>
      <c r="F152" s="402"/>
      <c r="G152" s="402"/>
      <c r="H152" s="402"/>
      <c r="I152" s="402"/>
      <c r="J152" s="402"/>
      <c r="K152" s="402"/>
      <c r="L152" s="402"/>
      <c r="M152" s="402"/>
      <c r="N152" s="402"/>
      <c r="O152" s="402"/>
      <c r="P152" s="402"/>
      <c r="Q152" s="402"/>
      <c r="R152" s="402"/>
      <c r="S152" s="402"/>
      <c r="T152" s="402"/>
      <c r="U152" s="402"/>
      <c r="V152" s="402"/>
      <c r="W152" s="402"/>
      <c r="X152" s="410"/>
      <c r="Y152" s="402"/>
      <c r="Z152" s="402"/>
      <c r="AA152" s="402"/>
      <c r="AB152" s="407"/>
    </row>
    <row r="153" spans="1:28" x14ac:dyDescent="0.15">
      <c r="A153" s="402"/>
      <c r="B153" s="403"/>
      <c r="C153" s="404"/>
      <c r="D153" s="402"/>
      <c r="E153" s="403"/>
      <c r="F153" s="402"/>
      <c r="G153" s="402"/>
      <c r="H153" s="402"/>
      <c r="I153" s="402"/>
      <c r="J153" s="402"/>
      <c r="K153" s="402"/>
      <c r="L153" s="402"/>
      <c r="M153" s="402"/>
      <c r="N153" s="402"/>
      <c r="O153" s="402"/>
      <c r="P153" s="402"/>
      <c r="Q153" s="402"/>
      <c r="R153" s="402"/>
      <c r="S153" s="402"/>
      <c r="T153" s="402"/>
      <c r="U153" s="402"/>
      <c r="V153" s="402"/>
      <c r="W153" s="402"/>
      <c r="X153" s="410"/>
      <c r="Y153" s="402"/>
      <c r="Z153" s="402"/>
      <c r="AA153" s="402"/>
      <c r="AB153" s="407"/>
    </row>
  </sheetData>
  <autoFilter ref="A3:AB71" xr:uid="{B2B33905-2568-4FDE-8F1C-C7084A38A9F3}">
    <sortState xmlns:xlrd2="http://schemas.microsoft.com/office/spreadsheetml/2017/richdata2" ref="A4:AB70">
      <sortCondition ref="C3:C69"/>
    </sortState>
  </autoFilter>
  <mergeCells count="1">
    <mergeCell ref="AA71:AB71"/>
  </mergeCells>
  <hyperlinks>
    <hyperlink ref="H2" r:id="rId1" xr:uid="{384E6170-1C9A-49BE-8B0F-292BA223090B}"/>
    <hyperlink ref="I2" r:id="rId2" xr:uid="{4ABAE023-7DBE-4625-9C2D-24130628DDA5}"/>
    <hyperlink ref="J2" r:id="rId3" xr:uid="{0EDF2EE2-9D1C-48DA-8B4E-224F9D08C022}"/>
    <hyperlink ref="K2" r:id="rId4" xr:uid="{25D9D336-B634-4B16-B0D7-628358099A73}"/>
    <hyperlink ref="L2" r:id="rId5" xr:uid="{108D026D-3D29-4CC7-9CBE-A182DFE4D864}"/>
    <hyperlink ref="M2" r:id="rId6" xr:uid="{595FF220-A289-4077-8E83-BDF908AC62A8}"/>
    <hyperlink ref="S2" r:id="rId7" xr:uid="{50D71965-C656-4D20-946B-41ECBBBA56D5}"/>
  </hyperlinks>
  <pageMargins left="0.7" right="0.7" top="0.75" bottom="0.75" header="0.3" footer="0.3"/>
  <pageSetup paperSize="9" orientation="portrait" r:id="rId8"/>
  <drawing r:id="rId9"/>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9CE32A-29E1-4742-8807-C95DE43AF52E}">
  <sheetPr>
    <tabColor rgb="FFFFC000"/>
    <pageSetUpPr fitToPage="1"/>
  </sheetPr>
  <dimension ref="A1:I53"/>
  <sheetViews>
    <sheetView view="pageBreakPreview" topLeftCell="A37" zoomScale="115" zoomScaleNormal="100" zoomScaleSheetLayoutView="115" workbookViewId="0">
      <selection activeCell="E42" sqref="E42"/>
    </sheetView>
  </sheetViews>
  <sheetFormatPr baseColWidth="10" defaultColWidth="11.5" defaultRowHeight="13" x14ac:dyDescent="0.15"/>
  <cols>
    <col min="1" max="1" width="5.5" style="244" customWidth="1"/>
    <col min="2" max="2" width="49.5" style="244" customWidth="1"/>
    <col min="3" max="3" width="16.83203125" style="280" customWidth="1"/>
    <col min="4" max="4" width="15.33203125" style="280" customWidth="1"/>
    <col min="5" max="5" width="13.83203125" style="244" customWidth="1"/>
    <col min="6" max="16384" width="11.5" style="244"/>
  </cols>
  <sheetData>
    <row r="1" spans="1:5" x14ac:dyDescent="0.15">
      <c r="A1" s="243"/>
      <c r="B1" s="554" t="s">
        <v>100</v>
      </c>
      <c r="C1" s="554"/>
      <c r="D1" s="554"/>
      <c r="E1" s="554"/>
    </row>
    <row r="2" spans="1:5" x14ac:dyDescent="0.15">
      <c r="A2" s="245"/>
      <c r="B2" s="555" t="s">
        <v>101</v>
      </c>
      <c r="C2" s="555"/>
      <c r="D2" s="555"/>
      <c r="E2" s="555"/>
    </row>
    <row r="3" spans="1:5" ht="9.75" customHeight="1" x14ac:dyDescent="0.15">
      <c r="A3" s="247"/>
      <c r="B3" s="246"/>
      <c r="C3" s="273"/>
    </row>
    <row r="4" spans="1:5" ht="12.75" customHeight="1" x14ac:dyDescent="0.15">
      <c r="A4" s="248"/>
      <c r="B4" s="556" t="s">
        <v>102</v>
      </c>
      <c r="C4" s="556"/>
      <c r="D4" s="556"/>
      <c r="E4" s="556"/>
    </row>
    <row r="5" spans="1:5" x14ac:dyDescent="0.15">
      <c r="A5" s="245" t="s">
        <v>103</v>
      </c>
      <c r="B5" s="246"/>
      <c r="C5" s="273"/>
    </row>
    <row r="6" spans="1:5" ht="45.75" customHeight="1" x14ac:dyDescent="0.15">
      <c r="A6" s="249"/>
      <c r="B6" s="557" t="s">
        <v>302</v>
      </c>
      <c r="C6" s="558"/>
      <c r="D6" s="559"/>
      <c r="E6" s="251"/>
    </row>
    <row r="7" spans="1:5" ht="28.5" customHeight="1" x14ac:dyDescent="0.15">
      <c r="B7" s="250"/>
      <c r="C7" s="274"/>
      <c r="D7" s="274"/>
      <c r="E7" s="251"/>
    </row>
    <row r="8" spans="1:5" x14ac:dyDescent="0.15">
      <c r="A8" s="252" t="s">
        <v>104</v>
      </c>
      <c r="B8" s="253" t="s">
        <v>45</v>
      </c>
      <c r="C8" s="275" t="s">
        <v>105</v>
      </c>
      <c r="D8" s="281" t="s">
        <v>106</v>
      </c>
      <c r="E8" s="254" t="s">
        <v>107</v>
      </c>
    </row>
    <row r="9" spans="1:5" ht="60" x14ac:dyDescent="0.15">
      <c r="A9" s="271"/>
      <c r="B9" s="322" t="s">
        <v>76</v>
      </c>
      <c r="C9" s="292">
        <f>SUM(C10:C13)</f>
        <v>363500</v>
      </c>
      <c r="D9" s="292">
        <v>535000</v>
      </c>
      <c r="E9" s="286">
        <f>AVERAGE(D9,C9)</f>
        <v>449250</v>
      </c>
    </row>
    <row r="10" spans="1:5" ht="15" x14ac:dyDescent="0.15">
      <c r="A10" s="271"/>
      <c r="B10" s="272" t="s">
        <v>197</v>
      </c>
      <c r="C10" s="283">
        <v>65000</v>
      </c>
      <c r="D10" s="283"/>
      <c r="E10" s="286"/>
    </row>
    <row r="11" spans="1:5" ht="15" x14ac:dyDescent="0.15">
      <c r="A11" s="271"/>
      <c r="B11" s="272" t="s">
        <v>198</v>
      </c>
      <c r="C11" s="283">
        <v>180000</v>
      </c>
      <c r="D11" s="283"/>
      <c r="E11" s="286"/>
    </row>
    <row r="12" spans="1:5" ht="15" x14ac:dyDescent="0.15">
      <c r="A12" s="271"/>
      <c r="B12" s="272" t="s">
        <v>199</v>
      </c>
      <c r="C12" s="283">
        <v>115000</v>
      </c>
      <c r="D12" s="283"/>
      <c r="E12" s="286"/>
    </row>
    <row r="13" spans="1:5" ht="15" x14ac:dyDescent="0.15">
      <c r="A13" s="271"/>
      <c r="B13" s="272" t="s">
        <v>200</v>
      </c>
      <c r="C13" s="283">
        <v>3500</v>
      </c>
      <c r="D13" s="283"/>
      <c r="E13" s="286"/>
    </row>
    <row r="14" spans="1:5" ht="45" x14ac:dyDescent="0.15">
      <c r="A14" s="268"/>
      <c r="B14" s="323" t="s">
        <v>78</v>
      </c>
      <c r="C14" s="293">
        <f>SUM(C15:C19)</f>
        <v>705000</v>
      </c>
      <c r="D14" s="293">
        <v>770249</v>
      </c>
      <c r="E14" s="286">
        <f>ROUND(AVERAGE(D14,C14),0)</f>
        <v>737625</v>
      </c>
    </row>
    <row r="15" spans="1:5" ht="15" x14ac:dyDescent="0.15">
      <c r="A15" s="268"/>
      <c r="B15" s="269" t="s">
        <v>201</v>
      </c>
      <c r="C15" s="284">
        <v>130000</v>
      </c>
      <c r="D15" s="284"/>
      <c r="E15" s="286"/>
    </row>
    <row r="16" spans="1:5" ht="15" x14ac:dyDescent="0.15">
      <c r="A16" s="268"/>
      <c r="B16" s="269" t="s">
        <v>202</v>
      </c>
      <c r="C16" s="284">
        <v>55000</v>
      </c>
      <c r="D16" s="284"/>
      <c r="E16" s="286"/>
    </row>
    <row r="17" spans="1:5" ht="15" x14ac:dyDescent="0.15">
      <c r="A17" s="268"/>
      <c r="B17" s="269" t="s">
        <v>203</v>
      </c>
      <c r="C17" s="284">
        <v>235000</v>
      </c>
      <c r="D17" s="284"/>
      <c r="E17" s="286"/>
    </row>
    <row r="18" spans="1:5" ht="15" x14ac:dyDescent="0.15">
      <c r="A18" s="268"/>
      <c r="B18" s="269" t="s">
        <v>204</v>
      </c>
      <c r="C18" s="284">
        <v>225000</v>
      </c>
      <c r="D18" s="284"/>
      <c r="E18" s="286"/>
    </row>
    <row r="19" spans="1:5" ht="15" x14ac:dyDescent="0.15">
      <c r="A19" s="268"/>
      <c r="B19" s="269" t="s">
        <v>205</v>
      </c>
      <c r="C19" s="284">
        <v>60000</v>
      </c>
      <c r="D19" s="284"/>
      <c r="E19" s="286"/>
    </row>
    <row r="20" spans="1:5" ht="60" x14ac:dyDescent="0.15">
      <c r="A20" s="268"/>
      <c r="B20" s="323" t="s">
        <v>79</v>
      </c>
      <c r="C20" s="293"/>
      <c r="D20" s="293">
        <v>116235</v>
      </c>
      <c r="E20" s="286">
        <f t="shared" ref="E20:E43" si="0">AVERAGE(D20,C20)</f>
        <v>116235</v>
      </c>
    </row>
    <row r="21" spans="1:5" ht="60" x14ac:dyDescent="0.15">
      <c r="A21" s="560"/>
      <c r="B21" s="323" t="s">
        <v>80</v>
      </c>
      <c r="C21" s="287">
        <f>SUM(C22:C25)</f>
        <v>84000</v>
      </c>
      <c r="D21" s="287">
        <f>SUM(D22:D25)</f>
        <v>73000</v>
      </c>
      <c r="E21" s="286">
        <f t="shared" si="0"/>
        <v>78500</v>
      </c>
    </row>
    <row r="22" spans="1:5" ht="15" x14ac:dyDescent="0.15">
      <c r="A22" s="561"/>
      <c r="B22" s="269" t="s">
        <v>187</v>
      </c>
      <c r="C22" s="284">
        <v>30000</v>
      </c>
      <c r="D22" s="284">
        <v>25000</v>
      </c>
      <c r="E22" s="286"/>
    </row>
    <row r="23" spans="1:5" ht="15" x14ac:dyDescent="0.15">
      <c r="A23" s="561"/>
      <c r="B23" s="269" t="s">
        <v>188</v>
      </c>
      <c r="C23" s="284">
        <v>30000</v>
      </c>
      <c r="D23" s="284">
        <v>25000</v>
      </c>
      <c r="E23" s="286"/>
    </row>
    <row r="24" spans="1:5" ht="15" x14ac:dyDescent="0.15">
      <c r="A24" s="561"/>
      <c r="B24" s="269" t="s">
        <v>189</v>
      </c>
      <c r="C24" s="284">
        <v>9000</v>
      </c>
      <c r="D24" s="284">
        <v>15000</v>
      </c>
      <c r="E24" s="286"/>
    </row>
    <row r="25" spans="1:5" ht="15" x14ac:dyDescent="0.15">
      <c r="A25" s="561"/>
      <c r="B25" s="269" t="s">
        <v>190</v>
      </c>
      <c r="C25" s="284">
        <v>15000</v>
      </c>
      <c r="D25" s="284">
        <v>8000</v>
      </c>
      <c r="E25" s="286"/>
    </row>
    <row r="26" spans="1:5" ht="75" x14ac:dyDescent="0.15">
      <c r="A26" s="270"/>
      <c r="B26" s="323" t="s">
        <v>81</v>
      </c>
      <c r="C26" s="287">
        <f>SUM(C27:C33)</f>
        <v>119000</v>
      </c>
      <c r="D26" s="287">
        <f>SUM(D27:D31)</f>
        <v>172000</v>
      </c>
      <c r="E26" s="289">
        <f t="shared" si="0"/>
        <v>145500</v>
      </c>
    </row>
    <row r="27" spans="1:5" ht="15" x14ac:dyDescent="0.15">
      <c r="A27" s="270"/>
      <c r="B27" s="269" t="s">
        <v>191</v>
      </c>
      <c r="C27" s="284">
        <v>15000</v>
      </c>
      <c r="D27" s="284">
        <v>8000</v>
      </c>
      <c r="E27" s="286"/>
    </row>
    <row r="28" spans="1:5" ht="15" x14ac:dyDescent="0.15">
      <c r="A28" s="270"/>
      <c r="B28" s="269" t="s">
        <v>192</v>
      </c>
      <c r="C28" s="284">
        <v>15000</v>
      </c>
      <c r="D28" s="284">
        <v>19000</v>
      </c>
      <c r="E28" s="286"/>
    </row>
    <row r="29" spans="1:5" ht="15" x14ac:dyDescent="0.15">
      <c r="A29" s="270"/>
      <c r="B29" s="269" t="s">
        <v>193</v>
      </c>
      <c r="C29" s="284">
        <v>30000</v>
      </c>
      <c r="D29" s="284">
        <v>65000</v>
      </c>
      <c r="E29" s="286"/>
    </row>
    <row r="30" spans="1:5" ht="15" x14ac:dyDescent="0.15">
      <c r="A30" s="270"/>
      <c r="B30" s="269" t="s">
        <v>194</v>
      </c>
      <c r="C30" s="284">
        <v>30000</v>
      </c>
      <c r="D30" s="284">
        <v>65000</v>
      </c>
      <c r="E30" s="286"/>
    </row>
    <row r="31" spans="1:5" ht="15" x14ac:dyDescent="0.15">
      <c r="A31" s="270"/>
      <c r="B31" s="269" t="s">
        <v>189</v>
      </c>
      <c r="C31" s="284">
        <v>9000</v>
      </c>
      <c r="D31" s="284">
        <v>15000</v>
      </c>
      <c r="E31" s="286"/>
    </row>
    <row r="32" spans="1:5" ht="15" x14ac:dyDescent="0.15">
      <c r="A32" s="270"/>
      <c r="B32" s="269" t="s">
        <v>195</v>
      </c>
      <c r="C32" s="284">
        <v>10000</v>
      </c>
      <c r="D32" s="284"/>
      <c r="E32" s="286"/>
    </row>
    <row r="33" spans="1:9" ht="15" x14ac:dyDescent="0.15">
      <c r="A33" s="270"/>
      <c r="B33" s="269" t="s">
        <v>196</v>
      </c>
      <c r="C33" s="284">
        <v>10000</v>
      </c>
      <c r="D33" s="284"/>
      <c r="E33" s="286"/>
    </row>
    <row r="34" spans="1:9" ht="105" x14ac:dyDescent="0.15">
      <c r="A34" s="270"/>
      <c r="B34" s="323" t="s">
        <v>82</v>
      </c>
      <c r="C34" s="291"/>
      <c r="D34" s="291">
        <v>199999</v>
      </c>
      <c r="E34" s="286">
        <f t="shared" si="0"/>
        <v>199999</v>
      </c>
    </row>
    <row r="35" spans="1:9" ht="30" x14ac:dyDescent="0.15">
      <c r="A35" s="270"/>
      <c r="B35" s="323" t="s">
        <v>83</v>
      </c>
      <c r="C35" s="287">
        <f>1200000*1.19</f>
        <v>1428000</v>
      </c>
      <c r="D35" s="287">
        <v>1785000</v>
      </c>
      <c r="E35" s="286">
        <f t="shared" si="0"/>
        <v>1606500</v>
      </c>
    </row>
    <row r="36" spans="1:9" ht="15" x14ac:dyDescent="0.15">
      <c r="A36" s="268"/>
      <c r="B36" s="269" t="s">
        <v>87</v>
      </c>
      <c r="C36" s="285"/>
      <c r="D36" s="285"/>
      <c r="E36" s="286" t="e">
        <f t="shared" si="0"/>
        <v>#DIV/0!</v>
      </c>
    </row>
    <row r="37" spans="1:9" ht="105" x14ac:dyDescent="0.15">
      <c r="A37" s="268"/>
      <c r="B37" s="323" t="s">
        <v>88</v>
      </c>
      <c r="C37" s="284">
        <f>47500+165000+28000</f>
        <v>240500</v>
      </c>
      <c r="D37" s="284"/>
      <c r="E37" s="286">
        <f t="shared" si="0"/>
        <v>240500</v>
      </c>
    </row>
    <row r="38" spans="1:9" ht="14" x14ac:dyDescent="0.15">
      <c r="A38" s="268"/>
      <c r="B38" s="269"/>
      <c r="C38" s="284"/>
      <c r="D38" s="284"/>
      <c r="E38" s="286"/>
    </row>
    <row r="39" spans="1:9" ht="14" x14ac:dyDescent="0.15">
      <c r="A39" s="268"/>
      <c r="B39" s="269"/>
      <c r="C39" s="284"/>
      <c r="D39" s="284"/>
      <c r="E39" s="286"/>
    </row>
    <row r="40" spans="1:9" ht="14" x14ac:dyDescent="0.15">
      <c r="A40" s="268"/>
      <c r="B40" s="269"/>
      <c r="C40" s="284"/>
      <c r="D40" s="284"/>
      <c r="E40" s="286"/>
    </row>
    <row r="41" spans="1:9" ht="14" x14ac:dyDescent="0.15">
      <c r="A41" s="268"/>
      <c r="B41" s="269"/>
      <c r="C41" s="284"/>
      <c r="D41" s="284"/>
      <c r="E41" s="286"/>
    </row>
    <row r="42" spans="1:9" ht="15" x14ac:dyDescent="0.15">
      <c r="A42" s="268"/>
      <c r="B42" s="269" t="s">
        <v>92</v>
      </c>
      <c r="C42" s="284"/>
      <c r="D42" s="291">
        <v>467400</v>
      </c>
      <c r="E42" s="286">
        <f t="shared" si="0"/>
        <v>467400</v>
      </c>
    </row>
    <row r="43" spans="1:9" ht="150" x14ac:dyDescent="0.15">
      <c r="A43" s="268"/>
      <c r="B43" s="323" t="s">
        <v>93</v>
      </c>
      <c r="C43" s="290">
        <v>50000</v>
      </c>
      <c r="D43" s="290">
        <v>29000</v>
      </c>
      <c r="E43" s="286">
        <f t="shared" si="0"/>
        <v>39500</v>
      </c>
    </row>
    <row r="44" spans="1:9" ht="14.25" customHeight="1" x14ac:dyDescent="0.15">
      <c r="A44" s="256"/>
      <c r="B44" s="267"/>
      <c r="C44" s="276"/>
      <c r="D44" s="276"/>
    </row>
    <row r="45" spans="1:9" ht="14.25" customHeight="1" x14ac:dyDescent="0.15">
      <c r="A45" s="256"/>
      <c r="B45" s="267"/>
      <c r="C45" s="276"/>
      <c r="D45" s="276"/>
    </row>
    <row r="46" spans="1:9" ht="14.25" customHeight="1" x14ac:dyDescent="0.15">
      <c r="A46" s="256"/>
      <c r="B46" s="267"/>
      <c r="C46" s="276"/>
      <c r="D46" s="276"/>
    </row>
    <row r="47" spans="1:9" x14ac:dyDescent="0.15">
      <c r="A47" s="256"/>
      <c r="B47" s="255"/>
      <c r="C47" s="277"/>
    </row>
    <row r="48" spans="1:9" s="258" customFormat="1" ht="13.5" customHeight="1" x14ac:dyDescent="0.15">
      <c r="A48" s="257"/>
      <c r="B48" s="258" t="s">
        <v>108</v>
      </c>
      <c r="C48" s="278"/>
      <c r="D48" s="278"/>
      <c r="I48" s="259"/>
    </row>
    <row r="49" spans="1:9" s="258" customFormat="1" x14ac:dyDescent="0.15">
      <c r="A49" s="260"/>
      <c r="B49" s="261"/>
      <c r="C49" s="278"/>
      <c r="D49" s="278"/>
      <c r="F49" s="262"/>
      <c r="I49" s="259"/>
    </row>
    <row r="50" spans="1:9" s="258" customFormat="1" ht="14" thickBot="1" x14ac:dyDescent="0.2">
      <c r="A50" s="263"/>
      <c r="B50" s="264" t="s">
        <v>109</v>
      </c>
      <c r="C50" s="279"/>
      <c r="D50" s="279"/>
      <c r="E50" s="264"/>
      <c r="I50" s="259"/>
    </row>
    <row r="51" spans="1:9" x14ac:dyDescent="0.15">
      <c r="A51" s="265"/>
      <c r="B51" s="266"/>
      <c r="C51" s="277"/>
    </row>
    <row r="52" spans="1:9" x14ac:dyDescent="0.15">
      <c r="A52" s="265"/>
      <c r="B52" s="255"/>
      <c r="C52" s="277"/>
    </row>
    <row r="53" spans="1:9" x14ac:dyDescent="0.15">
      <c r="A53" s="265"/>
      <c r="B53" s="255"/>
      <c r="C53" s="277"/>
    </row>
  </sheetData>
  <mergeCells count="5">
    <mergeCell ref="B1:E1"/>
    <mergeCell ref="B2:E2"/>
    <mergeCell ref="B4:E4"/>
    <mergeCell ref="B6:D6"/>
    <mergeCell ref="A21:A25"/>
  </mergeCells>
  <printOptions horizontalCentered="1"/>
  <pageMargins left="0.70866141732283472" right="0.70866141732283472" top="0.74803149606299213" bottom="0.74803149606299213" header="0.31496062992125984" footer="0.31496062992125984"/>
  <pageSetup scale="8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APIU</vt:lpstr>
      <vt:lpstr>PGIO</vt:lpstr>
      <vt:lpstr>EJE S&amp;SO_Examenes Ocupacionales</vt:lpstr>
      <vt:lpstr>COTIZACIONES</vt:lpstr>
      <vt:lpstr>FAC. PRES_OBRA</vt:lpstr>
      <vt:lpstr>analisis insumos</vt:lpstr>
      <vt:lpstr>APIU!Área_de_impresión</vt:lpstr>
      <vt:lpstr>'EJE S&amp;SO_Examenes Ocupacionales'!Área_de_impresión</vt:lpstr>
      <vt:lpstr>PGIO!Área_de_impresión</vt:lpstr>
      <vt:lpstr>APIU!Títulos_a_imprimir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GRUPO CD</dc:creator>
  <cp:keywords/>
  <dc:description/>
  <cp:lastModifiedBy>Cesar Dimas Doria</cp:lastModifiedBy>
  <cp:revision/>
  <cp:lastPrinted>2024-01-30T03:28:58Z</cp:lastPrinted>
  <dcterms:created xsi:type="dcterms:W3CDTF">2020-08-02T01:31:12Z</dcterms:created>
  <dcterms:modified xsi:type="dcterms:W3CDTF">2025-10-30T01:04:17Z</dcterms:modified>
  <cp:category/>
  <cp:contentStatus/>
</cp:coreProperties>
</file>