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ACKUP INFO 30 SEPTIEMBRE 2023\BACKUP CARPER USUARIO 30 SEPTIEMBRE 2023\Desktop\NEIVA 2025\17. CM 002 BIENESTAR ANIMAL\"/>
    </mc:Choice>
  </mc:AlternateContent>
  <bookViews>
    <workbookView xWindow="0" yWindow="0" windowWidth="20490" windowHeight="7155" firstSheet="1" activeTab="1"/>
  </bookViews>
  <sheets>
    <sheet name="PROFESIONALES" sheetId="53" state="hidden" r:id="rId1"/>
    <sheet name="Productos" sheetId="54" r:id="rId2"/>
    <sheet name="APUS" sheetId="55" state="hidden" r:id="rId3"/>
    <sheet name="CRONOGRAMA" sheetId="58" state="hidden" r:id="rId4"/>
    <sheet name="F.P" sheetId="59" r:id="rId5"/>
    <sheet name="HONORARIOS" sheetId="5" state="hidden" r:id="rId6"/>
  </sheets>
  <externalReferences>
    <externalReference r:id="rId7"/>
  </externalReferences>
  <definedNames>
    <definedName name="AA_Cuadrillas">'[1]08'!$A$23:$O$69</definedName>
    <definedName name="AA_Equipos">'[1]10'!$C$5:$O$227</definedName>
    <definedName name="AA_Materiales">'[1]09'!$C:$R</definedName>
    <definedName name="_xlnm.Print_Area" localSheetId="2">APUS!$A$1:$N$722</definedName>
    <definedName name="_xlnm.Print_Area" localSheetId="3">CRONOGRAMA!$A$1:$CO$29</definedName>
    <definedName name="_xlnm.Print_Area" localSheetId="1">Productos!$A$1:$E$39</definedName>
    <definedName name="_xlnm.Print_Area" localSheetId="0">PROFESIONALES!$A$1:$J$55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8" i="59" l="1"/>
  <c r="A712" i="55" l="1"/>
  <c r="K666" i="55"/>
  <c r="K667" i="55"/>
  <c r="K668" i="55"/>
  <c r="K669" i="55"/>
  <c r="A669" i="55"/>
  <c r="I668" i="55"/>
  <c r="A668" i="55"/>
  <c r="A628" i="55"/>
  <c r="A379" i="55"/>
  <c r="K379" i="55"/>
  <c r="K176" i="55"/>
  <c r="A176" i="55"/>
  <c r="K128" i="55"/>
  <c r="K129" i="55"/>
  <c r="K130" i="55"/>
  <c r="A130" i="55"/>
  <c r="A87" i="55"/>
  <c r="K41" i="55"/>
  <c r="A41" i="55"/>
  <c r="F14" i="53"/>
  <c r="I712" i="55" s="1"/>
  <c r="C14" i="53"/>
  <c r="B1" i="58"/>
  <c r="B19" i="58"/>
  <c r="B18" i="58"/>
  <c r="B17" i="58"/>
  <c r="B16" i="58"/>
  <c r="B15" i="58"/>
  <c r="B14" i="58"/>
  <c r="B13" i="58"/>
  <c r="B12" i="58"/>
  <c r="B11" i="58"/>
  <c r="B10" i="58"/>
  <c r="B8" i="58"/>
  <c r="B9" i="58"/>
  <c r="B7" i="58"/>
  <c r="B6" i="58"/>
  <c r="B5" i="58"/>
  <c r="B4" i="58"/>
  <c r="B3" i="58"/>
  <c r="I669" i="55" l="1"/>
  <c r="M669" i="55" s="1"/>
  <c r="I130" i="55"/>
  <c r="M130" i="55" s="1"/>
  <c r="I379" i="55"/>
  <c r="M379" i="55" s="1"/>
  <c r="I628" i="55"/>
  <c r="I87" i="55"/>
  <c r="M87" i="55" s="1"/>
  <c r="I41" i="55"/>
  <c r="I176" i="55"/>
  <c r="A675" i="55"/>
  <c r="K712" i="55"/>
  <c r="M712" i="55" s="1"/>
  <c r="K711" i="55"/>
  <c r="I711" i="55"/>
  <c r="A711" i="55"/>
  <c r="K710" i="55"/>
  <c r="I710" i="55"/>
  <c r="A710" i="55"/>
  <c r="K709" i="55"/>
  <c r="I709" i="55"/>
  <c r="A709" i="55"/>
  <c r="K708" i="55"/>
  <c r="I708" i="55"/>
  <c r="M708" i="55" s="1"/>
  <c r="A708" i="55"/>
  <c r="M703" i="55"/>
  <c r="M702" i="55"/>
  <c r="M701" i="55"/>
  <c r="M694" i="55"/>
  <c r="I694" i="55"/>
  <c r="H694" i="55"/>
  <c r="M693" i="55"/>
  <c r="I693" i="55"/>
  <c r="H693" i="55"/>
  <c r="M692" i="55"/>
  <c r="I692" i="55"/>
  <c r="H692" i="55"/>
  <c r="M691" i="55"/>
  <c r="I691" i="55"/>
  <c r="H691" i="55"/>
  <c r="I690" i="55"/>
  <c r="H690" i="55"/>
  <c r="A690" i="55"/>
  <c r="M685" i="55"/>
  <c r="I685" i="55"/>
  <c r="H685" i="55"/>
  <c r="I683" i="55"/>
  <c r="H683" i="55"/>
  <c r="A683" i="55"/>
  <c r="I682" i="55"/>
  <c r="H682" i="55"/>
  <c r="A682" i="55"/>
  <c r="A678" i="55"/>
  <c r="B678" i="55"/>
  <c r="U21" i="55"/>
  <c r="H22" i="53"/>
  <c r="U20" i="55" s="1"/>
  <c r="AM7" i="55"/>
  <c r="AM18" i="55"/>
  <c r="I667" i="55"/>
  <c r="A667" i="55"/>
  <c r="K639" i="55"/>
  <c r="K638" i="55"/>
  <c r="T21" i="55"/>
  <c r="R21" i="55"/>
  <c r="AM20" i="55"/>
  <c r="T20" i="55"/>
  <c r="R20" i="55"/>
  <c r="H21" i="53"/>
  <c r="AM10" i="55"/>
  <c r="AL12" i="55"/>
  <c r="AL6" i="55"/>
  <c r="AP20" i="55"/>
  <c r="AO20" i="55"/>
  <c r="A631" i="55"/>
  <c r="B634" i="55" s="1"/>
  <c r="I666" i="55"/>
  <c r="A666" i="55"/>
  <c r="K665" i="55"/>
  <c r="I665" i="55"/>
  <c r="A665" i="55"/>
  <c r="K664" i="55"/>
  <c r="I664" i="55"/>
  <c r="A664" i="55"/>
  <c r="M659" i="55"/>
  <c r="M658" i="55"/>
  <c r="M657" i="55"/>
  <c r="M650" i="55"/>
  <c r="I650" i="55"/>
  <c r="H650" i="55"/>
  <c r="M649" i="55"/>
  <c r="I649" i="55"/>
  <c r="H649" i="55"/>
  <c r="M648" i="55"/>
  <c r="I648" i="55"/>
  <c r="H648" i="55"/>
  <c r="M647" i="55"/>
  <c r="I647" i="55"/>
  <c r="H647" i="55"/>
  <c r="I646" i="55"/>
  <c r="H646" i="55"/>
  <c r="A646" i="55"/>
  <c r="M641" i="55"/>
  <c r="I641" i="55"/>
  <c r="H641" i="55"/>
  <c r="I639" i="55"/>
  <c r="H639" i="55"/>
  <c r="A639" i="55"/>
  <c r="I638" i="55"/>
  <c r="H638" i="55"/>
  <c r="A638" i="55"/>
  <c r="A634" i="55"/>
  <c r="M710" i="55" l="1"/>
  <c r="I22" i="53"/>
  <c r="M704" i="55"/>
  <c r="L678" i="55" s="1"/>
  <c r="M709" i="55"/>
  <c r="M711" i="55"/>
  <c r="M660" i="55"/>
  <c r="L634" i="55" s="1"/>
  <c r="V21" i="55"/>
  <c r="M668" i="55" s="1"/>
  <c r="M682" i="55"/>
  <c r="M683" i="55"/>
  <c r="M690" i="55"/>
  <c r="M695" i="55" s="1"/>
  <c r="H678" i="55" s="1"/>
  <c r="V20" i="55"/>
  <c r="M667" i="55" s="1"/>
  <c r="M639" i="55"/>
  <c r="M638" i="55"/>
  <c r="M713" i="55" l="1"/>
  <c r="N678" i="55" s="1"/>
  <c r="M686" i="55"/>
  <c r="J678" i="55" s="1"/>
  <c r="M642" i="55"/>
  <c r="J634" i="55" s="1"/>
  <c r="F678" i="55" l="1"/>
  <c r="F679" i="55" s="1"/>
  <c r="I129" i="55"/>
  <c r="A129" i="55"/>
  <c r="I128" i="55"/>
  <c r="A128" i="55"/>
  <c r="I88" i="55"/>
  <c r="A88" i="55"/>
  <c r="I86" i="55"/>
  <c r="A86" i="55"/>
  <c r="I85" i="55"/>
  <c r="R15" i="55"/>
  <c r="I84" i="55"/>
  <c r="A84" i="55"/>
  <c r="I82" i="55"/>
  <c r="A82" i="55"/>
  <c r="K40" i="55"/>
  <c r="I40" i="55"/>
  <c r="A40" i="55"/>
  <c r="K28" i="55"/>
  <c r="U19" i="55"/>
  <c r="H33" i="53"/>
  <c r="A91" i="55"/>
  <c r="A44" i="55"/>
  <c r="A3" i="55"/>
  <c r="T10" i="55"/>
  <c r="K557" i="55"/>
  <c r="K599" i="55"/>
  <c r="K558" i="55"/>
  <c r="K518" i="55"/>
  <c r="K478" i="55"/>
  <c r="K435" i="55"/>
  <c r="K391" i="55"/>
  <c r="K350" i="55"/>
  <c r="K307" i="55"/>
  <c r="K267" i="55"/>
  <c r="K227" i="55"/>
  <c r="K187" i="55"/>
  <c r="K142" i="55"/>
  <c r="K100" i="55"/>
  <c r="K53" i="55"/>
  <c r="K12" i="55"/>
  <c r="A594" i="55"/>
  <c r="A553" i="55"/>
  <c r="A513" i="55"/>
  <c r="A473" i="55"/>
  <c r="AF12" i="55"/>
  <c r="AF6" i="55"/>
  <c r="K419" i="55"/>
  <c r="I419" i="55"/>
  <c r="B13" i="53"/>
  <c r="A430" i="55"/>
  <c r="A386" i="55"/>
  <c r="A383" i="55"/>
  <c r="B386" i="55" s="1"/>
  <c r="K418" i="55"/>
  <c r="I418" i="55"/>
  <c r="A418" i="55"/>
  <c r="K417" i="55"/>
  <c r="I417" i="55"/>
  <c r="A417" i="55"/>
  <c r="K416" i="55"/>
  <c r="I416" i="55"/>
  <c r="A416" i="55"/>
  <c r="M411" i="55"/>
  <c r="M410" i="55"/>
  <c r="M409" i="55"/>
  <c r="M402" i="55"/>
  <c r="I402" i="55"/>
  <c r="H402" i="55"/>
  <c r="M401" i="55"/>
  <c r="I401" i="55"/>
  <c r="H401" i="55"/>
  <c r="M400" i="55"/>
  <c r="I400" i="55"/>
  <c r="H400" i="55"/>
  <c r="M399" i="55"/>
  <c r="I399" i="55"/>
  <c r="H399" i="55"/>
  <c r="I398" i="55"/>
  <c r="H398" i="55"/>
  <c r="A398" i="55"/>
  <c r="M393" i="55"/>
  <c r="I393" i="55"/>
  <c r="H393" i="55"/>
  <c r="I391" i="55"/>
  <c r="H391" i="55"/>
  <c r="A391" i="55"/>
  <c r="I390" i="55"/>
  <c r="H390" i="55"/>
  <c r="A390" i="55"/>
  <c r="X12" i="55"/>
  <c r="Y12" i="55"/>
  <c r="Z12" i="55"/>
  <c r="AA12" i="55"/>
  <c r="AB12" i="55"/>
  <c r="AC12" i="55"/>
  <c r="AD12" i="55"/>
  <c r="AE12" i="55"/>
  <c r="AG12" i="55"/>
  <c r="AH12" i="55"/>
  <c r="AI12" i="55"/>
  <c r="AJ12" i="55"/>
  <c r="AK12" i="55"/>
  <c r="W12" i="55"/>
  <c r="AO6" i="55"/>
  <c r="AP6" i="55"/>
  <c r="AO7" i="55"/>
  <c r="AP7" i="55"/>
  <c r="AO8" i="55"/>
  <c r="AP8" i="55"/>
  <c r="AO9" i="55"/>
  <c r="AP9" i="55"/>
  <c r="AO10" i="55"/>
  <c r="AP10" i="55"/>
  <c r="AO11" i="55"/>
  <c r="AP11" i="55"/>
  <c r="AO12" i="55"/>
  <c r="AP12" i="55"/>
  <c r="AO13" i="55"/>
  <c r="AP13" i="55"/>
  <c r="AO14" i="55"/>
  <c r="AP14" i="55"/>
  <c r="AO15" i="55"/>
  <c r="AP15" i="55"/>
  <c r="AO16" i="55"/>
  <c r="AP16" i="55"/>
  <c r="AO17" i="55"/>
  <c r="AP17" i="55"/>
  <c r="AO18" i="55"/>
  <c r="AP18" i="55"/>
  <c r="AO19" i="55"/>
  <c r="AP19" i="55"/>
  <c r="AP5" i="55"/>
  <c r="AO5" i="55"/>
  <c r="X6" i="55"/>
  <c r="Y6" i="55"/>
  <c r="Z6" i="55"/>
  <c r="AA6" i="55"/>
  <c r="AB6" i="55"/>
  <c r="AC6" i="55"/>
  <c r="AD6" i="55"/>
  <c r="AE6" i="55"/>
  <c r="AG6" i="55"/>
  <c r="AH6" i="55"/>
  <c r="AI6" i="55"/>
  <c r="AJ6" i="55"/>
  <c r="AK6" i="55"/>
  <c r="W6" i="55"/>
  <c r="T7" i="55"/>
  <c r="T8" i="55"/>
  <c r="T9" i="55"/>
  <c r="T11" i="55"/>
  <c r="T12" i="55"/>
  <c r="T13" i="55"/>
  <c r="T14" i="55"/>
  <c r="T15" i="55"/>
  <c r="T17" i="55"/>
  <c r="T18" i="55"/>
  <c r="T19" i="55"/>
  <c r="T6" i="55"/>
  <c r="M352" i="55"/>
  <c r="M308" i="55"/>
  <c r="M228" i="55"/>
  <c r="M205" i="55"/>
  <c r="M206" i="55"/>
  <c r="M61" i="55"/>
  <c r="M62" i="55"/>
  <c r="M54" i="55"/>
  <c r="M13" i="55"/>
  <c r="M14" i="55"/>
  <c r="K284" i="55"/>
  <c r="I284" i="55"/>
  <c r="H284" i="55"/>
  <c r="A284" i="55"/>
  <c r="K204" i="55"/>
  <c r="I204" i="55"/>
  <c r="H204" i="55"/>
  <c r="A204" i="55"/>
  <c r="K70" i="55"/>
  <c r="I70" i="55"/>
  <c r="H70" i="55"/>
  <c r="A70" i="55"/>
  <c r="H28" i="55"/>
  <c r="I283" i="55"/>
  <c r="H283" i="55"/>
  <c r="A283" i="55"/>
  <c r="I203" i="55"/>
  <c r="H203" i="55"/>
  <c r="A203" i="55"/>
  <c r="I69" i="55"/>
  <c r="H69" i="55"/>
  <c r="A69" i="55"/>
  <c r="H27" i="55"/>
  <c r="I606" i="55"/>
  <c r="H606" i="55"/>
  <c r="A606" i="55"/>
  <c r="I565" i="55"/>
  <c r="H565" i="55"/>
  <c r="A565" i="55"/>
  <c r="I525" i="55"/>
  <c r="H525" i="55"/>
  <c r="A525" i="55"/>
  <c r="I485" i="55"/>
  <c r="H485" i="55"/>
  <c r="A485" i="55"/>
  <c r="I442" i="55"/>
  <c r="H442" i="55"/>
  <c r="A442" i="55"/>
  <c r="I357" i="55"/>
  <c r="H357" i="55"/>
  <c r="A357" i="55"/>
  <c r="I314" i="55"/>
  <c r="H314" i="55"/>
  <c r="A314" i="55"/>
  <c r="I274" i="55"/>
  <c r="H274" i="55"/>
  <c r="A274" i="55"/>
  <c r="I234" i="55"/>
  <c r="H234" i="55"/>
  <c r="A234" i="55"/>
  <c r="I194" i="55"/>
  <c r="H194" i="55"/>
  <c r="A194" i="55"/>
  <c r="I149" i="55"/>
  <c r="H149" i="55"/>
  <c r="A149" i="55"/>
  <c r="I107" i="55"/>
  <c r="H107" i="55"/>
  <c r="A107" i="55"/>
  <c r="I60" i="55"/>
  <c r="H60" i="55"/>
  <c r="A60" i="55"/>
  <c r="A19" i="55"/>
  <c r="H19" i="55"/>
  <c r="I19" i="55"/>
  <c r="I599" i="55"/>
  <c r="H599" i="55"/>
  <c r="A599" i="55"/>
  <c r="I598" i="55"/>
  <c r="H598" i="55"/>
  <c r="A598" i="55"/>
  <c r="I558" i="55"/>
  <c r="H558" i="55"/>
  <c r="A558" i="55"/>
  <c r="I557" i="55"/>
  <c r="H557" i="55"/>
  <c r="A557" i="55"/>
  <c r="I518" i="55"/>
  <c r="H518" i="55"/>
  <c r="A518" i="55"/>
  <c r="I517" i="55"/>
  <c r="H517" i="55"/>
  <c r="A517" i="55"/>
  <c r="I478" i="55"/>
  <c r="H478" i="55"/>
  <c r="A478" i="55"/>
  <c r="I477" i="55"/>
  <c r="H477" i="55"/>
  <c r="A477" i="55"/>
  <c r="I435" i="55"/>
  <c r="H435" i="55"/>
  <c r="A435" i="55"/>
  <c r="I434" i="55"/>
  <c r="H434" i="55"/>
  <c r="A434" i="55"/>
  <c r="I350" i="55"/>
  <c r="H350" i="55"/>
  <c r="A350" i="55"/>
  <c r="I349" i="55"/>
  <c r="H349" i="55"/>
  <c r="A349" i="55"/>
  <c r="I307" i="55"/>
  <c r="H307" i="55"/>
  <c r="A307" i="55"/>
  <c r="I306" i="55"/>
  <c r="H306" i="55"/>
  <c r="A306" i="55"/>
  <c r="I267" i="55"/>
  <c r="H267" i="55"/>
  <c r="A267" i="55"/>
  <c r="I266" i="55"/>
  <c r="H266" i="55"/>
  <c r="A266" i="55"/>
  <c r="I227" i="55"/>
  <c r="H227" i="55"/>
  <c r="A227" i="55"/>
  <c r="I226" i="55"/>
  <c r="H226" i="55"/>
  <c r="A226" i="55"/>
  <c r="I188" i="55"/>
  <c r="H188" i="55"/>
  <c r="I187" i="55"/>
  <c r="H187" i="55"/>
  <c r="A187" i="55"/>
  <c r="I186" i="55"/>
  <c r="H186" i="55"/>
  <c r="A186" i="55"/>
  <c r="I142" i="55"/>
  <c r="H142" i="55"/>
  <c r="A142" i="55"/>
  <c r="I140" i="55"/>
  <c r="H140" i="55"/>
  <c r="A140" i="55"/>
  <c r="I100" i="55"/>
  <c r="H100" i="55"/>
  <c r="A100" i="55"/>
  <c r="I98" i="55"/>
  <c r="H98" i="55"/>
  <c r="A98" i="55"/>
  <c r="I12" i="55"/>
  <c r="H12" i="55"/>
  <c r="A12" i="55"/>
  <c r="I10" i="55"/>
  <c r="H10" i="55"/>
  <c r="A10" i="55"/>
  <c r="H51" i="55"/>
  <c r="H53" i="55"/>
  <c r="AM8" i="55"/>
  <c r="AM9" i="55"/>
  <c r="AM11" i="55"/>
  <c r="AM13" i="55"/>
  <c r="AM14" i="55"/>
  <c r="AM15" i="55"/>
  <c r="AM16" i="55"/>
  <c r="AM17" i="55"/>
  <c r="AM19" i="55"/>
  <c r="I64" i="59"/>
  <c r="I48" i="59"/>
  <c r="I37" i="59"/>
  <c r="I32" i="59"/>
  <c r="I23" i="59"/>
  <c r="I17" i="59"/>
  <c r="H5" i="59"/>
  <c r="C5" i="59"/>
  <c r="H39" i="59" l="1"/>
  <c r="I66" i="59" s="1"/>
  <c r="I67" i="59" s="1"/>
  <c r="AM6" i="55"/>
  <c r="AM12" i="55"/>
  <c r="V19" i="55"/>
  <c r="L214" i="55" s="1"/>
  <c r="A419" i="55"/>
  <c r="A85" i="55"/>
  <c r="H20" i="53"/>
  <c r="U18" i="55" s="1"/>
  <c r="V18" i="55" s="1"/>
  <c r="H9" i="53"/>
  <c r="K646" i="55" s="1"/>
  <c r="K10" i="55"/>
  <c r="M10" i="55" s="1"/>
  <c r="K140" i="55"/>
  <c r="M140" i="55" s="1"/>
  <c r="K434" i="55"/>
  <c r="M434" i="55" s="1"/>
  <c r="K306" i="55"/>
  <c r="M306" i="55" s="1"/>
  <c r="H17" i="53"/>
  <c r="U14" i="55" s="1"/>
  <c r="V14" i="55" s="1"/>
  <c r="L128" i="55" s="1"/>
  <c r="M128" i="55" s="1"/>
  <c r="H16" i="53"/>
  <c r="U13" i="55" s="1"/>
  <c r="V13" i="55" s="1"/>
  <c r="K349" i="55"/>
  <c r="M349" i="55" s="1"/>
  <c r="K390" i="55"/>
  <c r="M390" i="55" s="1"/>
  <c r="H12" i="53"/>
  <c r="U9" i="55" s="1"/>
  <c r="V9" i="55" s="1"/>
  <c r="L588" i="55" s="1"/>
  <c r="H11" i="53"/>
  <c r="U8" i="55" s="1"/>
  <c r="V8" i="55" s="1"/>
  <c r="K477" i="55"/>
  <c r="M477" i="55" s="1"/>
  <c r="K188" i="55"/>
  <c r="M188" i="55" s="1"/>
  <c r="K598" i="55"/>
  <c r="M598" i="55" s="1"/>
  <c r="H15" i="53"/>
  <c r="U12" i="55" s="1"/>
  <c r="V12" i="55" s="1"/>
  <c r="H31" i="53"/>
  <c r="H14" i="53"/>
  <c r="U11" i="55" s="1"/>
  <c r="V11" i="55" s="1"/>
  <c r="K69" i="55"/>
  <c r="M69" i="55" s="1"/>
  <c r="H13" i="53"/>
  <c r="U10" i="55" s="1"/>
  <c r="V10" i="55" s="1"/>
  <c r="H37" i="53"/>
  <c r="K195" i="55" s="1"/>
  <c r="V16" i="55"/>
  <c r="H10" i="53"/>
  <c r="U7" i="55" s="1"/>
  <c r="V7" i="55" s="1"/>
  <c r="L81" i="55" s="1"/>
  <c r="K186" i="55"/>
  <c r="M186" i="55" s="1"/>
  <c r="H18" i="53"/>
  <c r="U15" i="55" s="1"/>
  <c r="V15" i="55" s="1"/>
  <c r="L174" i="55" s="1"/>
  <c r="H19" i="53"/>
  <c r="U17" i="55" s="1"/>
  <c r="V17" i="55" s="1"/>
  <c r="L544" i="55" s="1"/>
  <c r="K266" i="55"/>
  <c r="M266" i="55" s="1"/>
  <c r="K226" i="55"/>
  <c r="M226" i="55" s="1"/>
  <c r="K517" i="55"/>
  <c r="M517" i="55" s="1"/>
  <c r="K51" i="55"/>
  <c r="K98" i="55"/>
  <c r="M98" i="55" s="1"/>
  <c r="K203" i="55"/>
  <c r="M203" i="55" s="1"/>
  <c r="M518" i="55"/>
  <c r="M599" i="55"/>
  <c r="M100" i="55"/>
  <c r="M350" i="55"/>
  <c r="M391" i="55"/>
  <c r="M478" i="55"/>
  <c r="M557" i="55"/>
  <c r="M558" i="55"/>
  <c r="M142" i="55"/>
  <c r="M227" i="55"/>
  <c r="M307" i="55"/>
  <c r="M412" i="55"/>
  <c r="L386" i="55" s="1"/>
  <c r="M52" i="55"/>
  <c r="M141" i="55"/>
  <c r="M435" i="55"/>
  <c r="M267" i="55"/>
  <c r="M12" i="55"/>
  <c r="M284" i="55"/>
  <c r="M11" i="55"/>
  <c r="M187" i="55"/>
  <c r="M204" i="55"/>
  <c r="M70" i="55"/>
  <c r="K175" i="55"/>
  <c r="A175" i="55"/>
  <c r="K507" i="55"/>
  <c r="K467" i="55"/>
  <c r="A467" i="55"/>
  <c r="K174" i="55"/>
  <c r="A174" i="55"/>
  <c r="K173" i="55"/>
  <c r="A173" i="55"/>
  <c r="K466" i="55"/>
  <c r="A466" i="55"/>
  <c r="K337" i="55"/>
  <c r="A337" i="55"/>
  <c r="K256" i="55"/>
  <c r="A256" i="55"/>
  <c r="K172" i="55"/>
  <c r="A172" i="55"/>
  <c r="K83" i="55"/>
  <c r="A83" i="55"/>
  <c r="K465" i="55"/>
  <c r="A465" i="55"/>
  <c r="K336" i="55"/>
  <c r="A336" i="55"/>
  <c r="K171" i="55"/>
  <c r="A171" i="55"/>
  <c r="K82" i="55"/>
  <c r="K588" i="55"/>
  <c r="A588" i="55"/>
  <c r="K464" i="55"/>
  <c r="A464" i="55"/>
  <c r="K255" i="55"/>
  <c r="A255" i="55"/>
  <c r="K39" i="55"/>
  <c r="A39" i="55"/>
  <c r="K587" i="55"/>
  <c r="A587" i="55"/>
  <c r="K506" i="55"/>
  <c r="A506" i="55"/>
  <c r="K380" i="55"/>
  <c r="A380" i="55"/>
  <c r="K586" i="55"/>
  <c r="A586" i="55"/>
  <c r="K463" i="55"/>
  <c r="A463" i="55"/>
  <c r="K296" i="55"/>
  <c r="A296" i="55"/>
  <c r="K170" i="55"/>
  <c r="A170" i="55"/>
  <c r="K81" i="55"/>
  <c r="A81" i="55"/>
  <c r="K628" i="55"/>
  <c r="K627" i="55"/>
  <c r="A627" i="55"/>
  <c r="A625" i="55"/>
  <c r="A591" i="55"/>
  <c r="B594" i="55" s="1"/>
  <c r="K626" i="55"/>
  <c r="A626" i="55"/>
  <c r="K625" i="55"/>
  <c r="K624" i="55"/>
  <c r="A624" i="55"/>
  <c r="M619" i="55"/>
  <c r="M618" i="55"/>
  <c r="M617" i="55"/>
  <c r="M610" i="55"/>
  <c r="I610" i="55"/>
  <c r="H610" i="55"/>
  <c r="M609" i="55"/>
  <c r="I609" i="55"/>
  <c r="H609" i="55"/>
  <c r="M608" i="55"/>
  <c r="I608" i="55"/>
  <c r="H608" i="55"/>
  <c r="M607" i="55"/>
  <c r="I607" i="55"/>
  <c r="H607" i="55"/>
  <c r="M601" i="55"/>
  <c r="I601" i="55"/>
  <c r="H601" i="55"/>
  <c r="A550" i="55"/>
  <c r="B553" i="55" s="1"/>
  <c r="K585" i="55"/>
  <c r="A585" i="55"/>
  <c r="K584" i="55"/>
  <c r="A584" i="55"/>
  <c r="K583" i="55"/>
  <c r="A583" i="55"/>
  <c r="M578" i="55"/>
  <c r="M577" i="55"/>
  <c r="M576" i="55"/>
  <c r="M569" i="55"/>
  <c r="I569" i="55"/>
  <c r="H569" i="55"/>
  <c r="M568" i="55"/>
  <c r="I568" i="55"/>
  <c r="H568" i="55"/>
  <c r="M567" i="55"/>
  <c r="I567" i="55"/>
  <c r="H567" i="55"/>
  <c r="M566" i="55"/>
  <c r="I566" i="55"/>
  <c r="H566" i="55"/>
  <c r="M560" i="55"/>
  <c r="I560" i="55"/>
  <c r="H560" i="55"/>
  <c r="A510" i="55"/>
  <c r="B513" i="55" s="1"/>
  <c r="M547" i="55"/>
  <c r="K547" i="55"/>
  <c r="I547" i="55"/>
  <c r="H547" i="55"/>
  <c r="K545" i="55"/>
  <c r="A545" i="55"/>
  <c r="K544" i="55"/>
  <c r="A544" i="55"/>
  <c r="K543" i="55"/>
  <c r="A543" i="55"/>
  <c r="M538" i="55"/>
  <c r="M537" i="55"/>
  <c r="M536" i="55"/>
  <c r="M529" i="55"/>
  <c r="I529" i="55"/>
  <c r="H529" i="55"/>
  <c r="M528" i="55"/>
  <c r="I528" i="55"/>
  <c r="H528" i="55"/>
  <c r="M527" i="55"/>
  <c r="I527" i="55"/>
  <c r="H527" i="55"/>
  <c r="M526" i="55"/>
  <c r="I526" i="55"/>
  <c r="H526" i="55"/>
  <c r="M520" i="55"/>
  <c r="I520" i="55"/>
  <c r="H520" i="55"/>
  <c r="A504" i="55"/>
  <c r="K505" i="55"/>
  <c r="A505" i="55"/>
  <c r="K504" i="55"/>
  <c r="K503" i="55"/>
  <c r="A503" i="55"/>
  <c r="K462" i="55"/>
  <c r="A462" i="55"/>
  <c r="A470" i="55"/>
  <c r="B473" i="55" s="1"/>
  <c r="M498" i="55"/>
  <c r="M497" i="55"/>
  <c r="M496" i="55"/>
  <c r="M489" i="55"/>
  <c r="I489" i="55"/>
  <c r="H489" i="55"/>
  <c r="M488" i="55"/>
  <c r="I488" i="55"/>
  <c r="H488" i="55"/>
  <c r="M487" i="55"/>
  <c r="I487" i="55"/>
  <c r="H487" i="55"/>
  <c r="M486" i="55"/>
  <c r="I486" i="55"/>
  <c r="H486" i="55"/>
  <c r="M480" i="55"/>
  <c r="I480" i="55"/>
  <c r="H480" i="55"/>
  <c r="A427" i="55"/>
  <c r="B430" i="55" s="1"/>
  <c r="K461" i="55"/>
  <c r="A461" i="55"/>
  <c r="K460" i="55"/>
  <c r="A460" i="55"/>
  <c r="M455" i="55"/>
  <c r="M454" i="55"/>
  <c r="M453" i="55"/>
  <c r="M446" i="55"/>
  <c r="I446" i="55"/>
  <c r="H446" i="55"/>
  <c r="M445" i="55"/>
  <c r="I445" i="55"/>
  <c r="H445" i="55"/>
  <c r="M444" i="55"/>
  <c r="I444" i="55"/>
  <c r="H444" i="55"/>
  <c r="M443" i="55"/>
  <c r="I443" i="55"/>
  <c r="H443" i="55"/>
  <c r="M437" i="55"/>
  <c r="I437" i="55"/>
  <c r="H437" i="55"/>
  <c r="A376" i="55"/>
  <c r="A342" i="55"/>
  <c r="B345" i="55" s="1"/>
  <c r="K378" i="55"/>
  <c r="A378" i="55"/>
  <c r="K377" i="55"/>
  <c r="A377" i="55"/>
  <c r="K376" i="55"/>
  <c r="K375" i="55"/>
  <c r="A375" i="55"/>
  <c r="M370" i="55"/>
  <c r="M369" i="55"/>
  <c r="M368" i="55"/>
  <c r="M361" i="55"/>
  <c r="I361" i="55"/>
  <c r="H361" i="55"/>
  <c r="M360" i="55"/>
  <c r="I360" i="55"/>
  <c r="H360" i="55"/>
  <c r="M359" i="55"/>
  <c r="I359" i="55"/>
  <c r="H359" i="55"/>
  <c r="M358" i="55"/>
  <c r="I358" i="55"/>
  <c r="H358" i="55"/>
  <c r="I352" i="55"/>
  <c r="H352" i="55"/>
  <c r="K214" i="55"/>
  <c r="K215" i="55"/>
  <c r="K295" i="55"/>
  <c r="K335" i="55"/>
  <c r="A335" i="55"/>
  <c r="A299" i="55"/>
  <c r="B302" i="55" s="1"/>
  <c r="K334" i="55"/>
  <c r="A334" i="55"/>
  <c r="K333" i="55"/>
  <c r="A333" i="55"/>
  <c r="K332" i="55"/>
  <c r="A332" i="55"/>
  <c r="M327" i="55"/>
  <c r="M326" i="55"/>
  <c r="M325" i="55"/>
  <c r="M318" i="55"/>
  <c r="I318" i="55"/>
  <c r="H318" i="55"/>
  <c r="M317" i="55"/>
  <c r="I317" i="55"/>
  <c r="H317" i="55"/>
  <c r="M316" i="55"/>
  <c r="I316" i="55"/>
  <c r="H316" i="55"/>
  <c r="M315" i="55"/>
  <c r="I315" i="55"/>
  <c r="H315" i="55"/>
  <c r="M309" i="55"/>
  <c r="I309" i="55"/>
  <c r="H309" i="55"/>
  <c r="A293" i="55"/>
  <c r="K269" i="55"/>
  <c r="I269" i="55"/>
  <c r="A269" i="55"/>
  <c r="K268" i="55"/>
  <c r="I268" i="55"/>
  <c r="A268" i="55"/>
  <c r="A259" i="55"/>
  <c r="B262" i="55" s="1"/>
  <c r="A179" i="55"/>
  <c r="B182" i="55" s="1"/>
  <c r="A295" i="55"/>
  <c r="K294" i="55"/>
  <c r="A294" i="55"/>
  <c r="K293" i="55"/>
  <c r="K292" i="55"/>
  <c r="A292" i="55"/>
  <c r="M287" i="55"/>
  <c r="M286" i="55"/>
  <c r="M285" i="55"/>
  <c r="M278" i="55"/>
  <c r="I278" i="55"/>
  <c r="H278" i="55"/>
  <c r="M277" i="55"/>
  <c r="I277" i="55"/>
  <c r="H277" i="55"/>
  <c r="M276" i="55"/>
  <c r="I276" i="55"/>
  <c r="H276" i="55"/>
  <c r="A253" i="55"/>
  <c r="A219" i="55"/>
  <c r="B222" i="55" s="1"/>
  <c r="K254" i="55"/>
  <c r="A254" i="55"/>
  <c r="K253" i="55"/>
  <c r="K252" i="55"/>
  <c r="A252" i="55"/>
  <c r="M247" i="55"/>
  <c r="M246" i="55"/>
  <c r="M245" i="55"/>
  <c r="M238" i="55"/>
  <c r="I238" i="55"/>
  <c r="H238" i="55"/>
  <c r="M237" i="55"/>
  <c r="I237" i="55"/>
  <c r="H237" i="55"/>
  <c r="M236" i="55"/>
  <c r="I236" i="55"/>
  <c r="H236" i="55"/>
  <c r="M235" i="55"/>
  <c r="I235" i="55"/>
  <c r="H235" i="55"/>
  <c r="M229" i="55"/>
  <c r="I229" i="55"/>
  <c r="H229" i="55"/>
  <c r="A215" i="55"/>
  <c r="A214" i="55"/>
  <c r="A213" i="55"/>
  <c r="A188" i="55"/>
  <c r="I195" i="55"/>
  <c r="H195" i="55"/>
  <c r="A195" i="55"/>
  <c r="K213" i="55"/>
  <c r="K212" i="55"/>
  <c r="A212" i="55"/>
  <c r="M207" i="55"/>
  <c r="M198" i="55"/>
  <c r="I198" i="55"/>
  <c r="H198" i="55"/>
  <c r="M197" i="55"/>
  <c r="I197" i="55"/>
  <c r="H197" i="55"/>
  <c r="M196" i="55"/>
  <c r="I196" i="55"/>
  <c r="H196" i="55"/>
  <c r="M189" i="55"/>
  <c r="I189" i="55"/>
  <c r="H189" i="55"/>
  <c r="A133" i="55"/>
  <c r="B136" i="55" s="1"/>
  <c r="K169" i="55"/>
  <c r="A169" i="55"/>
  <c r="K168" i="55"/>
  <c r="A168" i="55"/>
  <c r="K167" i="55"/>
  <c r="A167" i="55"/>
  <c r="M162" i="55"/>
  <c r="M161" i="55"/>
  <c r="M160" i="55"/>
  <c r="M153" i="55"/>
  <c r="I153" i="55"/>
  <c r="H153" i="55"/>
  <c r="M152" i="55"/>
  <c r="I152" i="55"/>
  <c r="H152" i="55"/>
  <c r="M151" i="55"/>
  <c r="I151" i="55"/>
  <c r="H151" i="55"/>
  <c r="M150" i="55"/>
  <c r="I150" i="55"/>
  <c r="H150" i="55"/>
  <c r="M144" i="55"/>
  <c r="I144" i="55"/>
  <c r="H144" i="55"/>
  <c r="A126" i="55"/>
  <c r="I53" i="55"/>
  <c r="I51" i="55"/>
  <c r="A53" i="55"/>
  <c r="A51" i="55"/>
  <c r="B94" i="55"/>
  <c r="K127" i="55"/>
  <c r="A127" i="55"/>
  <c r="K126" i="55"/>
  <c r="K125" i="55"/>
  <c r="A125" i="55"/>
  <c r="M120" i="55"/>
  <c r="M119" i="55"/>
  <c r="M118" i="55"/>
  <c r="M111" i="55"/>
  <c r="I111" i="55"/>
  <c r="H111" i="55"/>
  <c r="M110" i="55"/>
  <c r="I110" i="55"/>
  <c r="H110" i="55"/>
  <c r="M109" i="55"/>
  <c r="I109" i="55"/>
  <c r="H109" i="55"/>
  <c r="M108" i="55"/>
  <c r="I108" i="55"/>
  <c r="H108" i="55"/>
  <c r="M102" i="55"/>
  <c r="I102" i="55"/>
  <c r="H102" i="55"/>
  <c r="I28" i="55"/>
  <c r="M28" i="55" s="1"/>
  <c r="I27" i="55"/>
  <c r="A28" i="55"/>
  <c r="A27" i="55"/>
  <c r="A79" i="55"/>
  <c r="K80" i="55"/>
  <c r="A80" i="55"/>
  <c r="K79" i="55"/>
  <c r="K78" i="55"/>
  <c r="A78" i="55"/>
  <c r="K37" i="55"/>
  <c r="K38" i="55"/>
  <c r="K36" i="55"/>
  <c r="A38" i="55"/>
  <c r="A37" i="55"/>
  <c r="A36" i="55"/>
  <c r="B47" i="55"/>
  <c r="B6" i="55"/>
  <c r="M73" i="55"/>
  <c r="M72" i="55"/>
  <c r="M71" i="55"/>
  <c r="M64" i="55"/>
  <c r="I64" i="55"/>
  <c r="H64" i="55"/>
  <c r="M63" i="55"/>
  <c r="I63" i="55"/>
  <c r="H63" i="55"/>
  <c r="I62" i="55"/>
  <c r="H62" i="55"/>
  <c r="I61" i="55"/>
  <c r="H61" i="55"/>
  <c r="M55" i="55"/>
  <c r="I55" i="55"/>
  <c r="H55" i="55"/>
  <c r="M31" i="55"/>
  <c r="M30" i="55"/>
  <c r="M29" i="55"/>
  <c r="M22" i="55"/>
  <c r="I22" i="55"/>
  <c r="H22" i="55"/>
  <c r="M21" i="55"/>
  <c r="I21" i="55"/>
  <c r="H21" i="55"/>
  <c r="M20" i="55"/>
  <c r="I20" i="55"/>
  <c r="H20" i="55"/>
  <c r="I14" i="55"/>
  <c r="H14" i="55"/>
  <c r="I13" i="55"/>
  <c r="H13" i="55"/>
  <c r="L80" i="55" l="1"/>
  <c r="L666" i="55"/>
  <c r="M666" i="55" s="1"/>
  <c r="L82" i="55"/>
  <c r="L665" i="55"/>
  <c r="M665" i="55" s="1"/>
  <c r="K314" i="55"/>
  <c r="M314" i="55" s="1"/>
  <c r="M319" i="55" s="1"/>
  <c r="H302" i="55" s="1"/>
  <c r="M646" i="55"/>
  <c r="M651" i="55" s="1"/>
  <c r="H634" i="55" s="1"/>
  <c r="L84" i="55"/>
  <c r="M84" i="55" s="1"/>
  <c r="L129" i="55"/>
  <c r="M129" i="55" s="1"/>
  <c r="L419" i="55"/>
  <c r="M419" i="55" s="1"/>
  <c r="L85" i="55"/>
  <c r="M85" i="55" s="1"/>
  <c r="L39" i="55"/>
  <c r="L86" i="55"/>
  <c r="M86" i="55" s="1"/>
  <c r="L625" i="55"/>
  <c r="L88" i="55"/>
  <c r="M88" i="55" s="1"/>
  <c r="L40" i="55"/>
  <c r="M40" i="55" s="1"/>
  <c r="M195" i="55"/>
  <c r="K357" i="55"/>
  <c r="M357" i="55" s="1"/>
  <c r="M362" i="55" s="1"/>
  <c r="H345" i="55" s="1"/>
  <c r="K107" i="55"/>
  <c r="M107" i="55" s="1"/>
  <c r="K234" i="55"/>
  <c r="M234" i="55" s="1"/>
  <c r="M239" i="55" s="1"/>
  <c r="H222" i="55" s="1"/>
  <c r="K565" i="55"/>
  <c r="M565" i="55" s="1"/>
  <c r="M570" i="55" s="1"/>
  <c r="H553" i="55" s="1"/>
  <c r="K274" i="55"/>
  <c r="M274" i="55" s="1"/>
  <c r="M279" i="55" s="1"/>
  <c r="H262" i="55" s="1"/>
  <c r="K19" i="55"/>
  <c r="M19" i="55" s="1"/>
  <c r="U6" i="55"/>
  <c r="V6" i="55" s="1"/>
  <c r="I13" i="53"/>
  <c r="K606" i="55"/>
  <c r="M606" i="55" s="1"/>
  <c r="M611" i="55" s="1"/>
  <c r="H594" i="55" s="1"/>
  <c r="K149" i="55"/>
  <c r="M149" i="55" s="1"/>
  <c r="K283" i="55"/>
  <c r="M283" i="55" s="1"/>
  <c r="M288" i="55" s="1"/>
  <c r="L262" i="55" s="1"/>
  <c r="K525" i="55"/>
  <c r="M525" i="55" s="1"/>
  <c r="M530" i="55" s="1"/>
  <c r="H513" i="55" s="1"/>
  <c r="K27" i="55"/>
  <c r="M27" i="55" s="1"/>
  <c r="K60" i="55"/>
  <c r="M60" i="55" s="1"/>
  <c r="M65" i="55" s="1"/>
  <c r="H47" i="55" s="1"/>
  <c r="K442" i="55"/>
  <c r="M442" i="55" s="1"/>
  <c r="M447" i="55" s="1"/>
  <c r="H430" i="55" s="1"/>
  <c r="K398" i="55"/>
  <c r="M398" i="55" s="1"/>
  <c r="M403" i="55" s="1"/>
  <c r="H386" i="55" s="1"/>
  <c r="K485" i="55"/>
  <c r="M485" i="55" s="1"/>
  <c r="M490" i="55" s="1"/>
  <c r="H473" i="55" s="1"/>
  <c r="K194" i="55"/>
  <c r="M194" i="55" s="1"/>
  <c r="M51" i="55"/>
  <c r="L505" i="55"/>
  <c r="L462" i="55"/>
  <c r="L418" i="55"/>
  <c r="M418" i="55" s="1"/>
  <c r="L254" i="55"/>
  <c r="L127" i="55"/>
  <c r="L377" i="55"/>
  <c r="L545" i="55"/>
  <c r="L38" i="55"/>
  <c r="L169" i="55"/>
  <c r="L334" i="55"/>
  <c r="L626" i="55"/>
  <c r="M53" i="55"/>
  <c r="L173" i="55"/>
  <c r="L37" i="55"/>
  <c r="L378" i="55"/>
  <c r="L417" i="55"/>
  <c r="M417" i="55" s="1"/>
  <c r="L335" i="55"/>
  <c r="L584" i="55"/>
  <c r="L467" i="55"/>
  <c r="M394" i="55"/>
  <c r="J386" i="55" s="1"/>
  <c r="L215" i="55"/>
  <c r="L504" i="55"/>
  <c r="L461" i="55"/>
  <c r="L175" i="55"/>
  <c r="L168" i="55"/>
  <c r="L79" i="55"/>
  <c r="L295" i="55"/>
  <c r="L171" i="55"/>
  <c r="L464" i="55"/>
  <c r="L126" i="55"/>
  <c r="M269" i="55"/>
  <c r="L587" i="55"/>
  <c r="L296" i="55"/>
  <c r="L463" i="55"/>
  <c r="L170" i="55"/>
  <c r="M268" i="55"/>
  <c r="L586" i="55"/>
  <c r="L172" i="55"/>
  <c r="L466" i="55"/>
  <c r="L337" i="55"/>
  <c r="L256" i="55"/>
  <c r="L83" i="55"/>
  <c r="L213" i="55"/>
  <c r="M579" i="55"/>
  <c r="L553" i="55" s="1"/>
  <c r="M121" i="55"/>
  <c r="L94" i="55" s="1"/>
  <c r="M208" i="55"/>
  <c r="L182" i="55" s="1"/>
  <c r="M620" i="55"/>
  <c r="L594" i="55" s="1"/>
  <c r="M539" i="55"/>
  <c r="L513" i="55" s="1"/>
  <c r="M328" i="55"/>
  <c r="L302" i="55" s="1"/>
  <c r="M371" i="55"/>
  <c r="L345" i="55" s="1"/>
  <c r="M248" i="55"/>
  <c r="L222" i="55" s="1"/>
  <c r="M456" i="55"/>
  <c r="L430" i="55" s="1"/>
  <c r="M499" i="55"/>
  <c r="L473" i="55" s="1"/>
  <c r="M163" i="55"/>
  <c r="L136" i="55" s="1"/>
  <c r="L332" i="55" l="1"/>
  <c r="O334" i="55" s="1"/>
  <c r="L664" i="55"/>
  <c r="M664" i="55" s="1"/>
  <c r="M673" i="55" s="1"/>
  <c r="N634" i="55" s="1"/>
  <c r="F634" i="55" s="1"/>
  <c r="L583" i="55"/>
  <c r="L36" i="55"/>
  <c r="L167" i="55"/>
  <c r="L416" i="55"/>
  <c r="L212" i="55"/>
  <c r="L503" i="55"/>
  <c r="L78" i="55"/>
  <c r="O81" i="55" s="1"/>
  <c r="L460" i="55"/>
  <c r="L125" i="55"/>
  <c r="O126" i="55" s="1"/>
  <c r="L375" i="55"/>
  <c r="O377" i="55" s="1"/>
  <c r="L252" i="55"/>
  <c r="O254" i="55" s="1"/>
  <c r="L543" i="55"/>
  <c r="L292" i="55"/>
  <c r="O294" i="55" s="1"/>
  <c r="M112" i="55"/>
  <c r="H94" i="55" s="1"/>
  <c r="M561" i="55"/>
  <c r="J553" i="55" s="1"/>
  <c r="M481" i="55"/>
  <c r="J473" i="55" s="1"/>
  <c r="M353" i="55"/>
  <c r="J345" i="55" s="1"/>
  <c r="M602" i="55"/>
  <c r="J594" i="55" s="1"/>
  <c r="M230" i="55"/>
  <c r="J222" i="55" s="1"/>
  <c r="M438" i="55"/>
  <c r="J430" i="55" s="1"/>
  <c r="M103" i="55"/>
  <c r="J94" i="55" s="1"/>
  <c r="M270" i="55"/>
  <c r="J262" i="55" s="1"/>
  <c r="M521" i="55"/>
  <c r="J513" i="55" s="1"/>
  <c r="M310" i="55"/>
  <c r="J302" i="55" s="1"/>
  <c r="M190" i="55"/>
  <c r="J182" i="55" s="1"/>
  <c r="M199" i="55"/>
  <c r="H182" i="55" s="1"/>
  <c r="M56" i="55"/>
  <c r="J47" i="55" s="1"/>
  <c r="M74" i="55"/>
  <c r="L47" i="55" s="1"/>
  <c r="M15" i="55"/>
  <c r="J6" i="55" s="1"/>
  <c r="M23" i="55"/>
  <c r="H6" i="55" s="1"/>
  <c r="M416" i="55" l="1"/>
  <c r="M425" i="55" s="1"/>
  <c r="N386" i="55" s="1"/>
  <c r="F386" i="55" s="1"/>
  <c r="O419" i="55"/>
  <c r="M32" i="55"/>
  <c r="L6" i="55" s="1"/>
  <c r="I35" i="53" l="1"/>
  <c r="I38" i="53"/>
  <c r="I34" i="53"/>
  <c r="I37" i="53"/>
  <c r="I36" i="53"/>
  <c r="I32" i="53"/>
  <c r="I31" i="53"/>
  <c r="I30" i="53"/>
  <c r="I10" i="53" l="1"/>
  <c r="I463" i="55"/>
  <c r="M463" i="55" s="1"/>
  <c r="I376" i="55"/>
  <c r="M376" i="55" s="1"/>
  <c r="I81" i="55"/>
  <c r="M81" i="55" s="1"/>
  <c r="I586" i="55"/>
  <c r="M586" i="55" s="1"/>
  <c r="I296" i="55"/>
  <c r="M296" i="55" s="1"/>
  <c r="I170" i="55"/>
  <c r="M170" i="55" s="1"/>
  <c r="I17" i="53"/>
  <c r="I173" i="55"/>
  <c r="M173" i="55" s="1"/>
  <c r="I625" i="55"/>
  <c r="M625" i="55" s="1"/>
  <c r="I37" i="55"/>
  <c r="M37" i="55" s="1"/>
  <c r="I16" i="53"/>
  <c r="I213" i="55"/>
  <c r="M213" i="55" s="1"/>
  <c r="I256" i="55"/>
  <c r="M256" i="55" s="1"/>
  <c r="I466" i="55"/>
  <c r="M466" i="55" s="1"/>
  <c r="I337" i="55"/>
  <c r="M337" i="55" s="1"/>
  <c r="I172" i="55"/>
  <c r="M172" i="55" s="1"/>
  <c r="I83" i="55"/>
  <c r="M83" i="55" s="1"/>
  <c r="I15" i="53"/>
  <c r="I377" i="55"/>
  <c r="M377" i="55" s="1"/>
  <c r="I462" i="55"/>
  <c r="M462" i="55" s="1"/>
  <c r="I334" i="55"/>
  <c r="M334" i="55" s="1"/>
  <c r="I505" i="55"/>
  <c r="M505" i="55" s="1"/>
  <c r="I254" i="55"/>
  <c r="M254" i="55" s="1"/>
  <c r="I169" i="55"/>
  <c r="I38" i="55"/>
  <c r="M38" i="55" s="1"/>
  <c r="I626" i="55"/>
  <c r="M626" i="55" s="1"/>
  <c r="I127" i="55"/>
  <c r="M127" i="55" s="1"/>
  <c r="I585" i="55"/>
  <c r="M585" i="55" s="1"/>
  <c r="I545" i="55"/>
  <c r="M545" i="55" s="1"/>
  <c r="I294" i="55"/>
  <c r="M294" i="55" s="1"/>
  <c r="I80" i="55"/>
  <c r="M80" i="55" s="1"/>
  <c r="M507" i="55"/>
  <c r="M628" i="55"/>
  <c r="M339" i="55"/>
  <c r="I18" i="53"/>
  <c r="M216" i="55"/>
  <c r="I467" i="55"/>
  <c r="M467" i="55" s="1"/>
  <c r="I174" i="55"/>
  <c r="M174" i="55" s="1"/>
  <c r="M338" i="55"/>
  <c r="I627" i="55"/>
  <c r="M627" i="55" s="1"/>
  <c r="I9" i="53"/>
  <c r="I624" i="55"/>
  <c r="M624" i="55" s="1"/>
  <c r="I332" i="55"/>
  <c r="M332" i="55" s="1"/>
  <c r="I212" i="55"/>
  <c r="M212" i="55" s="1"/>
  <c r="I167" i="55"/>
  <c r="M167" i="55" s="1"/>
  <c r="I292" i="55"/>
  <c r="M292" i="55" s="1"/>
  <c r="I125" i="55"/>
  <c r="M125" i="55" s="1"/>
  <c r="I503" i="55"/>
  <c r="M503" i="55" s="1"/>
  <c r="I252" i="55"/>
  <c r="M252" i="55" s="1"/>
  <c r="I583" i="55"/>
  <c r="M583" i="55" s="1"/>
  <c r="I543" i="55"/>
  <c r="M543" i="55" s="1"/>
  <c r="I460" i="55"/>
  <c r="M460" i="55" s="1"/>
  <c r="I375" i="55"/>
  <c r="M375" i="55" s="1"/>
  <c r="I36" i="55"/>
  <c r="M36" i="55" s="1"/>
  <c r="I78" i="55"/>
  <c r="M78" i="55" s="1"/>
  <c r="I14" i="53"/>
  <c r="M41" i="55"/>
  <c r="I171" i="55"/>
  <c r="M171" i="55" s="1"/>
  <c r="I336" i="55"/>
  <c r="M336" i="55" s="1"/>
  <c r="I465" i="55"/>
  <c r="M465" i="55" s="1"/>
  <c r="M82" i="55"/>
  <c r="I253" i="55"/>
  <c r="M253" i="55" s="1"/>
  <c r="I21" i="53"/>
  <c r="I214" i="55"/>
  <c r="M214" i="55" s="1"/>
  <c r="I20" i="53"/>
  <c r="I461" i="55"/>
  <c r="M461" i="55" s="1"/>
  <c r="I295" i="55"/>
  <c r="M295" i="55" s="1"/>
  <c r="I215" i="55"/>
  <c r="M215" i="55" s="1"/>
  <c r="M176" i="55"/>
  <c r="I335" i="55"/>
  <c r="M335" i="55" s="1"/>
  <c r="I378" i="55"/>
  <c r="M378" i="55" s="1"/>
  <c r="I12" i="53"/>
  <c r="I79" i="55"/>
  <c r="M79" i="55" s="1"/>
  <c r="I255" i="55"/>
  <c r="M255" i="55" s="1"/>
  <c r="I588" i="55"/>
  <c r="M588" i="55" s="1"/>
  <c r="I333" i="55"/>
  <c r="M333" i="55" s="1"/>
  <c r="I464" i="55"/>
  <c r="M464" i="55" s="1"/>
  <c r="I168" i="55"/>
  <c r="M168" i="55" s="1"/>
  <c r="I126" i="55"/>
  <c r="M126" i="55" s="1"/>
  <c r="I19" i="53"/>
  <c r="I175" i="55"/>
  <c r="M175" i="55" s="1"/>
  <c r="I504" i="55"/>
  <c r="M504" i="55" s="1"/>
  <c r="I584" i="55"/>
  <c r="M584" i="55" s="1"/>
  <c r="I544" i="55"/>
  <c r="M544" i="55" s="1"/>
  <c r="I11" i="53"/>
  <c r="I506" i="55"/>
  <c r="M506" i="55" s="1"/>
  <c r="I39" i="55"/>
  <c r="M39" i="55" s="1"/>
  <c r="I587" i="55"/>
  <c r="M587" i="55" s="1"/>
  <c r="I293" i="55"/>
  <c r="M293" i="55" s="1"/>
  <c r="I380" i="55"/>
  <c r="M380" i="55" s="1"/>
  <c r="I33" i="53"/>
  <c r="I23" i="53" l="1"/>
  <c r="I25" i="53" s="1"/>
  <c r="M548" i="55"/>
  <c r="M340" i="55"/>
  <c r="M589" i="55"/>
  <c r="M508" i="55"/>
  <c r="N473" i="55" s="1"/>
  <c r="F473" i="55" s="1"/>
  <c r="M629" i="55"/>
  <c r="M89" i="55"/>
  <c r="N47" i="55" s="1"/>
  <c r="F47" i="55" s="1"/>
  <c r="M131" i="55"/>
  <c r="M42" i="55"/>
  <c r="M381" i="55"/>
  <c r="M297" i="55"/>
  <c r="M468" i="55"/>
  <c r="M217" i="55"/>
  <c r="M257" i="55"/>
  <c r="I39" i="53"/>
  <c r="N594" i="55" l="1"/>
  <c r="F594" i="55" s="1"/>
  <c r="N553" i="55"/>
  <c r="F553" i="55" s="1"/>
  <c r="N513" i="55"/>
  <c r="F513" i="55" s="1"/>
  <c r="N430" i="55"/>
  <c r="F430" i="55" s="1"/>
  <c r="N345" i="55"/>
  <c r="F345" i="55" s="1"/>
  <c r="N302" i="55"/>
  <c r="F302" i="55" s="1"/>
  <c r="N262" i="55"/>
  <c r="F262" i="55" s="1"/>
  <c r="N222" i="55"/>
  <c r="F222" i="55" s="1"/>
  <c r="N182" i="55"/>
  <c r="F182" i="55" s="1"/>
  <c r="N94" i="55"/>
  <c r="F94" i="55" s="1"/>
  <c r="N6" i="55"/>
  <c r="F6" i="55" s="1"/>
  <c r="I41" i="53"/>
  <c r="I42" i="53" l="1"/>
  <c r="I43" i="53" s="1"/>
  <c r="D36" i="5"/>
  <c r="D39" i="5" l="1"/>
  <c r="D38" i="5"/>
  <c r="D37" i="5"/>
  <c r="D35" i="5"/>
  <c r="D34" i="5"/>
  <c r="D33" i="5"/>
  <c r="D32" i="5"/>
  <c r="D31" i="5"/>
  <c r="D30" i="5"/>
  <c r="B29" i="5"/>
  <c r="D29" i="5" s="1"/>
  <c r="D28" i="5"/>
  <c r="D27" i="5"/>
  <c r="D26" i="5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F9" i="5"/>
  <c r="G9" i="5" s="1"/>
  <c r="F8" i="5"/>
  <c r="G8" i="5" s="1"/>
  <c r="M169" i="55"/>
  <c r="M177" i="55" l="1"/>
  <c r="N136" i="55" s="1"/>
  <c r="M154" i="55" l="1"/>
  <c r="H136" i="55" s="1"/>
  <c r="M145" i="55"/>
  <c r="J136" i="55" l="1"/>
  <c r="F136" i="55" s="1"/>
  <c r="O627" i="55" l="1"/>
</calcChain>
</file>

<file path=xl/sharedStrings.xml><?xml version="1.0" encoding="utf-8"?>
<sst xmlns="http://schemas.openxmlformats.org/spreadsheetml/2006/main" count="1128" uniqueCount="280">
  <si>
    <t>PROPONENTE: ING. ANTONIO SANTOS SANTIZ</t>
  </si>
  <si>
    <t>A</t>
  </si>
  <si>
    <t>B</t>
  </si>
  <si>
    <t>ANEXO N° 1: SUSTENTACION DE HONORARIOS Y OTROS COSTOS</t>
  </si>
  <si>
    <t>PERSONAL</t>
  </si>
  <si>
    <t>EXPERIENCIA GENERAL</t>
  </si>
  <si>
    <t>EXPERIENCIA ESPECIFICA</t>
  </si>
  <si>
    <t>TARIFA IDU (*)</t>
  </si>
  <si>
    <t>% TARIFA COBRADO</t>
  </si>
  <si>
    <t>TARIFA PROPIA REDONDEADA</t>
  </si>
  <si>
    <t>[AÑOS]</t>
  </si>
  <si>
    <t>[$/MES]</t>
  </si>
  <si>
    <t>[$/DIA]</t>
  </si>
  <si>
    <t>INGENIERO CATEGORIA 1</t>
  </si>
  <si>
    <t>INGENIERO CATEGORIA 2</t>
  </si>
  <si>
    <t>INGENIERO CATEGORIA 3</t>
  </si>
  <si>
    <t>INGENIERO CATEGORIA 4</t>
  </si>
  <si>
    <t>INGENIERO CATEGORIA 5</t>
  </si>
  <si>
    <t>INGENIERO CATEGORIA 6</t>
  </si>
  <si>
    <t>INGENIERO CATEGORIA 7</t>
  </si>
  <si>
    <t>INGENIERO CATEGORIA 8</t>
  </si>
  <si>
    <t>AUXILIAR DE INGENIERIA</t>
  </si>
  <si>
    <t>TOPOGRAFO - INSPECTOR</t>
  </si>
  <si>
    <t>CADENERO</t>
  </si>
  <si>
    <t>TARIFA (*) = ACTUALIZADO PARA 2012 MEDIANTE INCREMENTO DEL SMMLV DE LAS TARIFAS DEL DECRETO 747 DEL MINISTERIO DE TRANPORTE PARA EL AÑO 2011 DEL IDU.</t>
  </si>
  <si>
    <t>SALARIO MINIMO</t>
  </si>
  <si>
    <t>OTROS COSTOS</t>
  </si>
  <si>
    <t>TARIFA MENSUAL</t>
  </si>
  <si>
    <t>% TARIFA</t>
  </si>
  <si>
    <t>EQUIPO DE TOPOGRAFIA</t>
  </si>
  <si>
    <t xml:space="preserve"> (ESTACION + NIVEL)</t>
  </si>
  <si>
    <t>OFICINA (INCLUYE SERVICIOS)</t>
  </si>
  <si>
    <t>COMPUTADOR</t>
  </si>
  <si>
    <t>AUTOMOVIL</t>
  </si>
  <si>
    <t>(*) MODELO ANTERIOR AL AÑO 2000</t>
  </si>
  <si>
    <t>CAMPERO 4 x 4</t>
  </si>
  <si>
    <t>(*) MODELO ANTERIOR AL AÑO 2001</t>
  </si>
  <si>
    <t>DIGITALIZACION PLANO PERFIL ALCANTARILLADO</t>
  </si>
  <si>
    <t>DIGITALIZACION PLANO PLANTA REDES</t>
  </si>
  <si>
    <t>DIGITALIZACION PLANO DE AREAS</t>
  </si>
  <si>
    <t>DIGITALIZACION PLANO PLANTA-PERFIL</t>
  </si>
  <si>
    <t>DIGITALIZACION PLANO LOCALIZACION</t>
  </si>
  <si>
    <t>DIGITALIZACION PLANO ESTRUCTURA HIDRAULICA</t>
  </si>
  <si>
    <t>DIGITALIZACION PLANO DETALLE ESPECIAL</t>
  </si>
  <si>
    <t>RE-ROTULACION PLANO DE DETALLE TIPICO</t>
  </si>
  <si>
    <t>VEHICULO (*) = TARIFA DECRETO 747 DEL MINISTERIO DE TRANPORTE ACTUALIZADA PARA EL AÑO 2010</t>
  </si>
  <si>
    <t>UNIDAD</t>
  </si>
  <si>
    <t>CANTIDAD</t>
  </si>
  <si>
    <t>PROPUESTA ECONOMICA PARA LOS ESTUDIOS Y DISEÑOS DEL PLAN MAESTRO DE ACUEDUCTO Y ALCANTARILLADO DE LA CABECERA MUNICIPAL DE LA VICTORIA, DEPARTAMENTO DE BOYACA</t>
  </si>
  <si>
    <t>DIGITALIZACION PLANO GENERAL</t>
  </si>
  <si>
    <t>COSTOS DIRECTOS DE PERSONAL</t>
  </si>
  <si>
    <t>ÍTEM</t>
  </si>
  <si>
    <t>CARGO/OFICIO</t>
  </si>
  <si>
    <t>DEDICAC. (Mes)</t>
  </si>
  <si>
    <t>SUELDO Y/O TARIFA MENSUAL</t>
  </si>
  <si>
    <t>DURAC. (Meses)</t>
  </si>
  <si>
    <t>VALOR PARCIAL ($)</t>
  </si>
  <si>
    <t>A.01</t>
  </si>
  <si>
    <t>A.02</t>
  </si>
  <si>
    <t>Especialista Estructural</t>
  </si>
  <si>
    <t>A.03</t>
  </si>
  <si>
    <t>Especialista en Geotecnia</t>
  </si>
  <si>
    <t>A.04</t>
  </si>
  <si>
    <t>Especialista Hidráulico</t>
  </si>
  <si>
    <t>A.05</t>
  </si>
  <si>
    <t>A.06</t>
  </si>
  <si>
    <t>Profesional Topógrafo</t>
  </si>
  <si>
    <t>A.07</t>
  </si>
  <si>
    <t>Profesional Ambiental</t>
  </si>
  <si>
    <t>A.08</t>
  </si>
  <si>
    <t>A.09</t>
  </si>
  <si>
    <t>A.10</t>
  </si>
  <si>
    <t>Subtotal Costos Directos de Personal</t>
  </si>
  <si>
    <t>Factor Prestacional</t>
  </si>
  <si>
    <t>Total Costos Directos de Personal Incluyendo Factor Prestacional</t>
  </si>
  <si>
    <t>OTROS COSTOS DIRECTOS</t>
  </si>
  <si>
    <t>DESCRIPCIÓN</t>
  </si>
  <si>
    <t>DURACIÓN (Meses)</t>
  </si>
  <si>
    <t>B.01</t>
  </si>
  <si>
    <t>Alquiler oficina</t>
  </si>
  <si>
    <t>MES</t>
  </si>
  <si>
    <t>B.02</t>
  </si>
  <si>
    <t>Servicios Públicos</t>
  </si>
  <si>
    <t>B.03</t>
  </si>
  <si>
    <t>B.04</t>
  </si>
  <si>
    <t>Vehículo camionetas pick up  doble cabina</t>
  </si>
  <si>
    <t>B.05</t>
  </si>
  <si>
    <t>B.07</t>
  </si>
  <si>
    <t>B.09</t>
  </si>
  <si>
    <t>Subtotal Otros Costos Directos</t>
  </si>
  <si>
    <t>Director de consultoria</t>
  </si>
  <si>
    <t>Profesional de apoyo</t>
  </si>
  <si>
    <t>Profesional institucional</t>
  </si>
  <si>
    <t>Hidrologo</t>
  </si>
  <si>
    <t>Profesional de presupuestos</t>
  </si>
  <si>
    <t>A.12</t>
  </si>
  <si>
    <t>Delineante</t>
  </si>
  <si>
    <t>Visitas de inspección</t>
  </si>
  <si>
    <t>Sondeos de geotecnia (Extracción y laboratorio)</t>
  </si>
  <si>
    <t>Apiques para estudio de suelos</t>
  </si>
  <si>
    <t>IVA (19%)</t>
  </si>
  <si>
    <t>Subtotal Costos Directos</t>
  </si>
  <si>
    <t>B.06</t>
  </si>
  <si>
    <t>Materialziacion y pocisionamiento de punto geodesico en zona rural</t>
  </si>
  <si>
    <t>Cadenero</t>
  </si>
  <si>
    <t>A.13</t>
  </si>
  <si>
    <t>ACTIVIDAD</t>
  </si>
  <si>
    <t>VALOR UNITARIO</t>
  </si>
  <si>
    <t>Estudio de población y demanda</t>
  </si>
  <si>
    <t>Estudio de topografia</t>
  </si>
  <si>
    <t>Diseños estructurales</t>
  </si>
  <si>
    <t>Diseños hidraulicos, incluye memorias de calculo y manuelaes de operación y puesta en marcha</t>
  </si>
  <si>
    <t>PRESUPUESTO POR COMPONENTES</t>
  </si>
  <si>
    <t>UNIDAD:</t>
  </si>
  <si>
    <t>TOTAL</t>
  </si>
  <si>
    <t>EQUIPO</t>
  </si>
  <si>
    <t>MATERIAL</t>
  </si>
  <si>
    <t>TRANSP.</t>
  </si>
  <si>
    <t>M.O.</t>
  </si>
  <si>
    <t>A - MATERIALES</t>
  </si>
  <si>
    <t>TARIFA</t>
  </si>
  <si>
    <t>SUB - TOTAL</t>
  </si>
  <si>
    <t>SUBTOTAL</t>
  </si>
  <si>
    <t>B - HERRAMIENTA, MAQUINARIA Y EQUIPO</t>
  </si>
  <si>
    <t>C - TRANSPORTE</t>
  </si>
  <si>
    <t>D - MANO DE OBRA</t>
  </si>
  <si>
    <t>F.M.</t>
  </si>
  <si>
    <t>UND</t>
  </si>
  <si>
    <t>DIAS</t>
  </si>
  <si>
    <t>Estudio de suelos y diseño de cimentaciones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</si>
  <si>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</si>
  <si>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</si>
  <si>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</si>
  <si>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</si>
  <si>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</si>
  <si>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</si>
  <si>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</si>
  <si>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</si>
  <si>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</si>
  <si>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</si>
  <si>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</si>
  <si>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</si>
  <si>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</si>
  <si>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</si>
  <si>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FOR-GI-10</t>
  </si>
  <si>
    <t>Version: 01</t>
  </si>
  <si>
    <t>Vigente desde: 
Septiembre 02 de 2024</t>
  </si>
  <si>
    <t xml:space="preserve">PRESUPUESTO </t>
  </si>
  <si>
    <t xml:space="preserve">PROFESIONALES </t>
  </si>
  <si>
    <t>ESCALA</t>
  </si>
  <si>
    <t xml:space="preserve"> PROFESIONAL 12</t>
  </si>
  <si>
    <t>PROFESIONAL 6</t>
  </si>
  <si>
    <t>PROFESIONAL 5</t>
  </si>
  <si>
    <t>PROFESIONAL 2</t>
  </si>
  <si>
    <t>TECNICO         9</t>
  </si>
  <si>
    <t xml:space="preserve"> ASISTENCIAL    2</t>
  </si>
  <si>
    <t>ASISTENCIAL   1</t>
  </si>
  <si>
    <t>ITEM</t>
  </si>
  <si>
    <t>DESCCRIPCIÓN</t>
  </si>
  <si>
    <t>FACTOR MULTIPLICADOR - FACTOR PRESTACIONAL</t>
  </si>
  <si>
    <t>SMLMV</t>
  </si>
  <si>
    <t>SDLMV</t>
  </si>
  <si>
    <t>AUX TRANSPORTE M</t>
  </si>
  <si>
    <t>AUX TRANSPORTE D</t>
  </si>
  <si>
    <t>SUELDO ANUAL BASICO</t>
  </si>
  <si>
    <t>%</t>
  </si>
  <si>
    <t>Salario Básico</t>
  </si>
  <si>
    <t>PRESTACIONES SOCIALES</t>
  </si>
  <si>
    <t>Auxilio de trasporte</t>
  </si>
  <si>
    <t>Primas anuales</t>
  </si>
  <si>
    <t>Cesantias anuales</t>
  </si>
  <si>
    <t>Intereses sobre las cesatias (mensual)</t>
  </si>
  <si>
    <t>Vacaciones anuales</t>
  </si>
  <si>
    <t>C</t>
  </si>
  <si>
    <t>SEGURIDAD SOCIAL</t>
  </si>
  <si>
    <t>C.01</t>
  </si>
  <si>
    <t>Pensión</t>
  </si>
  <si>
    <t>C.02</t>
  </si>
  <si>
    <t>Riesgos profesional</t>
  </si>
  <si>
    <t>C.03</t>
  </si>
  <si>
    <t>Salud</t>
  </si>
  <si>
    <t>D</t>
  </si>
  <si>
    <t>APORTES PARAFISCALES</t>
  </si>
  <si>
    <t>D.01</t>
  </si>
  <si>
    <t>Caja de compensación</t>
  </si>
  <si>
    <t>D.02</t>
  </si>
  <si>
    <t>Aportes SENA</t>
  </si>
  <si>
    <t>D.03</t>
  </si>
  <si>
    <t>Fondo Ind. Construcción</t>
  </si>
  <si>
    <t>D.04</t>
  </si>
  <si>
    <t>Subsidio familiar</t>
  </si>
  <si>
    <t>D.05</t>
  </si>
  <si>
    <t>Seguros de Ley</t>
  </si>
  <si>
    <t>D.06</t>
  </si>
  <si>
    <t>ICBF</t>
  </si>
  <si>
    <t>E</t>
  </si>
  <si>
    <t>OTROS APORTES</t>
  </si>
  <si>
    <t>E.01</t>
  </si>
  <si>
    <t>Vestidos y calzados</t>
  </si>
  <si>
    <t>E.02</t>
  </si>
  <si>
    <t>Seguro colectivo</t>
  </si>
  <si>
    <t>SUB TOTAL F.P.</t>
  </si>
  <si>
    <t>F</t>
  </si>
  <si>
    <t>IMPUESTOS Y ESTAMPILLAS</t>
  </si>
  <si>
    <t>F.01</t>
  </si>
  <si>
    <t>Pro Cultura</t>
  </si>
  <si>
    <t>F.02</t>
  </si>
  <si>
    <t>Pro USCO</t>
  </si>
  <si>
    <t>F.03</t>
  </si>
  <si>
    <t>Adulto mayor</t>
  </si>
  <si>
    <t>F.04</t>
  </si>
  <si>
    <t>Pro deporte</t>
  </si>
  <si>
    <t>F.05</t>
  </si>
  <si>
    <t xml:space="preserve"> </t>
  </si>
  <si>
    <t>G</t>
  </si>
  <si>
    <t>ADMINISTRACIÓN</t>
  </si>
  <si>
    <t>G.01</t>
  </si>
  <si>
    <t>Asesoria legal, contable y financiera permanente y personal técnico administrativo adicional</t>
  </si>
  <si>
    <t>G.02</t>
  </si>
  <si>
    <t>Seguros, incendio y robos</t>
  </si>
  <si>
    <t>G.03</t>
  </si>
  <si>
    <t>Salarios y prestaciones personal auxiliar (administrativo y Tecnico)</t>
  </si>
  <si>
    <t>G.04</t>
  </si>
  <si>
    <t>Gastos bancarios</t>
  </si>
  <si>
    <t>G.05</t>
  </si>
  <si>
    <t>Preparacion de propuestas</t>
  </si>
  <si>
    <t>G.06</t>
  </si>
  <si>
    <t>Servicios de Oficina Públicos y comunicaciones</t>
  </si>
  <si>
    <t>H</t>
  </si>
  <si>
    <t>PÓLIZAS</t>
  </si>
  <si>
    <t>H.01</t>
  </si>
  <si>
    <t>Calidad</t>
  </si>
  <si>
    <t>H.02</t>
  </si>
  <si>
    <t>Cumplimiento, anticipo y salarios</t>
  </si>
  <si>
    <t>H.03</t>
  </si>
  <si>
    <t>Seriedad de la propuesta</t>
  </si>
  <si>
    <t>Calculado</t>
  </si>
  <si>
    <t>Ajustado</t>
  </si>
  <si>
    <t>Estructuras de acueducto</t>
  </si>
  <si>
    <t>COPIA</t>
  </si>
  <si>
    <t>Alquiler de equipo de topografía (RTK, Estación Total y Dron)</t>
  </si>
  <si>
    <t>Gastos de oficina (Impresión de informes y planos)</t>
  </si>
  <si>
    <t>MESES</t>
  </si>
  <si>
    <t>Total de productos</t>
  </si>
  <si>
    <t>A015</t>
  </si>
  <si>
    <t>Ingeniero Electrico</t>
  </si>
  <si>
    <t>A.14</t>
  </si>
  <si>
    <t>A10</t>
  </si>
  <si>
    <t xml:space="preserve">Profesional Universitario </t>
  </si>
  <si>
    <t>"CONSULTORÍA PARA LA ACTUALIZACIÓN DE LOS ESTUDIOS Y DISEÑOS PARA LA OPTIMIZACIÓN DEL SISTEMA DE ACUEDUCTO DEL CORREGIMIENTO DE SAN JORGE, CIUDAD DE NEIVA"</t>
  </si>
  <si>
    <t>"CONSULTORÍA PARA LA ELABORACION DE LOS ESTUDIOS Y DISEÑOS CENTRO DE BIENESTAR ANIMAL  DE LA CIUDAD DE NEIVA DEPARTAMENTO DEL HUILA"</t>
  </si>
  <si>
    <t>Profesional Arquitecto</t>
  </si>
  <si>
    <t>Ha</t>
  </si>
  <si>
    <t>Diagnostico y Perfil del proyecto</t>
  </si>
  <si>
    <t>B.08</t>
  </si>
  <si>
    <t>Diseño Arquitectonico y Urbanistico.</t>
  </si>
  <si>
    <t>Estudio hidrologico e hidrogeologico</t>
  </si>
  <si>
    <t>Diseños electricos</t>
  </si>
  <si>
    <t>Cronograma de ejecución y flujo de fondos de inversión, en PROJECT. .</t>
  </si>
  <si>
    <t>Formulación de proyecto para entrega ante mecanismos de financiación (Asesoria y acompañamiento en formulación de componente Para La Aprobacion)</t>
  </si>
  <si>
    <t>A.11</t>
  </si>
  <si>
    <t>A016</t>
  </si>
  <si>
    <t>Diseño de Red contra incendios y datos. Incluye memorias de cálculos y especificaciones técnicas.</t>
  </si>
  <si>
    <t>Estudio de sostenibilidad economica</t>
  </si>
  <si>
    <t>A017</t>
  </si>
  <si>
    <t>Topógrafo</t>
  </si>
  <si>
    <t xml:space="preserve">Especialista Veterinario </t>
  </si>
  <si>
    <t>Formulación, analisis de  alternativas y escogencia de la más viable</t>
  </si>
  <si>
    <t xml:space="preserve">Néstor Iván Otalvaro Peña </t>
  </si>
  <si>
    <t>Edinson Forero Uni</t>
  </si>
  <si>
    <t>Juan Guillermo García Reinoso</t>
  </si>
  <si>
    <t>Líder de programa</t>
  </si>
  <si>
    <t>Especificaciones y fichas técnicas de cada uno de los componentes  del proyecto</t>
  </si>
  <si>
    <t>G.07</t>
  </si>
  <si>
    <t>Utilidad</t>
  </si>
  <si>
    <t>Impuesto de Timbre</t>
  </si>
  <si>
    <t>Profesional RCI</t>
  </si>
  <si>
    <t>Presupuesto de obras requeridas, dotación, insumos y equipos necesarios para la puesta en funcionamiento del CENTRO DE BIENESTAR ANIMAL, incluye Memorias de cantidades de obra detalladas por componente, Análisis de precios unitarios, EDT, EDO</t>
  </si>
  <si>
    <t>Estudio y diseño de la Evaluación ambiental (Plan de Manejo Ambiental y Plan sanitario).</t>
  </si>
  <si>
    <t>Planos de diseño de las diferentes especialidades debidamente firmados (Arquitectónico y Urbanístico – topografía – cimentaciones – hidráulicos – estructurales – eléctricos -  Red contra incendios, datos y todos los que se requieran).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</si>
</sst>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  <numFmt numFmtId="165" formatCode="_(&quot;$&quot;* #,##0.00_);_(&quot;$&quot;* \(#,##0.00\);_(&quot;$&quot;* &quot;-&quot;??_);_(@_)"/>
    <numFmt numFmtId="166" formatCode="_-[$$-240A]\ * #,##0.00_-;\-[$$-240A]\ * #,##0.00_-;_-[$$-240A]\ * &quot;-&quot;??_-;_-@"/>
    <numFmt numFmtId="167" formatCode="_([$$-240A]\ * #,##0.00_);_([$$-240A]\ * \(#,##0.00\);_([$$-240A]\ * &quot;-&quot;??_);_(@_)"/>
    <numFmt numFmtId="168" formatCode="_([$$-240A]\ * #,##0.0_);_([$$-240A]\ * \(#,##0.0\);_([$$-240A]\ * &quot;-&quot;??_);_(@_)"/>
    <numFmt numFmtId="169" formatCode="0.0000"/>
    <numFmt numFmtId="170" formatCode="#,##0.00;[Red]#,##0.00"/>
    <numFmt numFmtId="171" formatCode="&quot;$&quot;#,##0.00;[Red]&quot;$&quot;#,##0.00"/>
    <numFmt numFmtId="172" formatCode="0.0%"/>
    <numFmt numFmtId="173" formatCode="_-[$$-240A]\ * #,##0.00_-;\-[$$-240A]\ * #,##0.00_-;_-[$$-240A]\ * &quot;-&quot;??_-;_-@_-"/>
    <numFmt numFmtId="174" formatCode="0.0000000000000"/>
    <numFmt numFmtId="175" formatCode="_-[$$-240A]\ * #,##0.0000000000_-;\-[$$-240A]\ * #,##0.0000000000_-;_-[$$-240A]\ * &quot;-&quot;??_-;_-@_-"/>
    <numFmt numFmtId="176" formatCode="_([$$-240A]\ * #,##0.000000000_);_([$$-240A]\ * \(#,##0.000000000\);_([$$-240A]\ * &quot;-&quot;??_);_(@_)"/>
    <numFmt numFmtId="177" formatCode="_([$$-240A]\ * #,##0.0000000000_);_([$$-240A]\ * \(#,##0.0000000000\);_([$$-240A]\ * &quot;-&quot;??_);_(@_)"/>
    <numFmt numFmtId="178" formatCode="_([$$-240A]\ * #,##0.00000000000_);_([$$-240A]\ * \(#,##0.00000000000\);_([$$-240A]\ * &quot;-&quot;??_);_(@_)"/>
    <numFmt numFmtId="179" formatCode="_([$$-240A]\ * #,##0.000000000000_);_([$$-240A]\ * \(#,##0.000000000000\);_([$$-240A]\ * &quot;-&quot;??_);_(@_)"/>
    <numFmt numFmtId="180" formatCode="_-&quot;$&quot;\ * #,##0.00000000_-;\-&quot;$&quot;\ * #,##0.00000000_-;_-&quot;$&quot;\ * &quot;-&quot;??_-;_-@_-"/>
    <numFmt numFmtId="181" formatCode="_-&quot;$&quot;\ * #,##0.0000000000000000_-;\-&quot;$&quot;\ * #,##0.0000000000000000_-;_-&quot;$&quot;\ * &quot;-&quot;??_-;_-@_-"/>
    <numFmt numFmtId="182" formatCode="_-&quot;$&quot;\ * #,##0.00000000000000000_-;\-&quot;$&quot;\ * #,##0.00000000000000000_-;_-&quot;$&quot;\ * &quot;-&quot;??_-;_-@_-"/>
    <numFmt numFmtId="183" formatCode="_-&quot;$&quot;\ * #,##0.000000000000000000_-;\-&quot;$&quot;\ * #,##0.000000000000000000_-;_-&quot;$&quot;\ * &quot;-&quot;??_-;_-@_-"/>
    <numFmt numFmtId="184" formatCode="_-&quot;$&quot;\ * #,##0.0000000000000000000_-;\-&quot;$&quot;\ * #,##0.0000000000000000000_-;_-&quot;$&quot;\ * &quot;-&quot;??_-;_-@_-"/>
    <numFmt numFmtId="185" formatCode="_-[$$-240A]\ * #,##0.00000000000_-;\-[$$-240A]\ * #,##0.00000000000_-;_-[$$-240A]\ * &quot;-&quot;??_-;_-@_-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entury Gothic"/>
      <family val="2"/>
    </font>
    <font>
      <sz val="10"/>
      <color theme="0"/>
      <name val="Century Gothic"/>
      <family val="2"/>
    </font>
    <font>
      <sz val="9"/>
      <color theme="1"/>
      <name val="Century Gothic"/>
      <family val="2"/>
    </font>
    <font>
      <sz val="10"/>
      <color rgb="FF000000"/>
      <name val="Century Gothic"/>
      <family val="2"/>
    </font>
    <font>
      <b/>
      <sz val="10"/>
      <color theme="1"/>
      <name val="Century Gothic"/>
      <family val="2"/>
    </font>
    <font>
      <b/>
      <sz val="11"/>
      <name val="Arial Narrow"/>
      <family val="2"/>
    </font>
    <font>
      <sz val="11"/>
      <color rgb="FFFF0000"/>
      <name val="Calibri"/>
      <family val="2"/>
      <scheme val="minor"/>
    </font>
    <font>
      <sz val="10"/>
      <color rgb="FFFF0000"/>
      <name val="Century Gothic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D8D8D8"/>
        <bgColor rgb="FFD8D8D8"/>
      </patternFill>
    </fill>
    <fill>
      <patternFill patternType="solid">
        <fgColor theme="3" tint="0.39997558519241921"/>
        <bgColor rgb="FF44546A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1" applyNumberFormat="0" applyAlignment="0" applyProtection="0"/>
    <xf numFmtId="0" fontId="8" fillId="21" borderId="1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13" applyNumberFormat="0" applyFill="0" applyAlignment="0" applyProtection="0"/>
    <xf numFmtId="0" fontId="12" fillId="0" borderId="14" applyNumberFormat="0" applyFill="0" applyAlignment="0" applyProtection="0"/>
    <xf numFmtId="0" fontId="13" fillId="0" borderId="1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1" applyNumberFormat="0" applyAlignment="0" applyProtection="0"/>
    <xf numFmtId="0" fontId="15" fillId="0" borderId="16" applyNumberFormat="0" applyFill="0" applyAlignment="0" applyProtection="0"/>
    <xf numFmtId="0" fontId="4" fillId="22" borderId="17" applyNumberFormat="0" applyFont="0" applyAlignment="0" applyProtection="0"/>
    <xf numFmtId="0" fontId="16" fillId="20" borderId="1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4" fontId="22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</cellStyleXfs>
  <cellXfs count="304">
    <xf numFmtId="0" fontId="0" fillId="0" borderId="0" xfId="0"/>
    <xf numFmtId="0" fontId="1" fillId="0" borderId="0" xfId="1"/>
    <xf numFmtId="0" fontId="3" fillId="0" borderId="19" xfId="1" applyFont="1" applyBorder="1" applyAlignment="1">
      <alignment vertical="center" wrapText="1"/>
    </xf>
    <xf numFmtId="0" fontId="3" fillId="0" borderId="20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0" fontId="3" fillId="0" borderId="22" xfId="1" applyFont="1" applyBorder="1" applyAlignment="1">
      <alignment vertical="center" wrapText="1"/>
    </xf>
    <xf numFmtId="0" fontId="3" fillId="0" borderId="23" xfId="1" applyFont="1" applyBorder="1" applyAlignment="1">
      <alignment horizontal="center" vertical="center" wrapText="1"/>
    </xf>
    <xf numFmtId="0" fontId="3" fillId="0" borderId="24" xfId="1" applyFont="1" applyBorder="1" applyAlignment="1">
      <alignment horizontal="center" vertical="center" wrapText="1"/>
    </xf>
    <xf numFmtId="0" fontId="1" fillId="0" borderId="19" xfId="1" applyBorder="1"/>
    <xf numFmtId="0" fontId="1" fillId="0" borderId="20" xfId="1" applyBorder="1" applyAlignment="1">
      <alignment horizontal="center"/>
    </xf>
    <xf numFmtId="164" fontId="1" fillId="0" borderId="20" xfId="1" applyNumberFormat="1" applyBorder="1"/>
    <xf numFmtId="9" fontId="1" fillId="0" borderId="20" xfId="1" applyNumberFormat="1" applyBorder="1" applyAlignment="1">
      <alignment horizontal="center"/>
    </xf>
    <xf numFmtId="164" fontId="1" fillId="0" borderId="21" xfId="1" applyNumberFormat="1" applyBorder="1"/>
    <xf numFmtId="0" fontId="1" fillId="0" borderId="7" xfId="1" applyBorder="1"/>
    <xf numFmtId="0" fontId="1" fillId="0" borderId="8" xfId="1" applyBorder="1" applyAlignment="1">
      <alignment horizontal="center"/>
    </xf>
    <xf numFmtId="164" fontId="1" fillId="0" borderId="8" xfId="1" applyNumberFormat="1" applyBorder="1"/>
    <xf numFmtId="9" fontId="1" fillId="0" borderId="8" xfId="1" applyNumberFormat="1" applyBorder="1" applyAlignment="1">
      <alignment horizontal="center"/>
    </xf>
    <xf numFmtId="164" fontId="1" fillId="0" borderId="6" xfId="1" applyNumberFormat="1" applyBorder="1"/>
    <xf numFmtId="0" fontId="1" fillId="0" borderId="22" xfId="1" applyBorder="1"/>
    <xf numFmtId="0" fontId="1" fillId="0" borderId="23" xfId="1" applyBorder="1" applyAlignment="1">
      <alignment horizontal="center"/>
    </xf>
    <xf numFmtId="164" fontId="1" fillId="0" borderId="23" xfId="1" applyNumberFormat="1" applyBorder="1"/>
    <xf numFmtId="9" fontId="1" fillId="0" borderId="23" xfId="1" applyNumberFormat="1" applyBorder="1" applyAlignment="1">
      <alignment horizontal="center"/>
    </xf>
    <xf numFmtId="164" fontId="1" fillId="0" borderId="24" xfId="1" applyNumberFormat="1" applyBorder="1"/>
    <xf numFmtId="0" fontId="1" fillId="0" borderId="0" xfId="1" applyAlignment="1">
      <alignment horizontal="center"/>
    </xf>
    <xf numFmtId="164" fontId="1" fillId="0" borderId="0" xfId="1" applyNumberFormat="1"/>
    <xf numFmtId="9" fontId="1" fillId="0" borderId="0" xfId="1" applyNumberFormat="1" applyAlignment="1">
      <alignment horizontal="center"/>
    </xf>
    <xf numFmtId="9" fontId="1" fillId="0" borderId="0" xfId="2" applyFont="1"/>
    <xf numFmtId="0" fontId="1" fillId="0" borderId="1" xfId="1" applyBorder="1" applyAlignment="1">
      <alignment horizontal="center"/>
    </xf>
    <xf numFmtId="165" fontId="3" fillId="0" borderId="3" xfId="42" applyFont="1" applyBorder="1" applyAlignment="1">
      <alignment horizontal="center"/>
    </xf>
    <xf numFmtId="165" fontId="1" fillId="0" borderId="0" xfId="42" applyBorder="1" applyAlignment="1">
      <alignment horizontal="center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1" fillId="0" borderId="4" xfId="1" applyBorder="1"/>
    <xf numFmtId="164" fontId="1" fillId="0" borderId="5" xfId="1" applyNumberFormat="1" applyBorder="1"/>
    <xf numFmtId="9" fontId="1" fillId="0" borderId="5" xfId="1" applyNumberFormat="1" applyBorder="1" applyAlignment="1">
      <alignment horizontal="center"/>
    </xf>
    <xf numFmtId="164" fontId="1" fillId="0" borderId="9" xfId="1" applyNumberFormat="1" applyBorder="1"/>
    <xf numFmtId="1" fontId="20" fillId="0" borderId="25" xfId="0" applyNumberFormat="1" applyFont="1" applyBorder="1" applyAlignment="1">
      <alignment horizontal="center" vertical="center" wrapText="1"/>
    </xf>
    <xf numFmtId="10" fontId="20" fillId="0" borderId="25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>
      <alignment horizontal="center" vertical="center" wrapText="1"/>
    </xf>
    <xf numFmtId="1" fontId="20" fillId="0" borderId="0" xfId="0" applyNumberFormat="1" applyFont="1" applyAlignment="1">
      <alignment horizontal="right" vertical="center" wrapText="1"/>
    </xf>
    <xf numFmtId="1" fontId="20" fillId="0" borderId="0" xfId="0" applyNumberFormat="1" applyFont="1" applyAlignment="1">
      <alignment horizontal="center" vertical="center" wrapText="1"/>
    </xf>
    <xf numFmtId="1" fontId="20" fillId="0" borderId="33" xfId="0" applyNumberFormat="1" applyFont="1" applyBorder="1" applyAlignment="1">
      <alignment horizontal="center" vertical="center"/>
    </xf>
    <xf numFmtId="166" fontId="20" fillId="0" borderId="25" xfId="0" applyNumberFormat="1" applyFont="1" applyBorder="1" applyAlignment="1">
      <alignment horizontal="center" vertical="center"/>
    </xf>
    <xf numFmtId="2" fontId="20" fillId="0" borderId="25" xfId="0" applyNumberFormat="1" applyFont="1" applyBorder="1" applyAlignment="1">
      <alignment horizontal="center" vertical="center"/>
    </xf>
    <xf numFmtId="1" fontId="20" fillId="0" borderId="33" xfId="0" applyNumberFormat="1" applyFont="1" applyBorder="1" applyAlignment="1">
      <alignment horizontal="left" vertical="center" wrapText="1"/>
    </xf>
    <xf numFmtId="1" fontId="20" fillId="0" borderId="27" xfId="0" applyNumberFormat="1" applyFont="1" applyBorder="1" applyAlignment="1">
      <alignment horizontal="left" vertical="center" wrapText="1"/>
    </xf>
    <xf numFmtId="1" fontId="20" fillId="0" borderId="26" xfId="0" applyNumberFormat="1" applyFont="1" applyBorder="1" applyAlignment="1">
      <alignment horizontal="center" vertical="center" wrapText="1"/>
    </xf>
    <xf numFmtId="10" fontId="20" fillId="0" borderId="26" xfId="0" applyNumberFormat="1" applyFont="1" applyBorder="1" applyAlignment="1">
      <alignment horizontal="center" vertical="center" wrapText="1"/>
    </xf>
    <xf numFmtId="1" fontId="20" fillId="0" borderId="8" xfId="0" applyNumberFormat="1" applyFont="1" applyBorder="1" applyAlignment="1">
      <alignment horizontal="left" vertical="center" wrapText="1"/>
    </xf>
    <xf numFmtId="1" fontId="20" fillId="0" borderId="8" xfId="0" applyNumberFormat="1" applyFont="1" applyBorder="1" applyAlignment="1">
      <alignment horizontal="center" vertical="center" wrapText="1"/>
    </xf>
    <xf numFmtId="10" fontId="20" fillId="0" borderId="8" xfId="0" applyNumberFormat="1" applyFont="1" applyBorder="1" applyAlignment="1">
      <alignment horizontal="center" vertical="center" wrapText="1"/>
    </xf>
    <xf numFmtId="166" fontId="20" fillId="0" borderId="33" xfId="0" applyNumberFormat="1" applyFont="1" applyBorder="1" applyAlignment="1">
      <alignment horizontal="center" vertical="center"/>
    </xf>
    <xf numFmtId="2" fontId="20" fillId="0" borderId="34" xfId="0" applyNumberFormat="1" applyFont="1" applyBorder="1" applyAlignment="1">
      <alignment horizontal="center" vertical="center"/>
    </xf>
    <xf numFmtId="1" fontId="20" fillId="0" borderId="10" xfId="0" applyNumberFormat="1" applyFont="1" applyBorder="1" applyAlignment="1">
      <alignment horizontal="left" vertical="center" wrapText="1"/>
    </xf>
    <xf numFmtId="1" fontId="20" fillId="0" borderId="10" xfId="0" applyNumberFormat="1" applyFont="1" applyBorder="1" applyAlignment="1">
      <alignment horizontal="center" vertical="center" wrapText="1"/>
    </xf>
    <xf numFmtId="10" fontId="20" fillId="0" borderId="10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25" fillId="0" borderId="25" xfId="0" applyFont="1" applyBorder="1"/>
    <xf numFmtId="167" fontId="20" fillId="0" borderId="25" xfId="0" applyNumberFormat="1" applyFont="1" applyBorder="1" applyAlignment="1">
      <alignment horizontal="center" vertical="center"/>
    </xf>
    <xf numFmtId="166" fontId="26" fillId="0" borderId="25" xfId="0" applyNumberFormat="1" applyFont="1" applyBorder="1"/>
    <xf numFmtId="167" fontId="20" fillId="0" borderId="25" xfId="0" applyNumberFormat="1" applyFont="1" applyBorder="1"/>
    <xf numFmtId="168" fontId="20" fillId="0" borderId="25" xfId="0" applyNumberFormat="1" applyFont="1" applyBorder="1"/>
    <xf numFmtId="167" fontId="26" fillId="0" borderId="25" xfId="0" applyNumberFormat="1" applyFont="1" applyBorder="1"/>
    <xf numFmtId="167" fontId="20" fillId="0" borderId="0" xfId="0" applyNumberFormat="1" applyFont="1"/>
    <xf numFmtId="0" fontId="27" fillId="0" borderId="0" xfId="0" applyFont="1"/>
    <xf numFmtId="0" fontId="28" fillId="23" borderId="25" xfId="0" applyFont="1" applyFill="1" applyBorder="1" applyAlignment="1">
      <alignment horizontal="center"/>
    </xf>
    <xf numFmtId="0" fontId="20" fillId="0" borderId="25" xfId="0" applyFont="1" applyBorder="1" applyAlignment="1">
      <alignment horizontal="center" vertical="center"/>
    </xf>
    <xf numFmtId="0" fontId="20" fillId="0" borderId="0" xfId="0" applyFont="1"/>
    <xf numFmtId="167" fontId="28" fillId="23" borderId="25" xfId="0" applyNumberFormat="1" applyFont="1" applyFill="1" applyBorder="1" applyAlignment="1">
      <alignment horizontal="center"/>
    </xf>
    <xf numFmtId="167" fontId="28" fillId="23" borderId="25" xfId="0" applyNumberFormat="1" applyFont="1" applyFill="1" applyBorder="1"/>
    <xf numFmtId="1" fontId="20" fillId="0" borderId="25" xfId="0" applyNumberFormat="1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wrapText="1"/>
    </xf>
    <xf numFmtId="44" fontId="0" fillId="0" borderId="8" xfId="44" applyFont="1" applyBorder="1"/>
    <xf numFmtId="0" fontId="23" fillId="0" borderId="8" xfId="0" applyFont="1" applyBorder="1"/>
    <xf numFmtId="44" fontId="0" fillId="0" borderId="8" xfId="0" applyNumberFormat="1" applyBorder="1"/>
    <xf numFmtId="4" fontId="29" fillId="0" borderId="8" xfId="45" applyNumberFormat="1" applyFont="1" applyBorder="1" applyAlignment="1">
      <alignment vertical="center" wrapText="1"/>
    </xf>
    <xf numFmtId="166" fontId="19" fillId="24" borderId="29" xfId="0" applyNumberFormat="1" applyFont="1" applyFill="1" applyBorder="1" applyAlignment="1">
      <alignment horizontal="center" vertical="center" wrapText="1"/>
    </xf>
    <xf numFmtId="166" fontId="19" fillId="24" borderId="33" xfId="0" applyNumberFormat="1" applyFont="1" applyFill="1" applyBorder="1" applyAlignment="1">
      <alignment horizontal="center" vertical="center"/>
    </xf>
    <xf numFmtId="49" fontId="19" fillId="24" borderId="8" xfId="0" applyNumberFormat="1" applyFont="1" applyFill="1" applyBorder="1" applyAlignment="1">
      <alignment horizontal="center" vertical="center" wrapText="1"/>
    </xf>
    <xf numFmtId="0" fontId="25" fillId="24" borderId="25" xfId="0" applyFont="1" applyFill="1" applyBorder="1" applyAlignment="1">
      <alignment horizontal="center" vertical="center"/>
    </xf>
    <xf numFmtId="167" fontId="19" fillId="24" borderId="25" xfId="0" applyNumberFormat="1" applyFont="1" applyFill="1" applyBorder="1" applyAlignment="1">
      <alignment horizontal="center" vertical="center"/>
    </xf>
    <xf numFmtId="167" fontId="25" fillId="24" borderId="25" xfId="0" applyNumberFormat="1" applyFont="1" applyFill="1" applyBorder="1"/>
    <xf numFmtId="49" fontId="0" fillId="0" borderId="8" xfId="0" applyNumberFormat="1" applyBorder="1" applyAlignment="1">
      <alignment wrapText="1"/>
    </xf>
    <xf numFmtId="0" fontId="0" fillId="0" borderId="37" xfId="0" applyBorder="1" applyAlignment="1">
      <alignment vertical="center" wrapText="1"/>
    </xf>
    <xf numFmtId="166" fontId="19" fillId="24" borderId="0" xfId="0" applyNumberFormat="1" applyFont="1" applyFill="1" applyAlignment="1">
      <alignment horizontal="center" vertical="center" wrapText="1"/>
    </xf>
    <xf numFmtId="4" fontId="20" fillId="0" borderId="38" xfId="0" applyNumberFormat="1" applyFont="1" applyBorder="1"/>
    <xf numFmtId="4" fontId="28" fillId="0" borderId="0" xfId="0" applyNumberFormat="1" applyFont="1" applyAlignment="1">
      <alignment horizontal="center" vertical="center" wrapText="1"/>
    </xf>
    <xf numFmtId="170" fontId="28" fillId="0" borderId="0" xfId="0" applyNumberFormat="1" applyFont="1" applyAlignment="1">
      <alignment horizontal="center" vertical="center" wrapText="1"/>
    </xf>
    <xf numFmtId="4" fontId="20" fillId="0" borderId="0" xfId="0" applyNumberFormat="1" applyFont="1"/>
    <xf numFmtId="9" fontId="20" fillId="0" borderId="25" xfId="0" applyNumberFormat="1" applyFont="1" applyBorder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/>
    </xf>
    <xf numFmtId="10" fontId="20" fillId="0" borderId="25" xfId="0" applyNumberFormat="1" applyFont="1" applyBorder="1" applyAlignment="1">
      <alignment horizontal="center" vertical="center"/>
    </xf>
    <xf numFmtId="10" fontId="20" fillId="0" borderId="0" xfId="0" applyNumberFormat="1" applyFont="1"/>
    <xf numFmtId="4" fontId="20" fillId="0" borderId="38" xfId="0" applyNumberFormat="1" applyFont="1" applyBorder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 wrapText="1"/>
    </xf>
    <xf numFmtId="4" fontId="20" fillId="0" borderId="0" xfId="0" applyNumberFormat="1" applyFont="1" applyAlignment="1">
      <alignment wrapText="1"/>
    </xf>
    <xf numFmtId="4" fontId="28" fillId="0" borderId="25" xfId="0" applyNumberFormat="1" applyFont="1" applyBorder="1" applyAlignment="1">
      <alignment horizontal="center" vertical="center" wrapText="1"/>
    </xf>
    <xf numFmtId="4" fontId="19" fillId="24" borderId="25" xfId="0" applyNumberFormat="1" applyFont="1" applyFill="1" applyBorder="1" applyAlignment="1">
      <alignment horizontal="center" vertical="center" wrapText="1"/>
    </xf>
    <xf numFmtId="9" fontId="19" fillId="24" borderId="25" xfId="0" applyNumberFormat="1" applyFont="1" applyFill="1" applyBorder="1" applyAlignment="1">
      <alignment horizontal="center" vertical="center" wrapText="1"/>
    </xf>
    <xf numFmtId="10" fontId="19" fillId="24" borderId="25" xfId="0" applyNumberFormat="1" applyFont="1" applyFill="1" applyBorder="1" applyAlignment="1">
      <alignment horizontal="center" vertical="center" wrapText="1"/>
    </xf>
    <xf numFmtId="10" fontId="19" fillId="24" borderId="29" xfId="0" applyNumberFormat="1" applyFont="1" applyFill="1" applyBorder="1" applyAlignment="1">
      <alignment horizontal="center" vertical="center" wrapText="1"/>
    </xf>
    <xf numFmtId="9" fontId="0" fillId="27" borderId="0" xfId="0" applyNumberFormat="1" applyFill="1"/>
    <xf numFmtId="9" fontId="0" fillId="28" borderId="0" xfId="0" applyNumberFormat="1" applyFill="1"/>
    <xf numFmtId="44" fontId="0" fillId="0" borderId="0" xfId="0" applyNumberFormat="1"/>
    <xf numFmtId="172" fontId="0" fillId="27" borderId="0" xfId="46" applyNumberFormat="1" applyFont="1" applyFill="1"/>
    <xf numFmtId="0" fontId="28" fillId="23" borderId="36" xfId="0" applyFont="1" applyFill="1" applyBorder="1" applyAlignment="1">
      <alignment horizontal="center"/>
    </xf>
    <xf numFmtId="0" fontId="24" fillId="0" borderId="36" xfId="0" applyFont="1" applyBorder="1"/>
    <xf numFmtId="167" fontId="20" fillId="0" borderId="36" xfId="0" applyNumberFormat="1" applyFont="1" applyBorder="1" applyAlignment="1">
      <alignment horizontal="center" vertical="center"/>
    </xf>
    <xf numFmtId="0" fontId="24" fillId="0" borderId="28" xfId="0" applyFont="1" applyBorder="1"/>
    <xf numFmtId="49" fontId="25" fillId="24" borderId="25" xfId="0" applyNumberFormat="1" applyFont="1" applyFill="1" applyBorder="1" applyAlignment="1">
      <alignment horizontal="center" vertical="center"/>
    </xf>
    <xf numFmtId="10" fontId="0" fillId="27" borderId="0" xfId="0" applyNumberFormat="1" applyFill="1"/>
    <xf numFmtId="10" fontId="0" fillId="27" borderId="0" xfId="46" applyNumberFormat="1" applyFont="1" applyFill="1"/>
    <xf numFmtId="173" fontId="0" fillId="0" borderId="0" xfId="0" applyNumberFormat="1"/>
    <xf numFmtId="0" fontId="0" fillId="29" borderId="0" xfId="0" applyFill="1"/>
    <xf numFmtId="0" fontId="0" fillId="0" borderId="0" xfId="0" applyAlignment="1">
      <alignment vertical="center" wrapText="1"/>
    </xf>
    <xf numFmtId="2" fontId="20" fillId="0" borderId="25" xfId="0" applyNumberFormat="1" applyFont="1" applyBorder="1" applyAlignment="1">
      <alignment horizontal="center" vertical="center" wrapText="1"/>
    </xf>
    <xf numFmtId="2" fontId="20" fillId="0" borderId="35" xfId="0" applyNumberFormat="1" applyFont="1" applyBorder="1" applyAlignment="1">
      <alignment horizontal="center" vertical="center" wrapText="1"/>
    </xf>
    <xf numFmtId="2" fontId="20" fillId="0" borderId="0" xfId="0" applyNumberFormat="1" applyFont="1" applyAlignment="1">
      <alignment horizontal="center" vertical="center" wrapText="1"/>
    </xf>
    <xf numFmtId="2" fontId="0" fillId="0" borderId="0" xfId="0" applyNumberFormat="1"/>
    <xf numFmtId="44" fontId="0" fillId="0" borderId="0" xfId="44" applyFont="1"/>
    <xf numFmtId="2" fontId="20" fillId="0" borderId="28" xfId="0" applyNumberFormat="1" applyFont="1" applyBorder="1" applyAlignment="1">
      <alignment horizontal="center" vertical="center" wrapText="1"/>
    </xf>
    <xf numFmtId="2" fontId="20" fillId="0" borderId="8" xfId="0" applyNumberFormat="1" applyFont="1" applyBorder="1" applyAlignment="1">
      <alignment horizontal="center" vertical="center" wrapText="1"/>
    </xf>
    <xf numFmtId="0" fontId="0" fillId="2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 wrapText="1"/>
    </xf>
    <xf numFmtId="9" fontId="0" fillId="0" borderId="0" xfId="0" applyNumberFormat="1"/>
    <xf numFmtId="1" fontId="20" fillId="0" borderId="33" xfId="0" applyNumberFormat="1" applyFont="1" applyBorder="1" applyAlignment="1">
      <alignment horizontal="left" vertical="center"/>
    </xf>
    <xf numFmtId="0" fontId="0" fillId="26" borderId="0" xfId="0" applyFill="1"/>
    <xf numFmtId="1" fontId="31" fillId="26" borderId="8" xfId="0" applyNumberFormat="1" applyFont="1" applyFill="1" applyBorder="1" applyAlignment="1">
      <alignment horizontal="left" vertical="center" wrapText="1"/>
    </xf>
    <xf numFmtId="1" fontId="31" fillId="26" borderId="8" xfId="0" applyNumberFormat="1" applyFont="1" applyFill="1" applyBorder="1" applyAlignment="1">
      <alignment horizontal="center" vertical="center" wrapText="1"/>
    </xf>
    <xf numFmtId="10" fontId="31" fillId="26" borderId="25" xfId="0" applyNumberFormat="1" applyFont="1" applyFill="1" applyBorder="1" applyAlignment="1">
      <alignment horizontal="center" vertical="center" wrapText="1"/>
    </xf>
    <xf numFmtId="1" fontId="31" fillId="26" borderId="25" xfId="0" applyNumberFormat="1" applyFont="1" applyFill="1" applyBorder="1" applyAlignment="1">
      <alignment horizontal="center" vertical="center" wrapText="1"/>
    </xf>
    <xf numFmtId="0" fontId="30" fillId="26" borderId="0" xfId="0" applyFont="1" applyFill="1"/>
    <xf numFmtId="9" fontId="30" fillId="26" borderId="0" xfId="0" applyNumberFormat="1" applyFont="1" applyFill="1"/>
    <xf numFmtId="10" fontId="30" fillId="26" borderId="0" xfId="46" applyNumberFormat="1" applyFont="1" applyFill="1"/>
    <xf numFmtId="49" fontId="30" fillId="26" borderId="0" xfId="0" applyNumberFormat="1" applyFont="1" applyFill="1"/>
    <xf numFmtId="44" fontId="0" fillId="0" borderId="8" xfId="44" applyFont="1" applyFill="1" applyBorder="1"/>
    <xf numFmtId="1" fontId="0" fillId="0" borderId="8" xfId="0" applyNumberFormat="1" applyBorder="1" applyAlignment="1">
      <alignment wrapText="1"/>
    </xf>
    <xf numFmtId="10" fontId="0" fillId="0" borderId="8" xfId="0" applyNumberFormat="1" applyBorder="1"/>
    <xf numFmtId="2" fontId="20" fillId="0" borderId="26" xfId="0" applyNumberFormat="1" applyFont="1" applyBorder="1" applyAlignment="1">
      <alignment horizontal="center" vertical="center" wrapText="1"/>
    </xf>
    <xf numFmtId="2" fontId="0" fillId="0" borderId="8" xfId="0" applyNumberFormat="1" applyBorder="1"/>
    <xf numFmtId="0" fontId="0" fillId="0" borderId="37" xfId="0" applyBorder="1" applyAlignment="1">
      <alignment vertical="center"/>
    </xf>
    <xf numFmtId="0" fontId="0" fillId="0" borderId="37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9" xfId="0" applyBorder="1"/>
    <xf numFmtId="0" fontId="0" fillId="0" borderId="7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74" fontId="0" fillId="26" borderId="0" xfId="0" applyNumberFormat="1" applyFill="1"/>
    <xf numFmtId="0" fontId="0" fillId="26" borderId="7" xfId="0" applyFill="1" applyBorder="1"/>
    <xf numFmtId="0" fontId="0" fillId="26" borderId="8" xfId="0" applyFill="1" applyBorder="1"/>
    <xf numFmtId="0" fontId="0" fillId="26" borderId="9" xfId="0" applyFill="1" applyBorder="1"/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26" borderId="23" xfId="0" applyFill="1" applyBorder="1"/>
    <xf numFmtId="166" fontId="19" fillId="24" borderId="33" xfId="0" applyNumberFormat="1" applyFont="1" applyFill="1" applyBorder="1" applyAlignment="1">
      <alignment horizontal="center" vertical="center" wrapText="1"/>
    </xf>
    <xf numFmtId="1" fontId="19" fillId="24" borderId="5" xfId="0" applyNumberFormat="1" applyFont="1" applyFill="1" applyBorder="1" applyAlignment="1">
      <alignment horizontal="center" vertical="center" wrapText="1"/>
    </xf>
    <xf numFmtId="1" fontId="19" fillId="24" borderId="49" xfId="0" applyNumberFormat="1" applyFont="1" applyFill="1" applyBorder="1" applyAlignment="1">
      <alignment horizontal="center" vertical="center" wrapText="1"/>
    </xf>
    <xf numFmtId="1" fontId="19" fillId="24" borderId="4" xfId="0" applyNumberFormat="1" applyFont="1" applyFill="1" applyBorder="1" applyAlignment="1">
      <alignment horizontal="center" vertical="center" wrapText="1"/>
    </xf>
    <xf numFmtId="1" fontId="19" fillId="24" borderId="6" xfId="0" applyNumberFormat="1" applyFont="1" applyFill="1" applyBorder="1" applyAlignment="1">
      <alignment horizontal="center" vertical="center" wrapText="1"/>
    </xf>
    <xf numFmtId="1" fontId="19" fillId="24" borderId="5" xfId="0" applyNumberFormat="1" applyFont="1" applyFill="1" applyBorder="1" applyAlignment="1">
      <alignment horizontal="center" vertical="center"/>
    </xf>
    <xf numFmtId="1" fontId="19" fillId="24" borderId="6" xfId="0" applyNumberFormat="1" applyFont="1" applyFill="1" applyBorder="1" applyAlignment="1">
      <alignment horizontal="center" vertical="center"/>
    </xf>
    <xf numFmtId="1" fontId="19" fillId="24" borderId="4" xfId="0" applyNumberFormat="1" applyFont="1" applyFill="1" applyBorder="1" applyAlignment="1">
      <alignment horizontal="center" vertical="center"/>
    </xf>
    <xf numFmtId="175" fontId="0" fillId="0" borderId="0" xfId="0" applyNumberFormat="1"/>
    <xf numFmtId="176" fontId="20" fillId="0" borderId="0" xfId="0" applyNumberFormat="1" applyFont="1"/>
    <xf numFmtId="177" fontId="20" fillId="0" borderId="0" xfId="0" applyNumberFormat="1" applyFont="1"/>
    <xf numFmtId="178" fontId="20" fillId="0" borderId="0" xfId="0" applyNumberFormat="1" applyFont="1"/>
    <xf numFmtId="179" fontId="20" fillId="0" borderId="0" xfId="0" applyNumberFormat="1" applyFon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  <xf numFmtId="180" fontId="0" fillId="0" borderId="0" xfId="44" applyNumberFormat="1" applyFont="1"/>
    <xf numFmtId="166" fontId="20" fillId="0" borderId="8" xfId="0" applyNumberFormat="1" applyFont="1" applyBorder="1" applyAlignment="1">
      <alignment horizontal="center" vertical="center" wrapText="1"/>
    </xf>
    <xf numFmtId="166" fontId="20" fillId="0" borderId="25" xfId="0" applyNumberFormat="1" applyFont="1" applyBorder="1" applyAlignment="1">
      <alignment horizontal="center" vertical="center" wrapText="1"/>
    </xf>
    <xf numFmtId="166" fontId="20" fillId="0" borderId="26" xfId="0" applyNumberFormat="1" applyFont="1" applyBorder="1" applyAlignment="1">
      <alignment horizontal="center" vertical="center" wrapText="1"/>
    </xf>
    <xf numFmtId="49" fontId="0" fillId="0" borderId="8" xfId="0" applyNumberFormat="1" applyBorder="1"/>
    <xf numFmtId="4" fontId="19" fillId="24" borderId="26" xfId="0" applyNumberFormat="1" applyFont="1" applyFill="1" applyBorder="1" applyAlignment="1">
      <alignment horizontal="center" vertical="center" wrapText="1"/>
    </xf>
    <xf numFmtId="10" fontId="20" fillId="0" borderId="26" xfId="0" applyNumberFormat="1" applyFont="1" applyBorder="1" applyAlignment="1">
      <alignment horizontal="center" vertical="center"/>
    </xf>
    <xf numFmtId="4" fontId="19" fillId="24" borderId="8" xfId="0" applyNumberFormat="1" applyFont="1" applyFill="1" applyBorder="1" applyAlignment="1">
      <alignment horizontal="center" vertical="center" wrapText="1"/>
    </xf>
    <xf numFmtId="10" fontId="20" fillId="0" borderId="8" xfId="0" applyNumberFormat="1" applyFont="1" applyBorder="1" applyAlignment="1">
      <alignment horizontal="center" vertical="center"/>
    </xf>
    <xf numFmtId="0" fontId="0" fillId="0" borderId="8" xfId="0" applyBorder="1" applyAlignment="1">
      <alignment vertical="top" wrapText="1"/>
    </xf>
    <xf numFmtId="2" fontId="19" fillId="24" borderId="26" xfId="0" applyNumberFormat="1" applyFont="1" applyFill="1" applyBorder="1" applyAlignment="1">
      <alignment horizontal="center" vertical="center" wrapText="1"/>
    </xf>
    <xf numFmtId="2" fontId="1" fillId="25" borderId="29" xfId="0" applyNumberFormat="1" applyFont="1" applyFill="1" applyBorder="1"/>
    <xf numFmtId="166" fontId="19" fillId="24" borderId="27" xfId="0" applyNumberFormat="1" applyFont="1" applyFill="1" applyBorder="1" applyAlignment="1">
      <alignment horizontal="center" vertical="center" wrapText="1"/>
    </xf>
    <xf numFmtId="0" fontId="1" fillId="25" borderId="28" xfId="0" applyFont="1" applyFill="1" applyBorder="1"/>
    <xf numFmtId="0" fontId="1" fillId="25" borderId="30" xfId="0" applyFont="1" applyFill="1" applyBorder="1"/>
    <xf numFmtId="0" fontId="1" fillId="25" borderId="32" xfId="0" applyFont="1" applyFill="1" applyBorder="1"/>
    <xf numFmtId="0" fontId="0" fillId="0" borderId="39" xfId="0" applyBorder="1" applyAlignment="1">
      <alignment horizontal="center"/>
    </xf>
    <xf numFmtId="0" fontId="0" fillId="0" borderId="0" xfId="0" applyAlignment="1">
      <alignment horizontal="center"/>
    </xf>
    <xf numFmtId="166" fontId="20" fillId="0" borderId="33" xfId="0" applyNumberFormat="1" applyFont="1" applyBorder="1" applyAlignment="1">
      <alignment horizontal="center" vertical="center" wrapText="1"/>
    </xf>
    <xf numFmtId="0" fontId="1" fillId="0" borderId="35" xfId="0" applyFont="1" applyBorder="1"/>
    <xf numFmtId="0" fontId="0" fillId="0" borderId="8" xfId="0" applyBorder="1" applyAlignment="1">
      <alignment horizontal="center"/>
    </xf>
    <xf numFmtId="4" fontId="29" fillId="0" borderId="8" xfId="45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39" xfId="0" applyBorder="1" applyAlignment="1">
      <alignment horizontal="center" wrapText="1"/>
    </xf>
    <xf numFmtId="1" fontId="19" fillId="24" borderId="30" xfId="0" applyNumberFormat="1" applyFont="1" applyFill="1" applyBorder="1" applyAlignment="1">
      <alignment horizontal="center" vertical="center" wrapText="1"/>
    </xf>
    <xf numFmtId="1" fontId="19" fillId="24" borderId="31" xfId="0" applyNumberFormat="1" applyFont="1" applyFill="1" applyBorder="1" applyAlignment="1">
      <alignment horizontal="center" vertical="center" wrapText="1"/>
    </xf>
    <xf numFmtId="166" fontId="19" fillId="24" borderId="26" xfId="0" applyNumberFormat="1" applyFont="1" applyFill="1" applyBorder="1" applyAlignment="1">
      <alignment horizontal="center" vertical="center" wrapText="1"/>
    </xf>
    <xf numFmtId="0" fontId="1" fillId="25" borderId="29" xfId="0" applyFont="1" applyFill="1" applyBorder="1"/>
    <xf numFmtId="166" fontId="19" fillId="24" borderId="26" xfId="0" applyNumberFormat="1" applyFont="1" applyFill="1" applyBorder="1" applyAlignment="1">
      <alignment horizontal="center" vertical="center"/>
    </xf>
    <xf numFmtId="166" fontId="20" fillId="0" borderId="10" xfId="0" applyNumberFormat="1" applyFont="1" applyBorder="1" applyAlignment="1">
      <alignment horizontal="center" vertical="center" wrapText="1"/>
    </xf>
    <xf numFmtId="0" fontId="1" fillId="0" borderId="10" xfId="0" applyFont="1" applyBorder="1"/>
    <xf numFmtId="166" fontId="20" fillId="0" borderId="27" xfId="0" applyNumberFormat="1" applyFont="1" applyBorder="1" applyAlignment="1">
      <alignment horizontal="center" vertical="center" wrapText="1"/>
    </xf>
    <xf numFmtId="0" fontId="1" fillId="0" borderId="28" xfId="0" applyFont="1" applyBorder="1"/>
    <xf numFmtId="166" fontId="20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/>
    <xf numFmtId="166" fontId="19" fillId="24" borderId="30" xfId="0" applyNumberFormat="1" applyFont="1" applyFill="1" applyBorder="1" applyAlignment="1">
      <alignment horizontal="right" vertical="center"/>
    </xf>
    <xf numFmtId="0" fontId="1" fillId="25" borderId="31" xfId="0" applyFont="1" applyFill="1" applyBorder="1"/>
    <xf numFmtId="166" fontId="20" fillId="0" borderId="30" xfId="0" applyNumberFormat="1" applyFont="1" applyBorder="1" applyAlignment="1">
      <alignment horizontal="center" vertical="center" wrapText="1"/>
    </xf>
    <xf numFmtId="0" fontId="1" fillId="0" borderId="32" xfId="0" applyFont="1" applyBorder="1"/>
    <xf numFmtId="166" fontId="19" fillId="24" borderId="33" xfId="0" applyNumberFormat="1" applyFont="1" applyFill="1" applyBorder="1" applyAlignment="1">
      <alignment horizontal="right" vertical="center"/>
    </xf>
    <xf numFmtId="0" fontId="1" fillId="25" borderId="34" xfId="0" applyFont="1" applyFill="1" applyBorder="1"/>
    <xf numFmtId="2" fontId="20" fillId="0" borderId="33" xfId="0" applyNumberFormat="1" applyFont="1" applyBorder="1" applyAlignment="1">
      <alignment horizontal="right" vertical="center" wrapText="1"/>
    </xf>
    <xf numFmtId="166" fontId="19" fillId="24" borderId="33" xfId="0" applyNumberFormat="1" applyFont="1" applyFill="1" applyBorder="1" applyAlignment="1">
      <alignment horizontal="right" vertical="center" wrapText="1"/>
    </xf>
    <xf numFmtId="0" fontId="1" fillId="25" borderId="34" xfId="0" applyFont="1" applyFill="1" applyBorder="1" applyAlignment="1">
      <alignment wrapText="1"/>
    </xf>
    <xf numFmtId="166" fontId="20" fillId="0" borderId="33" xfId="0" applyNumberFormat="1" applyFont="1" applyBorder="1" applyAlignment="1">
      <alignment horizontal="right" vertical="center" wrapText="1"/>
    </xf>
    <xf numFmtId="166" fontId="19" fillId="24" borderId="33" xfId="0" applyNumberFormat="1" applyFont="1" applyFill="1" applyBorder="1" applyAlignment="1">
      <alignment horizontal="center" vertical="center"/>
    </xf>
    <xf numFmtId="0" fontId="1" fillId="25" borderId="35" xfId="0" applyFont="1" applyFill="1" applyBorder="1"/>
    <xf numFmtId="49" fontId="0" fillId="0" borderId="37" xfId="0" applyNumberFormat="1" applyBorder="1" applyAlignment="1">
      <alignment horizontal="center" wrapText="1"/>
    </xf>
    <xf numFmtId="49" fontId="0" fillId="0" borderId="45" xfId="0" applyNumberFormat="1" applyBorder="1" applyAlignment="1">
      <alignment horizontal="center" wrapText="1"/>
    </xf>
    <xf numFmtId="49" fontId="0" fillId="0" borderId="46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/>
    </xf>
    <xf numFmtId="1" fontId="19" fillId="24" borderId="8" xfId="0" applyNumberFormat="1" applyFont="1" applyFill="1" applyBorder="1" applyAlignment="1">
      <alignment horizontal="center" vertical="center" wrapText="1"/>
    </xf>
    <xf numFmtId="0" fontId="1" fillId="25" borderId="8" xfId="0" applyFont="1" applyFill="1" applyBorder="1"/>
    <xf numFmtId="49" fontId="19" fillId="24" borderId="8" xfId="0" applyNumberFormat="1" applyFont="1" applyFill="1" applyBorder="1" applyAlignment="1">
      <alignment horizontal="center" vertical="center" wrapText="1"/>
    </xf>
    <xf numFmtId="49" fontId="1" fillId="25" borderId="8" xfId="0" applyNumberFormat="1" applyFont="1" applyFill="1" applyBorder="1"/>
    <xf numFmtId="166" fontId="19" fillId="24" borderId="8" xfId="0" applyNumberFormat="1" applyFont="1" applyFill="1" applyBorder="1" applyAlignment="1">
      <alignment horizontal="center" vertical="center" wrapText="1"/>
    </xf>
    <xf numFmtId="166" fontId="19" fillId="24" borderId="8" xfId="0" applyNumberFormat="1" applyFont="1" applyFill="1" applyBorder="1" applyAlignment="1">
      <alignment horizontal="center" vertical="center"/>
    </xf>
    <xf numFmtId="1" fontId="20" fillId="0" borderId="33" xfId="0" applyNumberFormat="1" applyFont="1" applyBorder="1" applyAlignment="1">
      <alignment horizontal="center"/>
    </xf>
    <xf numFmtId="0" fontId="24" fillId="0" borderId="34" xfId="0" applyFont="1" applyBorder="1"/>
    <xf numFmtId="0" fontId="24" fillId="0" borderId="35" xfId="0" applyFont="1" applyBorder="1"/>
    <xf numFmtId="167" fontId="20" fillId="0" borderId="33" xfId="0" applyNumberFormat="1" applyFont="1" applyBorder="1" applyAlignment="1">
      <alignment horizontal="center" vertical="center"/>
    </xf>
    <xf numFmtId="0" fontId="28" fillId="23" borderId="33" xfId="0" applyFont="1" applyFill="1" applyBorder="1" applyAlignment="1">
      <alignment horizontal="center"/>
    </xf>
    <xf numFmtId="0" fontId="19" fillId="24" borderId="27" xfId="0" applyFont="1" applyFill="1" applyBorder="1" applyAlignment="1">
      <alignment horizontal="left" vertical="top"/>
    </xf>
    <xf numFmtId="0" fontId="24" fillId="25" borderId="36" xfId="0" applyFont="1" applyFill="1" applyBorder="1"/>
    <xf numFmtId="0" fontId="24" fillId="25" borderId="28" xfId="0" applyFont="1" applyFill="1" applyBorder="1"/>
    <xf numFmtId="0" fontId="24" fillId="25" borderId="30" xfId="0" applyFont="1" applyFill="1" applyBorder="1"/>
    <xf numFmtId="0" fontId="24" fillId="25" borderId="31" xfId="0" applyFont="1" applyFill="1" applyBorder="1"/>
    <xf numFmtId="0" fontId="24" fillId="25" borderId="32" xfId="0" applyFont="1" applyFill="1" applyBorder="1"/>
    <xf numFmtId="0" fontId="28" fillId="23" borderId="33" xfId="0" applyFont="1" applyFill="1" applyBorder="1" applyAlignment="1">
      <alignment horizontal="left"/>
    </xf>
    <xf numFmtId="167" fontId="28" fillId="23" borderId="33" xfId="0" applyNumberFormat="1" applyFont="1" applyFill="1" applyBorder="1" applyAlignment="1">
      <alignment horizontal="center"/>
    </xf>
    <xf numFmtId="0" fontId="20" fillId="0" borderId="33" xfId="0" applyFont="1" applyBorder="1" applyAlignment="1">
      <alignment horizontal="left"/>
    </xf>
    <xf numFmtId="2" fontId="20" fillId="0" borderId="33" xfId="0" applyNumberFormat="1" applyFont="1" applyBorder="1" applyAlignment="1">
      <alignment horizontal="center" vertical="center"/>
    </xf>
    <xf numFmtId="2" fontId="24" fillId="0" borderId="35" xfId="0" applyNumberFormat="1" applyFont="1" applyBorder="1"/>
    <xf numFmtId="0" fontId="20" fillId="0" borderId="33" xfId="0" applyFont="1" applyBorder="1" applyAlignment="1">
      <alignment horizontal="left" wrapText="1"/>
    </xf>
    <xf numFmtId="169" fontId="20" fillId="0" borderId="33" xfId="0" applyNumberFormat="1" applyFont="1" applyBorder="1" applyAlignment="1">
      <alignment horizontal="center" vertical="center"/>
    </xf>
    <xf numFmtId="167" fontId="20" fillId="0" borderId="35" xfId="0" applyNumberFormat="1" applyFont="1" applyBorder="1" applyAlignment="1">
      <alignment horizontal="center" vertical="center"/>
    </xf>
    <xf numFmtId="0" fontId="20" fillId="0" borderId="30" xfId="0" applyFont="1" applyBorder="1" applyAlignment="1">
      <alignment horizontal="left"/>
    </xf>
    <xf numFmtId="0" fontId="24" fillId="0" borderId="31" xfId="0" applyFont="1" applyBorder="1"/>
    <xf numFmtId="0" fontId="24" fillId="0" borderId="32" xfId="0" applyFont="1" applyBorder="1"/>
    <xf numFmtId="167" fontId="20" fillId="0" borderId="30" xfId="0" applyNumberFormat="1" applyFont="1" applyBorder="1" applyAlignment="1">
      <alignment horizontal="center" vertical="center"/>
    </xf>
    <xf numFmtId="2" fontId="20" fillId="0" borderId="30" xfId="0" applyNumberFormat="1" applyFont="1" applyBorder="1" applyAlignment="1">
      <alignment horizontal="center" vertical="center"/>
    </xf>
    <xf numFmtId="1" fontId="20" fillId="0" borderId="34" xfId="0" applyNumberFormat="1" applyFont="1" applyBorder="1" applyAlignment="1">
      <alignment horizontal="center"/>
    </xf>
    <xf numFmtId="1" fontId="20" fillId="0" borderId="35" xfId="0" applyNumberFormat="1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1" xfId="0" applyBorder="1" applyAlignment="1">
      <alignment horizontal="center" wrapText="1"/>
    </xf>
    <xf numFmtId="0" fontId="20" fillId="0" borderId="8" xfId="0" applyFont="1" applyBorder="1" applyAlignment="1">
      <alignment horizontal="left"/>
    </xf>
    <xf numFmtId="0" fontId="24" fillId="0" borderId="8" xfId="0" applyFont="1" applyBorder="1"/>
    <xf numFmtId="167" fontId="20" fillId="0" borderId="8" xfId="0" applyNumberFormat="1" applyFont="1" applyBorder="1" applyAlignment="1">
      <alignment horizontal="center" vertical="center"/>
    </xf>
    <xf numFmtId="2" fontId="20" fillId="0" borderId="8" xfId="0" applyNumberFormat="1" applyFont="1" applyBorder="1" applyAlignment="1">
      <alignment horizontal="center" vertical="center"/>
    </xf>
    <xf numFmtId="1" fontId="19" fillId="24" borderId="27" xfId="0" applyNumberFormat="1" applyFont="1" applyFill="1" applyBorder="1" applyAlignment="1">
      <alignment horizontal="left" vertical="top"/>
    </xf>
    <xf numFmtId="0" fontId="20" fillId="0" borderId="42" xfId="0" applyFont="1" applyBorder="1" applyAlignment="1">
      <alignment horizontal="left"/>
    </xf>
    <xf numFmtId="0" fontId="20" fillId="0" borderId="43" xfId="0" applyFont="1" applyBorder="1" applyAlignment="1">
      <alignment horizontal="left"/>
    </xf>
    <xf numFmtId="0" fontId="20" fillId="0" borderId="44" xfId="0" applyFont="1" applyBorder="1" applyAlignment="1">
      <alignment horizontal="left"/>
    </xf>
    <xf numFmtId="167" fontId="20" fillId="0" borderId="40" xfId="0" applyNumberFormat="1" applyFont="1" applyBorder="1" applyAlignment="1">
      <alignment horizontal="center" vertical="center"/>
    </xf>
    <xf numFmtId="167" fontId="20" fillId="0" borderId="41" xfId="0" applyNumberFormat="1" applyFont="1" applyBorder="1" applyAlignment="1">
      <alignment horizontal="center" vertical="center"/>
    </xf>
    <xf numFmtId="2" fontId="20" fillId="0" borderId="42" xfId="0" applyNumberFormat="1" applyFont="1" applyBorder="1" applyAlignment="1">
      <alignment horizontal="center" vertical="center"/>
    </xf>
    <xf numFmtId="2" fontId="20" fillId="0" borderId="44" xfId="0" applyNumberFormat="1" applyFont="1" applyBorder="1" applyAlignment="1">
      <alignment horizontal="center" vertical="center"/>
    </xf>
    <xf numFmtId="167" fontId="20" fillId="0" borderId="42" xfId="0" applyNumberFormat="1" applyFont="1" applyBorder="1" applyAlignment="1">
      <alignment horizontal="center" vertical="center"/>
    </xf>
    <xf numFmtId="0" fontId="20" fillId="0" borderId="33" xfId="0" applyFont="1" applyBorder="1" applyAlignment="1">
      <alignment horizontal="center"/>
    </xf>
    <xf numFmtId="1" fontId="20" fillId="0" borderId="33" xfId="0" applyNumberFormat="1" applyFont="1" applyBorder="1" applyAlignment="1">
      <alignment horizontal="center" vertical="center"/>
    </xf>
    <xf numFmtId="0" fontId="24" fillId="0" borderId="34" xfId="0" applyFont="1" applyBorder="1" applyAlignment="1">
      <alignment vertical="center"/>
    </xf>
    <xf numFmtId="0" fontId="24" fillId="0" borderId="35" xfId="0" applyFont="1" applyBorder="1" applyAlignment="1">
      <alignment vertical="center"/>
    </xf>
    <xf numFmtId="4" fontId="20" fillId="0" borderId="33" xfId="0" applyNumberFormat="1" applyFont="1" applyBorder="1" applyAlignment="1">
      <alignment horizontal="left" vertical="top" wrapText="1"/>
    </xf>
    <xf numFmtId="0" fontId="1" fillId="0" borderId="34" xfId="0" applyFont="1" applyBorder="1"/>
    <xf numFmtId="0" fontId="28" fillId="24" borderId="27" xfId="0" applyFont="1" applyFill="1" applyBorder="1" applyAlignment="1">
      <alignment horizontal="center" vertical="center"/>
    </xf>
    <xf numFmtId="0" fontId="28" fillId="24" borderId="36" xfId="0" applyFont="1" applyFill="1" applyBorder="1" applyAlignment="1">
      <alignment horizontal="center" vertical="center"/>
    </xf>
    <xf numFmtId="0" fontId="28" fillId="24" borderId="28" xfId="0" applyFont="1" applyFill="1" applyBorder="1" applyAlignment="1">
      <alignment horizontal="center" vertical="center"/>
    </xf>
    <xf numFmtId="0" fontId="28" fillId="24" borderId="30" xfId="0" applyFont="1" applyFill="1" applyBorder="1" applyAlignment="1">
      <alignment horizontal="center" vertical="center"/>
    </xf>
    <xf numFmtId="0" fontId="28" fillId="24" borderId="31" xfId="0" applyFont="1" applyFill="1" applyBorder="1" applyAlignment="1">
      <alignment horizontal="center" vertical="center"/>
    </xf>
    <xf numFmtId="0" fontId="28" fillId="24" borderId="32" xfId="0" applyFont="1" applyFill="1" applyBorder="1" applyAlignment="1">
      <alignment horizontal="center" vertical="center"/>
    </xf>
    <xf numFmtId="0" fontId="19" fillId="24" borderId="33" xfId="0" applyFont="1" applyFill="1" applyBorder="1" applyAlignment="1">
      <alignment horizontal="center"/>
    </xf>
    <xf numFmtId="171" fontId="20" fillId="0" borderId="33" xfId="0" applyNumberFormat="1" applyFont="1" applyBorder="1" applyAlignment="1">
      <alignment horizontal="center" wrapText="1"/>
    </xf>
    <xf numFmtId="4" fontId="19" fillId="24" borderId="33" xfId="0" applyNumberFormat="1" applyFont="1" applyFill="1" applyBorder="1" applyAlignment="1">
      <alignment horizontal="center" vertical="center" wrapText="1"/>
    </xf>
    <xf numFmtId="4" fontId="20" fillId="0" borderId="33" xfId="0" applyNumberFormat="1" applyFont="1" applyBorder="1" applyAlignment="1">
      <alignment horizontal="left" vertical="center" wrapText="1"/>
    </xf>
    <xf numFmtId="4" fontId="20" fillId="0" borderId="33" xfId="0" applyNumberFormat="1" applyFont="1" applyBorder="1" applyAlignment="1">
      <alignment vertical="center" wrapText="1"/>
    </xf>
    <xf numFmtId="4" fontId="19" fillId="24" borderId="30" xfId="0" applyNumberFormat="1" applyFont="1" applyFill="1" applyBorder="1" applyAlignment="1">
      <alignment horizontal="center" vertical="center" wrapText="1"/>
    </xf>
    <xf numFmtId="10" fontId="28" fillId="0" borderId="33" xfId="0" applyNumberFormat="1" applyFont="1" applyBorder="1" applyAlignment="1">
      <alignment horizontal="center"/>
    </xf>
    <xf numFmtId="4" fontId="19" fillId="24" borderId="36" xfId="0" applyNumberFormat="1" applyFont="1" applyFill="1" applyBorder="1" applyAlignment="1">
      <alignment horizontal="center" vertical="center" wrapText="1"/>
    </xf>
    <xf numFmtId="0" fontId="1" fillId="25" borderId="0" xfId="0" applyFont="1" applyFill="1"/>
    <xf numFmtId="4" fontId="20" fillId="0" borderId="27" xfId="0" applyNumberFormat="1" applyFont="1" applyBorder="1" applyAlignment="1">
      <alignment horizontal="left" vertical="top" wrapText="1"/>
    </xf>
    <xf numFmtId="0" fontId="1" fillId="0" borderId="36" xfId="0" applyFont="1" applyBorder="1"/>
    <xf numFmtId="4" fontId="20" fillId="0" borderId="8" xfId="0" applyNumberFormat="1" applyFont="1" applyBorder="1" applyAlignment="1">
      <alignment horizontal="left" vertical="top" wrapText="1"/>
    </xf>
    <xf numFmtId="0" fontId="2" fillId="0" borderId="0" xfId="1" applyFont="1" applyAlignment="1">
      <alignment horizontal="center" vertical="center" wrapText="1"/>
    </xf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</cellXfs>
  <cellStyles count="47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Calculation" xfId="28"/>
    <cellStyle name="Check Cel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Moneda" xfId="44" builtinId="4"/>
    <cellStyle name="Moneda 2" xfId="42"/>
    <cellStyle name="Normal" xfId="0" builtinId="0"/>
    <cellStyle name="Normal 10" xfId="45"/>
    <cellStyle name="Normal 2" xfId="1"/>
    <cellStyle name="Normal 3" xfId="43"/>
    <cellStyle name="Note" xfId="38"/>
    <cellStyle name="Output" xfId="39"/>
    <cellStyle name="Porcentaje" xfId="46" builtinId="5"/>
    <cellStyle name="Porcentaje 2" xfId="2"/>
    <cellStyle name="Title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76200</xdr:rowOff>
    </xdr:from>
    <xdr:to>
      <xdr:col>1</xdr:col>
      <xdr:colOff>670892</xdr:colOff>
      <xdr:row>3</xdr:row>
      <xdr:rowOff>381000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647700"/>
          <a:ext cx="1013792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638175</xdr:colOff>
      <xdr:row>0</xdr:row>
      <xdr:rowOff>123825</xdr:rowOff>
    </xdr:from>
    <xdr:ext cx="943680" cy="952500"/>
    <xdr:pic>
      <xdr:nvPicPr>
        <xdr:cNvPr id="3" name="Imagen 4" descr="membrete alcaldia_Mesa de trabajo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630" t="42000" r="41399" b="8000"/>
        <a:stretch>
          <a:fillRect/>
        </a:stretch>
      </xdr:blipFill>
      <xdr:spPr bwMode="auto">
        <a:xfrm>
          <a:off x="3686175" y="504825"/>
          <a:ext cx="94368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247650</xdr:colOff>
      <xdr:row>1</xdr:row>
      <xdr:rowOff>38100</xdr:rowOff>
    </xdr:from>
    <xdr:to>
      <xdr:col>9</xdr:col>
      <xdr:colOff>457200</xdr:colOff>
      <xdr:row>3</xdr:row>
      <xdr:rowOff>470406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3650" y="609600"/>
          <a:ext cx="876300" cy="851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85725</xdr:rowOff>
    </xdr:from>
    <xdr:to>
      <xdr:col>0</xdr:col>
      <xdr:colOff>902277</xdr:colOff>
      <xdr:row>2</xdr:row>
      <xdr:rowOff>297295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57225"/>
          <a:ext cx="883227" cy="6306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238125</xdr:colOff>
      <xdr:row>0</xdr:row>
      <xdr:rowOff>66675</xdr:rowOff>
    </xdr:from>
    <xdr:to>
      <xdr:col>4</xdr:col>
      <xdr:colOff>1000125</xdr:colOff>
      <xdr:row>2</xdr:row>
      <xdr:rowOff>387928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638175"/>
          <a:ext cx="762000" cy="7403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2552700</xdr:colOff>
      <xdr:row>0</xdr:row>
      <xdr:rowOff>0</xdr:rowOff>
    </xdr:from>
    <xdr:ext cx="849312" cy="857250"/>
    <xdr:pic>
      <xdr:nvPicPr>
        <xdr:cNvPr id="4" name="Imagen 4" descr="membrete alcaldia_Mesa de trabajo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630" t="42000" r="41399" b="8000"/>
        <a:stretch>
          <a:fillRect/>
        </a:stretch>
      </xdr:blipFill>
      <xdr:spPr bwMode="auto">
        <a:xfrm>
          <a:off x="3629025" y="523875"/>
          <a:ext cx="849312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.shortcut-targets-by-id\13RPar8Ay337O_CJBMaeU8SqmAlBLlHHd\02%20Consultoria\04%20CCI\2023-212\13%20Recreo\5%20Financiero\2025.03.04%20Presupues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I2">
            <v>1.8765499999999999</v>
          </cell>
        </row>
      </sheetData>
      <sheetData sheetId="5" refreshError="1"/>
      <sheetData sheetId="6" refreshError="1"/>
      <sheetData sheetId="7" refreshError="1"/>
      <sheetData sheetId="8" refreshError="1">
        <row r="23">
          <cell r="A23" t="str">
            <v>CUADRILLA</v>
          </cell>
          <cell r="B23">
            <v>0</v>
          </cell>
          <cell r="C23">
            <v>0</v>
          </cell>
          <cell r="D23">
            <v>0</v>
          </cell>
          <cell r="E23" t="str">
            <v>DÍA</v>
          </cell>
          <cell r="F23">
            <v>0</v>
          </cell>
          <cell r="G23" t="str">
            <v>TOPÓGRAFO - MAESTRO  - OFICIAL</v>
          </cell>
          <cell r="H23">
            <v>0</v>
          </cell>
          <cell r="I23">
            <v>0</v>
          </cell>
          <cell r="J23" t="str">
            <v>CADENERO - AYUDANTE</v>
          </cell>
          <cell r="K23">
            <v>0</v>
          </cell>
          <cell r="L23">
            <v>0</v>
          </cell>
          <cell r="M23" t="str">
            <v>TROCHERO</v>
          </cell>
          <cell r="N23">
            <v>0</v>
          </cell>
          <cell r="O23">
            <v>0</v>
          </cell>
        </row>
        <row r="24">
          <cell r="A24" t="str">
            <v>Comisión de Topografía</v>
          </cell>
          <cell r="B24">
            <v>0</v>
          </cell>
          <cell r="C24">
            <v>0</v>
          </cell>
          <cell r="D24" t="str">
            <v>Cuadrilla</v>
          </cell>
          <cell r="E24">
            <v>213449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1</v>
          </cell>
          <cell r="K24">
            <v>118583</v>
          </cell>
          <cell r="L24">
            <v>0</v>
          </cell>
          <cell r="M24">
            <v>2</v>
          </cell>
          <cell r="N24">
            <v>47433</v>
          </cell>
          <cell r="O24">
            <v>0</v>
          </cell>
        </row>
        <row r="25">
          <cell r="A25" t="str">
            <v>Cuadrilla 1: 1 Ayudante A</v>
          </cell>
          <cell r="B25">
            <v>0</v>
          </cell>
          <cell r="C25">
            <v>0</v>
          </cell>
          <cell r="D25" t="str">
            <v>Cuadrilla</v>
          </cell>
          <cell r="E25">
            <v>71150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</v>
          </cell>
          <cell r="N25">
            <v>71150</v>
          </cell>
          <cell r="O25">
            <v>0</v>
          </cell>
        </row>
        <row r="26">
          <cell r="A26" t="str">
            <v xml:space="preserve">Cuadrilla 2: 2 Ayudantes A </v>
          </cell>
          <cell r="B26">
            <v>0</v>
          </cell>
          <cell r="C26">
            <v>0</v>
          </cell>
          <cell r="D26" t="str">
            <v>Cuadrilla</v>
          </cell>
          <cell r="E26">
            <v>142300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</v>
          </cell>
          <cell r="N26">
            <v>71150</v>
          </cell>
          <cell r="O26">
            <v>0</v>
          </cell>
        </row>
        <row r="27">
          <cell r="A27" t="str">
            <v>Cuadrilla 3: 3 Ayudantes A</v>
          </cell>
          <cell r="B27">
            <v>0</v>
          </cell>
          <cell r="C27">
            <v>0</v>
          </cell>
          <cell r="D27" t="str">
            <v>Cuadrilla</v>
          </cell>
          <cell r="E27">
            <v>213450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3</v>
          </cell>
          <cell r="N27">
            <v>71150</v>
          </cell>
          <cell r="O27">
            <v>0</v>
          </cell>
        </row>
        <row r="28">
          <cell r="A28" t="str">
            <v>Cuadrilla 4: 1 Ayudante B</v>
          </cell>
          <cell r="B28">
            <v>0</v>
          </cell>
          <cell r="C28">
            <v>0</v>
          </cell>
          <cell r="D28" t="str">
            <v>Cuadrilla</v>
          </cell>
          <cell r="E28">
            <v>71150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1</v>
          </cell>
          <cell r="N28">
            <v>71150</v>
          </cell>
          <cell r="O28">
            <v>0</v>
          </cell>
        </row>
        <row r="29">
          <cell r="A29" t="str">
            <v>Cuadrilla 5: 1 OfcA + 1 AyuA</v>
          </cell>
          <cell r="B29">
            <v>0</v>
          </cell>
          <cell r="C29">
            <v>0</v>
          </cell>
          <cell r="D29" t="str">
            <v>Cuadrilla</v>
          </cell>
          <cell r="E29">
            <v>166017</v>
          </cell>
          <cell r="F29">
            <v>0</v>
          </cell>
          <cell r="G29">
            <v>1</v>
          </cell>
          <cell r="H29">
            <v>0</v>
          </cell>
          <cell r="I29">
            <v>0</v>
          </cell>
          <cell r="J29">
            <v>1</v>
          </cell>
          <cell r="K29">
            <v>94867</v>
          </cell>
          <cell r="L29">
            <v>0</v>
          </cell>
          <cell r="M29">
            <v>1</v>
          </cell>
          <cell r="N29">
            <v>71150</v>
          </cell>
          <cell r="O29">
            <v>0</v>
          </cell>
        </row>
        <row r="30">
          <cell r="A30" t="str">
            <v>Cuadrilla 6: 1 OfcA + 2 AyuA</v>
          </cell>
          <cell r="B30">
            <v>0</v>
          </cell>
          <cell r="C30">
            <v>0</v>
          </cell>
          <cell r="D30" t="str">
            <v>Cuadrilla</v>
          </cell>
          <cell r="E30">
            <v>237167</v>
          </cell>
          <cell r="F30">
            <v>0</v>
          </cell>
          <cell r="G30">
            <v>1</v>
          </cell>
          <cell r="H30">
            <v>0</v>
          </cell>
          <cell r="I30">
            <v>0</v>
          </cell>
          <cell r="J30">
            <v>1</v>
          </cell>
          <cell r="K30">
            <v>94867</v>
          </cell>
          <cell r="L30">
            <v>0</v>
          </cell>
          <cell r="M30">
            <v>2</v>
          </cell>
          <cell r="N30">
            <v>71150</v>
          </cell>
          <cell r="O30">
            <v>0</v>
          </cell>
        </row>
        <row r="31">
          <cell r="A31" t="str">
            <v>Cuadrilla 7: 1 OfcA + 3 AyuA</v>
          </cell>
          <cell r="B31">
            <v>0</v>
          </cell>
          <cell r="C31">
            <v>0</v>
          </cell>
          <cell r="D31" t="str">
            <v>Cuadrilla</v>
          </cell>
          <cell r="E31">
            <v>308317</v>
          </cell>
          <cell r="F31">
            <v>0</v>
          </cell>
          <cell r="G31">
            <v>1</v>
          </cell>
          <cell r="H31">
            <v>0</v>
          </cell>
          <cell r="I31">
            <v>0</v>
          </cell>
          <cell r="J31">
            <v>1</v>
          </cell>
          <cell r="K31">
            <v>94867</v>
          </cell>
          <cell r="L31">
            <v>0</v>
          </cell>
          <cell r="M31">
            <v>3</v>
          </cell>
          <cell r="N31">
            <v>71150</v>
          </cell>
          <cell r="O31">
            <v>0</v>
          </cell>
        </row>
        <row r="32">
          <cell r="A32" t="str">
            <v>Cuadrilla 8: 1 OfcA + 4 AyuA</v>
          </cell>
          <cell r="B32">
            <v>0</v>
          </cell>
          <cell r="C32">
            <v>0</v>
          </cell>
          <cell r="D32" t="str">
            <v>Cuadrilla</v>
          </cell>
          <cell r="E32">
            <v>379467</v>
          </cell>
          <cell r="F32">
            <v>0</v>
          </cell>
          <cell r="G32">
            <v>1</v>
          </cell>
          <cell r="H32">
            <v>0</v>
          </cell>
          <cell r="I32">
            <v>0</v>
          </cell>
          <cell r="J32">
            <v>1</v>
          </cell>
          <cell r="K32">
            <v>94867</v>
          </cell>
          <cell r="L32">
            <v>0</v>
          </cell>
          <cell r="M32">
            <v>4</v>
          </cell>
          <cell r="N32">
            <v>71150</v>
          </cell>
          <cell r="O32">
            <v>0</v>
          </cell>
        </row>
        <row r="33">
          <cell r="A33" t="str">
            <v>Cuadrilla 9: 1 OfcA + 5 AyuA</v>
          </cell>
          <cell r="B33">
            <v>0</v>
          </cell>
          <cell r="C33">
            <v>0</v>
          </cell>
          <cell r="D33" t="str">
            <v>Cuadrilla</v>
          </cell>
          <cell r="E33">
            <v>450617</v>
          </cell>
          <cell r="F33">
            <v>0</v>
          </cell>
          <cell r="G33">
            <v>1</v>
          </cell>
          <cell r="H33">
            <v>0</v>
          </cell>
          <cell r="I33">
            <v>0</v>
          </cell>
          <cell r="J33">
            <v>1</v>
          </cell>
          <cell r="K33">
            <v>94867</v>
          </cell>
          <cell r="L33">
            <v>0</v>
          </cell>
          <cell r="M33">
            <v>5</v>
          </cell>
          <cell r="N33">
            <v>71150</v>
          </cell>
          <cell r="O33">
            <v>0</v>
          </cell>
        </row>
        <row r="34">
          <cell r="A34" t="str">
            <v>Cuadrilla 10: 1 OfcA + 6 AyuA</v>
          </cell>
          <cell r="B34">
            <v>0</v>
          </cell>
          <cell r="C34">
            <v>0</v>
          </cell>
          <cell r="D34" t="str">
            <v>Cuadrilla</v>
          </cell>
          <cell r="E34">
            <v>521767</v>
          </cell>
          <cell r="F34">
            <v>0</v>
          </cell>
          <cell r="G34">
            <v>1</v>
          </cell>
          <cell r="H34">
            <v>0</v>
          </cell>
          <cell r="I34">
            <v>0</v>
          </cell>
          <cell r="J34">
            <v>1</v>
          </cell>
          <cell r="K34">
            <v>94867</v>
          </cell>
          <cell r="L34">
            <v>0</v>
          </cell>
          <cell r="M34">
            <v>6</v>
          </cell>
          <cell r="N34">
            <v>71150</v>
          </cell>
          <cell r="O34">
            <v>0</v>
          </cell>
        </row>
        <row r="35">
          <cell r="A35" t="str">
            <v>Cuadrilla 11: 1Ma+1OfcA+1AyuA</v>
          </cell>
          <cell r="B35">
            <v>0</v>
          </cell>
          <cell r="C35">
            <v>0</v>
          </cell>
          <cell r="D35" t="str">
            <v>Cuadrilla</v>
          </cell>
          <cell r="E35">
            <v>308317</v>
          </cell>
          <cell r="F35">
            <v>0</v>
          </cell>
          <cell r="G35">
            <v>1</v>
          </cell>
          <cell r="H35">
            <v>142300</v>
          </cell>
          <cell r="I35">
            <v>0</v>
          </cell>
          <cell r="J35">
            <v>1</v>
          </cell>
          <cell r="K35">
            <v>94867</v>
          </cell>
          <cell r="L35">
            <v>0</v>
          </cell>
          <cell r="M35">
            <v>1</v>
          </cell>
          <cell r="N35">
            <v>71150</v>
          </cell>
          <cell r="O35">
            <v>0</v>
          </cell>
        </row>
        <row r="36">
          <cell r="A36" t="str">
            <v>Cuadrilla 12: 1Ma+1OfcA+2AyuA</v>
          </cell>
          <cell r="B36">
            <v>0</v>
          </cell>
          <cell r="C36">
            <v>0</v>
          </cell>
          <cell r="D36" t="str">
            <v>Cuadrilla</v>
          </cell>
          <cell r="E36">
            <v>379467</v>
          </cell>
          <cell r="F36">
            <v>0</v>
          </cell>
          <cell r="G36">
            <v>1</v>
          </cell>
          <cell r="H36">
            <v>142300</v>
          </cell>
          <cell r="I36">
            <v>0</v>
          </cell>
          <cell r="J36">
            <v>1</v>
          </cell>
          <cell r="K36">
            <v>94867</v>
          </cell>
          <cell r="L36">
            <v>0</v>
          </cell>
          <cell r="M36">
            <v>2</v>
          </cell>
          <cell r="N36">
            <v>71150</v>
          </cell>
          <cell r="O36">
            <v>0</v>
          </cell>
        </row>
        <row r="37">
          <cell r="A37" t="str">
            <v>Cuadrilla 13: 1Ma+1OfcA+3AyuA</v>
          </cell>
          <cell r="B37">
            <v>0</v>
          </cell>
          <cell r="C37">
            <v>0</v>
          </cell>
          <cell r="D37" t="str">
            <v>Cuadrilla</v>
          </cell>
          <cell r="E37">
            <v>450617</v>
          </cell>
          <cell r="F37">
            <v>0</v>
          </cell>
          <cell r="G37">
            <v>1</v>
          </cell>
          <cell r="H37">
            <v>142300</v>
          </cell>
          <cell r="I37">
            <v>0</v>
          </cell>
          <cell r="J37">
            <v>1</v>
          </cell>
          <cell r="K37">
            <v>94867</v>
          </cell>
          <cell r="L37">
            <v>0</v>
          </cell>
          <cell r="M37">
            <v>3</v>
          </cell>
          <cell r="N37">
            <v>71150</v>
          </cell>
          <cell r="O37">
            <v>0</v>
          </cell>
        </row>
        <row r="38">
          <cell r="A38" t="str">
            <v>Cuadrilla 14: 1Ma+1OfcA+4AyuA</v>
          </cell>
          <cell r="B38">
            <v>0</v>
          </cell>
          <cell r="C38">
            <v>0</v>
          </cell>
          <cell r="D38" t="str">
            <v>Cuadrilla</v>
          </cell>
          <cell r="E38">
            <v>521767</v>
          </cell>
          <cell r="F38">
            <v>0</v>
          </cell>
          <cell r="G38">
            <v>1</v>
          </cell>
          <cell r="H38">
            <v>142300</v>
          </cell>
          <cell r="I38">
            <v>0</v>
          </cell>
          <cell r="J38">
            <v>1</v>
          </cell>
          <cell r="K38">
            <v>94867</v>
          </cell>
          <cell r="L38">
            <v>0</v>
          </cell>
          <cell r="M38">
            <v>4</v>
          </cell>
          <cell r="N38">
            <v>71150</v>
          </cell>
          <cell r="O38">
            <v>0</v>
          </cell>
        </row>
        <row r="39">
          <cell r="A39" t="str">
            <v>Cuadrilla 15: 1Ma+1OfcA+5AyuA</v>
          </cell>
          <cell r="B39">
            <v>0</v>
          </cell>
          <cell r="C39">
            <v>0</v>
          </cell>
          <cell r="D39" t="str">
            <v>Cuadrilla</v>
          </cell>
          <cell r="E39">
            <v>592917</v>
          </cell>
          <cell r="F39">
            <v>0</v>
          </cell>
          <cell r="G39">
            <v>1</v>
          </cell>
          <cell r="H39">
            <v>142300</v>
          </cell>
          <cell r="I39">
            <v>0</v>
          </cell>
          <cell r="J39">
            <v>1</v>
          </cell>
          <cell r="K39">
            <v>94867</v>
          </cell>
          <cell r="L39">
            <v>0</v>
          </cell>
          <cell r="M39">
            <v>5</v>
          </cell>
          <cell r="N39">
            <v>71150</v>
          </cell>
          <cell r="O39">
            <v>0</v>
          </cell>
        </row>
        <row r="40">
          <cell r="A40" t="str">
            <v>Cuadrilla 16: 1Ma+1OfcA+6AyuA</v>
          </cell>
          <cell r="B40">
            <v>0</v>
          </cell>
          <cell r="C40">
            <v>0</v>
          </cell>
          <cell r="D40" t="str">
            <v>Cuadrilla</v>
          </cell>
          <cell r="E40">
            <v>664067</v>
          </cell>
          <cell r="F40">
            <v>0</v>
          </cell>
          <cell r="G40">
            <v>1</v>
          </cell>
          <cell r="H40">
            <v>142300</v>
          </cell>
          <cell r="I40">
            <v>0</v>
          </cell>
          <cell r="J40">
            <v>1</v>
          </cell>
          <cell r="K40">
            <v>94867</v>
          </cell>
          <cell r="L40">
            <v>0</v>
          </cell>
          <cell r="M40">
            <v>6</v>
          </cell>
          <cell r="N40">
            <v>71150</v>
          </cell>
          <cell r="O40">
            <v>0</v>
          </cell>
        </row>
        <row r="41">
          <cell r="A41" t="str">
            <v>Cuadrilla 17: 1 OfcB + 1 AyuB</v>
          </cell>
          <cell r="B41">
            <v>0</v>
          </cell>
          <cell r="C41">
            <v>0</v>
          </cell>
          <cell r="D41" t="str">
            <v>Cuadrilla</v>
          </cell>
          <cell r="E41">
            <v>189733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</v>
          </cell>
          <cell r="K41">
            <v>118583</v>
          </cell>
          <cell r="L41">
            <v>0</v>
          </cell>
          <cell r="M41">
            <v>1</v>
          </cell>
          <cell r="N41">
            <v>71150</v>
          </cell>
          <cell r="O41">
            <v>0</v>
          </cell>
        </row>
        <row r="42">
          <cell r="A42" t="str">
            <v>Cuadrilla 18: 1 OfcB + 2 AyuB</v>
          </cell>
          <cell r="B42">
            <v>0</v>
          </cell>
          <cell r="C42">
            <v>0</v>
          </cell>
          <cell r="D42" t="str">
            <v>Cuadrilla</v>
          </cell>
          <cell r="E42">
            <v>260883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1</v>
          </cell>
          <cell r="K42">
            <v>118583</v>
          </cell>
          <cell r="L42">
            <v>0</v>
          </cell>
          <cell r="M42">
            <v>2</v>
          </cell>
          <cell r="N42">
            <v>71150</v>
          </cell>
          <cell r="O42">
            <v>0</v>
          </cell>
        </row>
        <row r="43">
          <cell r="A43" t="str">
            <v>Cuadrilla 19: 1 OfcB + 3 AyuB</v>
          </cell>
          <cell r="B43">
            <v>0</v>
          </cell>
          <cell r="C43">
            <v>0</v>
          </cell>
          <cell r="D43" t="str">
            <v>Cuadrilla</v>
          </cell>
          <cell r="E43">
            <v>332033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1</v>
          </cell>
          <cell r="K43">
            <v>118583</v>
          </cell>
          <cell r="L43">
            <v>0</v>
          </cell>
          <cell r="M43">
            <v>3</v>
          </cell>
          <cell r="N43">
            <v>71150</v>
          </cell>
          <cell r="O43">
            <v>0</v>
          </cell>
        </row>
        <row r="44">
          <cell r="A44" t="str">
            <v>Cuadrilla 20: 1 OfcB + 4 AyuB</v>
          </cell>
          <cell r="B44">
            <v>0</v>
          </cell>
          <cell r="C44">
            <v>0</v>
          </cell>
          <cell r="D44" t="str">
            <v>Cuadrilla</v>
          </cell>
          <cell r="E44">
            <v>403183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</v>
          </cell>
          <cell r="K44">
            <v>118583</v>
          </cell>
          <cell r="L44">
            <v>0</v>
          </cell>
          <cell r="M44">
            <v>4</v>
          </cell>
          <cell r="N44">
            <v>71150</v>
          </cell>
          <cell r="O44">
            <v>0</v>
          </cell>
        </row>
        <row r="45">
          <cell r="A45" t="str">
            <v>Cuadrilla 21: 1 OfcB + 5 AyuB</v>
          </cell>
          <cell r="B45">
            <v>0</v>
          </cell>
          <cell r="C45">
            <v>0</v>
          </cell>
          <cell r="D45" t="str">
            <v>Cuadrilla</v>
          </cell>
          <cell r="E45">
            <v>474333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1</v>
          </cell>
          <cell r="K45">
            <v>118583</v>
          </cell>
          <cell r="L45">
            <v>0</v>
          </cell>
          <cell r="M45">
            <v>5</v>
          </cell>
          <cell r="N45">
            <v>71150</v>
          </cell>
          <cell r="O45">
            <v>0</v>
          </cell>
        </row>
        <row r="46">
          <cell r="A46" t="str">
            <v>Cuadrilla 22: 1 OfcC - 1 AyuC</v>
          </cell>
          <cell r="B46">
            <v>0</v>
          </cell>
          <cell r="C46">
            <v>0</v>
          </cell>
          <cell r="D46" t="str">
            <v>Cuadrilla</v>
          </cell>
          <cell r="E46">
            <v>189733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</v>
          </cell>
          <cell r="K46">
            <v>118583</v>
          </cell>
          <cell r="L46">
            <v>0</v>
          </cell>
          <cell r="M46">
            <v>1</v>
          </cell>
          <cell r="N46">
            <v>71150</v>
          </cell>
          <cell r="O46">
            <v>0</v>
          </cell>
        </row>
        <row r="47">
          <cell r="A47" t="str">
            <v>Cuadrilla 23: 1 OfcC - 2 AyuC</v>
          </cell>
          <cell r="B47">
            <v>0</v>
          </cell>
          <cell r="C47">
            <v>0</v>
          </cell>
          <cell r="D47" t="str">
            <v>Cuadrilla</v>
          </cell>
          <cell r="E47">
            <v>260883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1</v>
          </cell>
          <cell r="K47">
            <v>118583</v>
          </cell>
          <cell r="L47">
            <v>0</v>
          </cell>
          <cell r="M47">
            <v>2</v>
          </cell>
          <cell r="N47">
            <v>71150</v>
          </cell>
          <cell r="O47">
            <v>0</v>
          </cell>
        </row>
        <row r="48">
          <cell r="A48" t="str">
            <v>Cuadrilla 24: 1 OfcC - 3 AyuC</v>
          </cell>
          <cell r="B48">
            <v>0</v>
          </cell>
          <cell r="C48">
            <v>0</v>
          </cell>
          <cell r="D48" t="str">
            <v>Cuadrilla</v>
          </cell>
          <cell r="E48">
            <v>332033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</v>
          </cell>
          <cell r="K48">
            <v>118583</v>
          </cell>
          <cell r="L48">
            <v>0</v>
          </cell>
          <cell r="M48">
            <v>3</v>
          </cell>
          <cell r="N48">
            <v>71150</v>
          </cell>
          <cell r="O48">
            <v>0</v>
          </cell>
        </row>
        <row r="49">
          <cell r="A49" t="str">
            <v>Cuadrilla 25: 1 OfcC - 4 AyuC</v>
          </cell>
          <cell r="B49">
            <v>0</v>
          </cell>
          <cell r="C49">
            <v>0</v>
          </cell>
          <cell r="D49" t="str">
            <v>Cuadrilla</v>
          </cell>
          <cell r="E49">
            <v>403183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1</v>
          </cell>
          <cell r="K49">
            <v>118583</v>
          </cell>
          <cell r="L49">
            <v>0</v>
          </cell>
          <cell r="M49">
            <v>4</v>
          </cell>
          <cell r="N49">
            <v>71150</v>
          </cell>
          <cell r="O49">
            <v>0</v>
          </cell>
        </row>
        <row r="50">
          <cell r="A50" t="str">
            <v>Cuadrilla 26:  1 OfcD - 1 AyuD</v>
          </cell>
          <cell r="B50">
            <v>0</v>
          </cell>
          <cell r="C50">
            <v>0</v>
          </cell>
          <cell r="D50" t="str">
            <v>Cuadrilla</v>
          </cell>
          <cell r="E50">
            <v>189733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1</v>
          </cell>
          <cell r="K50">
            <v>118583</v>
          </cell>
          <cell r="L50">
            <v>0</v>
          </cell>
          <cell r="M50">
            <v>1</v>
          </cell>
          <cell r="N50">
            <v>71150</v>
          </cell>
          <cell r="O50">
            <v>0</v>
          </cell>
        </row>
        <row r="51">
          <cell r="A51" t="str">
            <v>Cuadrilla 27: 1 OfcD - 2 AyuD</v>
          </cell>
          <cell r="B51">
            <v>0</v>
          </cell>
          <cell r="C51">
            <v>0</v>
          </cell>
          <cell r="D51" t="str">
            <v>Cuadrilla</v>
          </cell>
          <cell r="E51">
            <v>260883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1</v>
          </cell>
          <cell r="K51">
            <v>118583</v>
          </cell>
          <cell r="L51">
            <v>0</v>
          </cell>
          <cell r="M51">
            <v>2</v>
          </cell>
          <cell r="N51">
            <v>71150</v>
          </cell>
          <cell r="O51">
            <v>0</v>
          </cell>
        </row>
        <row r="52">
          <cell r="A52" t="str">
            <v>Cuadrilla 28: 1 OfcD - 3 AyuD</v>
          </cell>
          <cell r="B52">
            <v>0</v>
          </cell>
          <cell r="C52">
            <v>0</v>
          </cell>
          <cell r="D52" t="str">
            <v>Cuadrilla</v>
          </cell>
          <cell r="E52">
            <v>332033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1</v>
          </cell>
          <cell r="K52">
            <v>118583</v>
          </cell>
          <cell r="L52">
            <v>0</v>
          </cell>
          <cell r="M52">
            <v>3</v>
          </cell>
          <cell r="N52">
            <v>71150</v>
          </cell>
          <cell r="O52">
            <v>0</v>
          </cell>
        </row>
        <row r="53">
          <cell r="A53" t="str">
            <v>Cuadrilla 29: 1 OfcD - 4 AyuD</v>
          </cell>
          <cell r="B53">
            <v>0</v>
          </cell>
          <cell r="C53">
            <v>0</v>
          </cell>
          <cell r="D53" t="str">
            <v>Cuadrilla</v>
          </cell>
          <cell r="E53">
            <v>403183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1</v>
          </cell>
          <cell r="K53">
            <v>118583</v>
          </cell>
          <cell r="L53">
            <v>0</v>
          </cell>
          <cell r="M53">
            <v>4</v>
          </cell>
          <cell r="N53">
            <v>71150</v>
          </cell>
          <cell r="O53">
            <v>0</v>
          </cell>
        </row>
        <row r="54">
          <cell r="A54" t="str">
            <v>Cuadrilla 30: 1 OfcA</v>
          </cell>
          <cell r="B54">
            <v>0</v>
          </cell>
          <cell r="C54">
            <v>0</v>
          </cell>
          <cell r="D54" t="str">
            <v>Cuadrilla</v>
          </cell>
          <cell r="E54">
            <v>94867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1</v>
          </cell>
          <cell r="K54">
            <v>94867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Cuadrilla 31: 1 OfcB</v>
          </cell>
          <cell r="B55">
            <v>0</v>
          </cell>
          <cell r="C55">
            <v>0</v>
          </cell>
          <cell r="D55" t="str">
            <v>Cuadrilla</v>
          </cell>
          <cell r="E55">
            <v>118583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</v>
          </cell>
          <cell r="K55">
            <v>118583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Cuadrilla 29: 1 OfcC</v>
          </cell>
          <cell r="B56">
            <v>0</v>
          </cell>
          <cell r="C56">
            <v>0</v>
          </cell>
          <cell r="D56" t="str">
            <v>Cuadrilla</v>
          </cell>
          <cell r="E56">
            <v>118583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</v>
          </cell>
          <cell r="K56">
            <v>118583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 t="str">
            <v>Cuadrilla 29: 1 OfcD</v>
          </cell>
          <cell r="B57">
            <v>0</v>
          </cell>
          <cell r="C57">
            <v>0</v>
          </cell>
          <cell r="D57" t="str">
            <v>Cuadrilla</v>
          </cell>
          <cell r="E57">
            <v>118583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1</v>
          </cell>
          <cell r="K57">
            <v>118583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Maestro</v>
          </cell>
          <cell r="B58">
            <v>0</v>
          </cell>
          <cell r="C58">
            <v>0</v>
          </cell>
          <cell r="D58" t="str">
            <v>Cuadrilla</v>
          </cell>
          <cell r="E58">
            <v>118583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Ayudante</v>
          </cell>
          <cell r="B59">
            <v>0</v>
          </cell>
          <cell r="C59">
            <v>0</v>
          </cell>
          <cell r="D59" t="str">
            <v>Cuadrilla</v>
          </cell>
          <cell r="E59">
            <v>71150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>Oficial</v>
          </cell>
          <cell r="B60">
            <v>0</v>
          </cell>
          <cell r="C60">
            <v>0</v>
          </cell>
          <cell r="D60" t="str">
            <v>Cuadrilla</v>
          </cell>
          <cell r="E60">
            <v>94867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Cuadrilla 4: Instalaciones hidráulica y sanitaria</v>
          </cell>
          <cell r="B61">
            <v>0</v>
          </cell>
          <cell r="C61">
            <v>0</v>
          </cell>
          <cell r="D61" t="str">
            <v>Cuadrilla</v>
          </cell>
          <cell r="E61">
            <v>145750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>Cuadrilla 5: Mezclas</v>
          </cell>
          <cell r="B62">
            <v>0</v>
          </cell>
          <cell r="C62">
            <v>0</v>
          </cell>
          <cell r="D62" t="str">
            <v>Cuadrilla</v>
          </cell>
          <cell r="E62">
            <v>178875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>Cuadrilla 6: Pavimentos</v>
          </cell>
          <cell r="B63">
            <v>0</v>
          </cell>
          <cell r="C63">
            <v>0</v>
          </cell>
          <cell r="D63" t="str">
            <v>Cuadrilla</v>
          </cell>
          <cell r="E63">
            <v>245125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>Comisión de topografía</v>
          </cell>
          <cell r="B64">
            <v>0</v>
          </cell>
          <cell r="C64">
            <v>0</v>
          </cell>
          <cell r="D64" t="str">
            <v>Cuadrilla</v>
          </cell>
          <cell r="E64">
            <v>165625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>Conductor</v>
          </cell>
          <cell r="B65">
            <v>0</v>
          </cell>
          <cell r="C65">
            <v>0</v>
          </cell>
          <cell r="D65" t="str">
            <v>Cuadrilla</v>
          </cell>
          <cell r="E65">
            <v>94866.666666666672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Cuadrilla Soldadura</v>
          </cell>
          <cell r="B66">
            <v>0</v>
          </cell>
          <cell r="C66">
            <v>0</v>
          </cell>
          <cell r="D66" t="str">
            <v>Cuadrilla</v>
          </cell>
          <cell r="E66">
            <v>207031.25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>Cuadrilla eléctrica</v>
          </cell>
          <cell r="B67">
            <v>0</v>
          </cell>
          <cell r="C67">
            <v>0</v>
          </cell>
          <cell r="D67" t="str">
            <v>Cuadrilla</v>
          </cell>
          <cell r="E67">
            <v>132500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>Arriero</v>
          </cell>
          <cell r="B68">
            <v>0</v>
          </cell>
          <cell r="C68">
            <v>0</v>
          </cell>
          <cell r="D68" t="str">
            <v>Cuadrilla</v>
          </cell>
          <cell r="E68">
            <v>47433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1</v>
          </cell>
          <cell r="N68">
            <v>47433</v>
          </cell>
          <cell r="O68">
            <v>0</v>
          </cell>
        </row>
        <row r="69">
          <cell r="A69" t="str">
            <v>Oficial + Ayudante</v>
          </cell>
          <cell r="B69">
            <v>0</v>
          </cell>
          <cell r="C69">
            <v>0</v>
          </cell>
          <cell r="D69" t="str">
            <v>Cuadrilla</v>
          </cell>
          <cell r="E69">
            <v>166017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</sheetData>
      <sheetData sheetId="9" refreshError="1">
        <row r="1"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 t="str">
            <v>LISTA DE MATERIALES</v>
          </cell>
          <cell r="P1">
            <v>0</v>
          </cell>
          <cell r="Q1" t="str">
            <v>FECHA</v>
          </cell>
          <cell r="R1">
            <v>0</v>
          </cell>
        </row>
        <row r="2"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45720</v>
          </cell>
          <cell r="R2">
            <v>0</v>
          </cell>
        </row>
        <row r="3"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</row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  <cell r="L4">
            <v>10</v>
          </cell>
          <cell r="M4">
            <v>11</v>
          </cell>
          <cell r="N4">
            <v>12</v>
          </cell>
          <cell r="O4">
            <v>13</v>
          </cell>
          <cell r="P4">
            <v>14</v>
          </cell>
          <cell r="Q4">
            <v>15</v>
          </cell>
          <cell r="R4">
            <v>16</v>
          </cell>
        </row>
        <row r="5">
          <cell r="C5" t="str">
            <v>MATERIAL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 t="str">
            <v>UNIDAD</v>
          </cell>
          <cell r="J5" t="str">
            <v>COSTO TOTAL</v>
          </cell>
          <cell r="K5">
            <v>0</v>
          </cell>
          <cell r="L5" t="str">
            <v>I.V.A.</v>
          </cell>
          <cell r="M5">
            <v>0</v>
          </cell>
          <cell r="N5" t="str">
            <v>COSTO DIRECTO</v>
          </cell>
          <cell r="O5">
            <v>0</v>
          </cell>
          <cell r="P5" t="str">
            <v>COTIZACIÓN 1</v>
          </cell>
          <cell r="Q5">
            <v>0</v>
          </cell>
          <cell r="R5" t="str">
            <v>PESO</v>
          </cell>
        </row>
        <row r="6">
          <cell r="C6" t="str">
            <v>Equipo de topografía; (Incluye: estación total, 2 prismas y dos radios, con certificación de calibración máximo de 6 meses)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 t="str">
            <v>Día</v>
          </cell>
          <cell r="J6">
            <v>237645</v>
          </cell>
          <cell r="K6">
            <v>0</v>
          </cell>
          <cell r="L6">
            <v>37943.319327731093</v>
          </cell>
          <cell r="M6">
            <v>0</v>
          </cell>
          <cell r="N6">
            <v>199701.68067226891</v>
          </cell>
          <cell r="O6">
            <v>0</v>
          </cell>
          <cell r="P6">
            <v>237645</v>
          </cell>
          <cell r="Q6">
            <v>0</v>
          </cell>
          <cell r="R6">
            <v>0</v>
          </cell>
        </row>
        <row r="7">
          <cell r="C7" t="str">
            <v>Estaca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 t="str">
            <v>Unidad</v>
          </cell>
          <cell r="J7">
            <v>3741.67</v>
          </cell>
          <cell r="K7">
            <v>0</v>
          </cell>
          <cell r="L7">
            <v>597.40949579831931</v>
          </cell>
          <cell r="M7">
            <v>0</v>
          </cell>
          <cell r="N7">
            <v>3144.2605042016808</v>
          </cell>
          <cell r="O7">
            <v>0</v>
          </cell>
          <cell r="P7">
            <v>3741.67</v>
          </cell>
          <cell r="Q7">
            <v>0</v>
          </cell>
          <cell r="R7">
            <v>0.43</v>
          </cell>
        </row>
        <row r="8">
          <cell r="C8" t="str">
            <v>Pintura en aceite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 t="str">
            <v>Galón</v>
          </cell>
          <cell r="J8">
            <v>75900</v>
          </cell>
          <cell r="K8">
            <v>0</v>
          </cell>
          <cell r="L8">
            <v>12118.487394957985</v>
          </cell>
          <cell r="M8">
            <v>0</v>
          </cell>
          <cell r="N8">
            <v>63781.512605042022</v>
          </cell>
          <cell r="O8">
            <v>0</v>
          </cell>
          <cell r="P8">
            <v>75900</v>
          </cell>
          <cell r="Q8">
            <v>0</v>
          </cell>
          <cell r="R8">
            <v>3.8</v>
          </cell>
        </row>
        <row r="9">
          <cell r="C9" t="str">
            <v>Clavo de alta velocidad 1/4"X2"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 t="str">
            <v>Libra</v>
          </cell>
          <cell r="J9">
            <v>4487</v>
          </cell>
          <cell r="K9">
            <v>0</v>
          </cell>
          <cell r="L9">
            <v>716.41176470588243</v>
          </cell>
          <cell r="M9">
            <v>0</v>
          </cell>
          <cell r="N9">
            <v>3770.588235294118</v>
          </cell>
          <cell r="O9">
            <v>0</v>
          </cell>
          <cell r="P9">
            <v>4487</v>
          </cell>
          <cell r="Q9">
            <v>0</v>
          </cell>
          <cell r="R9">
            <v>0.5</v>
          </cell>
        </row>
        <row r="10">
          <cell r="C10" t="str">
            <v>Cinta señalización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 t="str">
            <v>ml</v>
          </cell>
          <cell r="J10">
            <v>238</v>
          </cell>
          <cell r="K10">
            <v>0</v>
          </cell>
          <cell r="L10">
            <v>38</v>
          </cell>
          <cell r="M10">
            <v>0</v>
          </cell>
          <cell r="N10">
            <v>200</v>
          </cell>
          <cell r="O10">
            <v>0</v>
          </cell>
          <cell r="P10">
            <v>238</v>
          </cell>
          <cell r="Q10">
            <v>0</v>
          </cell>
          <cell r="R10">
            <v>0</v>
          </cell>
        </row>
        <row r="11">
          <cell r="C11" t="str">
            <v>Cuerda de Naylon 0.5 mm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 t="str">
            <v>ml</v>
          </cell>
          <cell r="J11">
            <v>189</v>
          </cell>
          <cell r="K11">
            <v>0</v>
          </cell>
          <cell r="L11">
            <v>30.176470588235297</v>
          </cell>
          <cell r="M11">
            <v>0</v>
          </cell>
          <cell r="N11">
            <v>158.82352941176472</v>
          </cell>
          <cell r="O11">
            <v>0</v>
          </cell>
          <cell r="P11">
            <v>189</v>
          </cell>
          <cell r="Q11">
            <v>0</v>
          </cell>
          <cell r="R11">
            <v>6.2E-4</v>
          </cell>
        </row>
        <row r="12">
          <cell r="C12" t="str">
            <v>Cemento gris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 t="str">
            <v>Kg</v>
          </cell>
          <cell r="J12">
            <v>678</v>
          </cell>
          <cell r="K12">
            <v>0</v>
          </cell>
          <cell r="L12">
            <v>108.25210084033614</v>
          </cell>
          <cell r="M12">
            <v>0</v>
          </cell>
          <cell r="N12">
            <v>569.74789915966392</v>
          </cell>
          <cell r="O12">
            <v>0</v>
          </cell>
          <cell r="P12">
            <v>678</v>
          </cell>
          <cell r="Q12">
            <v>0</v>
          </cell>
          <cell r="R12">
            <v>1</v>
          </cell>
        </row>
        <row r="13">
          <cell r="C13" t="str">
            <v>Arena triturada pasante 3/8"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 t="str">
            <v>m3</v>
          </cell>
          <cell r="J13">
            <v>64102.92</v>
          </cell>
          <cell r="K13">
            <v>0</v>
          </cell>
          <cell r="L13">
            <v>10234.92</v>
          </cell>
          <cell r="M13">
            <v>0</v>
          </cell>
          <cell r="N13">
            <v>53868</v>
          </cell>
          <cell r="O13">
            <v>0</v>
          </cell>
          <cell r="P13">
            <v>62000</v>
          </cell>
          <cell r="Q13">
            <v>0</v>
          </cell>
          <cell r="R13">
            <v>1608</v>
          </cell>
        </row>
        <row r="14">
          <cell r="C14" t="str">
            <v>Triturado pasante de 3/4" retenido en 3/8"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 t="str">
            <v>m3</v>
          </cell>
          <cell r="J14">
            <v>85706.78</v>
          </cell>
          <cell r="K14">
            <v>0</v>
          </cell>
          <cell r="L14">
            <v>13684.275798319328</v>
          </cell>
          <cell r="M14">
            <v>0</v>
          </cell>
          <cell r="N14">
            <v>72022.504201680669</v>
          </cell>
          <cell r="O14">
            <v>0</v>
          </cell>
          <cell r="P14">
            <v>77000</v>
          </cell>
          <cell r="Q14">
            <v>0</v>
          </cell>
          <cell r="R14">
            <v>1455</v>
          </cell>
        </row>
        <row r="15">
          <cell r="C15" t="str">
            <v>Agua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 t="str">
            <v>Lt</v>
          </cell>
          <cell r="J15">
            <v>20</v>
          </cell>
          <cell r="K15">
            <v>0</v>
          </cell>
          <cell r="L15">
            <v>3.1932773109243699</v>
          </cell>
          <cell r="M15">
            <v>0</v>
          </cell>
          <cell r="N15">
            <v>16.806722689075631</v>
          </cell>
          <cell r="O15">
            <v>0</v>
          </cell>
          <cell r="P15">
            <v>20</v>
          </cell>
          <cell r="Q15">
            <v>0</v>
          </cell>
          <cell r="R15">
            <v>1</v>
          </cell>
        </row>
        <row r="16">
          <cell r="C16" t="str">
            <v>Acero de refuerzo de 60000 PSI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 t="str">
            <v>Kg</v>
          </cell>
          <cell r="J16">
            <v>5883.1369999999997</v>
          </cell>
          <cell r="K16">
            <v>0</v>
          </cell>
          <cell r="L16">
            <v>939.32439495798326</v>
          </cell>
          <cell r="M16">
            <v>0</v>
          </cell>
          <cell r="N16">
            <v>4943.8126050420169</v>
          </cell>
          <cell r="O16">
            <v>0</v>
          </cell>
          <cell r="P16">
            <v>5883.1369999999997</v>
          </cell>
          <cell r="Q16">
            <v>0</v>
          </cell>
          <cell r="R16">
            <v>1</v>
          </cell>
        </row>
        <row r="17">
          <cell r="C17" t="str">
            <v>Alambre negro calibre 17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 t="str">
            <v>Kg</v>
          </cell>
          <cell r="J17">
            <v>9302.8000000000011</v>
          </cell>
          <cell r="K17">
            <v>0</v>
          </cell>
          <cell r="L17">
            <v>1485.3210084033617</v>
          </cell>
          <cell r="M17">
            <v>0</v>
          </cell>
          <cell r="N17">
            <v>7817.4789915966403</v>
          </cell>
          <cell r="O17">
            <v>0</v>
          </cell>
          <cell r="P17">
            <v>9302.8000000000011</v>
          </cell>
          <cell r="Q17">
            <v>0</v>
          </cell>
          <cell r="R17">
            <v>1</v>
          </cell>
        </row>
        <row r="18">
          <cell r="C18" t="str">
            <v>Concreto simple 3000 PSI a todo costo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 t="str">
            <v>m3</v>
          </cell>
          <cell r="J18">
            <v>654405.99856496661</v>
          </cell>
          <cell r="K18">
            <v>0</v>
          </cell>
          <cell r="L18">
            <v>104484.99136751569</v>
          </cell>
          <cell r="M18">
            <v>0</v>
          </cell>
          <cell r="N18">
            <v>549921.00719745096</v>
          </cell>
          <cell r="O18">
            <v>0</v>
          </cell>
          <cell r="P18">
            <v>533019</v>
          </cell>
          <cell r="Q18">
            <v>0</v>
          </cell>
          <cell r="R18">
            <v>0</v>
          </cell>
        </row>
        <row r="19">
          <cell r="C19" t="str">
            <v>Formaleta en madera x m2 4 usos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 t="str">
            <v>m2</v>
          </cell>
          <cell r="J19">
            <v>8750</v>
          </cell>
          <cell r="K19">
            <v>0</v>
          </cell>
          <cell r="L19">
            <v>1397.0588235294117</v>
          </cell>
          <cell r="M19">
            <v>0</v>
          </cell>
          <cell r="N19">
            <v>7352.9411764705883</v>
          </cell>
          <cell r="O19">
            <v>0</v>
          </cell>
          <cell r="P19">
            <v>8750</v>
          </cell>
          <cell r="Q19">
            <v>0</v>
          </cell>
          <cell r="R19">
            <v>41.1</v>
          </cell>
        </row>
        <row r="20">
          <cell r="C20" t="str">
            <v>Concreto ciclopeo de 2500 PSI a todo costo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>m3</v>
          </cell>
          <cell r="J20">
            <v>418293</v>
          </cell>
          <cell r="K20">
            <v>0</v>
          </cell>
          <cell r="L20">
            <v>66786.277310924372</v>
          </cell>
          <cell r="M20">
            <v>0</v>
          </cell>
          <cell r="N20">
            <v>351506.72268907563</v>
          </cell>
          <cell r="O20">
            <v>0</v>
          </cell>
          <cell r="P20">
            <v>418293</v>
          </cell>
          <cell r="Q20">
            <v>0</v>
          </cell>
          <cell r="R20">
            <v>0</v>
          </cell>
        </row>
        <row r="21">
          <cell r="C21" t="str">
            <v>Malla eslabonada calibre 10 rombo de 2 1/4"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 t="str">
            <v>m2</v>
          </cell>
          <cell r="J21">
            <v>20125</v>
          </cell>
          <cell r="K21">
            <v>0</v>
          </cell>
          <cell r="L21">
            <v>3213.2352941176473</v>
          </cell>
          <cell r="M21">
            <v>0</v>
          </cell>
          <cell r="N21">
            <v>16911.764705882353</v>
          </cell>
          <cell r="O21">
            <v>0</v>
          </cell>
          <cell r="P21">
            <v>20125</v>
          </cell>
          <cell r="Q21">
            <v>0</v>
          </cell>
          <cell r="R21">
            <v>0</v>
          </cell>
        </row>
        <row r="22">
          <cell r="C22" t="str">
            <v>Soldadura E-6013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 t="str">
            <v>Kg</v>
          </cell>
          <cell r="J22">
            <v>23400</v>
          </cell>
          <cell r="K22">
            <v>0</v>
          </cell>
          <cell r="L22">
            <v>3736.1344537815125</v>
          </cell>
          <cell r="M22">
            <v>0</v>
          </cell>
          <cell r="N22">
            <v>19663.865546218487</v>
          </cell>
          <cell r="O22">
            <v>0</v>
          </cell>
          <cell r="P22">
            <v>23400</v>
          </cell>
          <cell r="Q22">
            <v>0</v>
          </cell>
          <cell r="R22">
            <v>1</v>
          </cell>
        </row>
        <row r="23">
          <cell r="C23" t="str">
            <v>Tuberia A.N 2" cal 16 para cerramiento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 t="str">
            <v>ml</v>
          </cell>
          <cell r="J23">
            <v>22125</v>
          </cell>
          <cell r="K23">
            <v>0</v>
          </cell>
          <cell r="L23">
            <v>3532.5630252100846</v>
          </cell>
          <cell r="M23">
            <v>0</v>
          </cell>
          <cell r="N23">
            <v>18592.436974789918</v>
          </cell>
          <cell r="O23">
            <v>0</v>
          </cell>
          <cell r="P23">
            <v>22125</v>
          </cell>
          <cell r="Q23">
            <v>0</v>
          </cell>
          <cell r="R23">
            <v>0</v>
          </cell>
        </row>
        <row r="24">
          <cell r="C24" t="str">
            <v>Pintura anticorrosiva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 t="str">
            <v>Galón</v>
          </cell>
          <cell r="J24">
            <v>95900</v>
          </cell>
          <cell r="K24">
            <v>0</v>
          </cell>
          <cell r="L24">
            <v>15311.764705882353</v>
          </cell>
          <cell r="M24">
            <v>0</v>
          </cell>
          <cell r="N24">
            <v>80588.23529411765</v>
          </cell>
          <cell r="O24">
            <v>0</v>
          </cell>
          <cell r="P24">
            <v>95900</v>
          </cell>
          <cell r="Q24">
            <v>0</v>
          </cell>
          <cell r="R24">
            <v>3.8</v>
          </cell>
        </row>
        <row r="25">
          <cell r="C25" t="str">
            <v>Ladrillo prensado a la vista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 t="str">
            <v>Unidad</v>
          </cell>
          <cell r="J25">
            <v>1900</v>
          </cell>
          <cell r="K25">
            <v>0</v>
          </cell>
          <cell r="L25">
            <v>303.36134453781517</v>
          </cell>
          <cell r="M25">
            <v>0</v>
          </cell>
          <cell r="N25">
            <v>1596.6386554621849</v>
          </cell>
          <cell r="O25">
            <v>0</v>
          </cell>
          <cell r="P25">
            <v>1900</v>
          </cell>
          <cell r="Q25">
            <v>0</v>
          </cell>
          <cell r="R25">
            <v>0</v>
          </cell>
        </row>
        <row r="26">
          <cell r="C26" t="str">
            <v>Suministro e instalacion de mortero 1:4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 t="str">
            <v>m3</v>
          </cell>
          <cell r="J26">
            <v>497116</v>
          </cell>
          <cell r="K26">
            <v>0</v>
          </cell>
          <cell r="L26">
            <v>79371.462184873948</v>
          </cell>
          <cell r="M26">
            <v>0</v>
          </cell>
          <cell r="N26">
            <v>417744.53781512607</v>
          </cell>
          <cell r="O26">
            <v>0</v>
          </cell>
          <cell r="P26">
            <v>497116</v>
          </cell>
          <cell r="Q26">
            <v>0</v>
          </cell>
          <cell r="R26">
            <v>0</v>
          </cell>
        </row>
        <row r="27">
          <cell r="C27" t="str">
            <v>Angulo de 1 1/2" x 1 1/2" x 1/4"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 t="str">
            <v>ml</v>
          </cell>
          <cell r="J27">
            <v>7000</v>
          </cell>
          <cell r="K27">
            <v>0</v>
          </cell>
          <cell r="L27">
            <v>1117.6470588235295</v>
          </cell>
          <cell r="M27">
            <v>0</v>
          </cell>
          <cell r="N27">
            <v>5882.3529411764712</v>
          </cell>
          <cell r="O27">
            <v>0</v>
          </cell>
          <cell r="P27">
            <v>7000</v>
          </cell>
          <cell r="Q27">
            <v>0</v>
          </cell>
          <cell r="R27">
            <v>0</v>
          </cell>
        </row>
        <row r="28">
          <cell r="C28" t="str">
            <v>Platina de 1" x 1/8"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 t="str">
            <v>Unidad</v>
          </cell>
          <cell r="J28">
            <v>23550</v>
          </cell>
          <cell r="K28">
            <v>0</v>
          </cell>
          <cell r="L28">
            <v>3760.0840336134452</v>
          </cell>
          <cell r="M28">
            <v>0</v>
          </cell>
          <cell r="N28">
            <v>19789.915966386554</v>
          </cell>
          <cell r="O28">
            <v>0</v>
          </cell>
          <cell r="P28">
            <v>23550</v>
          </cell>
          <cell r="Q28">
            <v>0</v>
          </cell>
          <cell r="R28">
            <v>0</v>
          </cell>
        </row>
        <row r="29">
          <cell r="C29" t="str">
            <v>Alambre de puas calibre 12,5 - rollo 350m-32,8 kilos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 t="str">
            <v>ml</v>
          </cell>
          <cell r="J29">
            <v>868.29</v>
          </cell>
          <cell r="K29">
            <v>0</v>
          </cell>
          <cell r="L29">
            <v>138.63453781512607</v>
          </cell>
          <cell r="M29">
            <v>0</v>
          </cell>
          <cell r="N29">
            <v>729.65546218487395</v>
          </cell>
          <cell r="O29">
            <v>0</v>
          </cell>
          <cell r="P29">
            <v>868.29</v>
          </cell>
          <cell r="Q29">
            <v>0</v>
          </cell>
          <cell r="R29">
            <v>0</v>
          </cell>
        </row>
        <row r="30">
          <cell r="C30" t="str">
            <v>Soldadura para PVC 1/4 Galon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 t="str">
            <v>Galón</v>
          </cell>
          <cell r="J30">
            <v>80900</v>
          </cell>
          <cell r="K30">
            <v>0</v>
          </cell>
          <cell r="L30">
            <v>12916.806722689076</v>
          </cell>
          <cell r="M30">
            <v>0</v>
          </cell>
          <cell r="N30">
            <v>67983.193277310929</v>
          </cell>
          <cell r="O30">
            <v>0</v>
          </cell>
          <cell r="P30">
            <v>80900</v>
          </cell>
          <cell r="Q30">
            <v>0</v>
          </cell>
          <cell r="R30">
            <v>3.8</v>
          </cell>
        </row>
        <row r="31">
          <cell r="C31" t="str">
            <v>Tabla comun de 3x0,25x0,02m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 t="str">
            <v>Unidad</v>
          </cell>
          <cell r="J31">
            <v>25000</v>
          </cell>
          <cell r="K31">
            <v>0</v>
          </cell>
          <cell r="L31">
            <v>3991.5966386554624</v>
          </cell>
          <cell r="M31">
            <v>0</v>
          </cell>
          <cell r="N31">
            <v>21008.403361344539</v>
          </cell>
          <cell r="O31">
            <v>0</v>
          </cell>
          <cell r="P31">
            <v>25000</v>
          </cell>
          <cell r="Q31">
            <v>0</v>
          </cell>
          <cell r="R31">
            <v>0</v>
          </cell>
        </row>
        <row r="32">
          <cell r="C32" t="str">
            <v>Cerco de 3x0,05x0,10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 t="str">
            <v>Unidad</v>
          </cell>
          <cell r="J32">
            <v>18000</v>
          </cell>
          <cell r="K32">
            <v>0</v>
          </cell>
          <cell r="L32">
            <v>2873.9495798319331</v>
          </cell>
          <cell r="M32">
            <v>0</v>
          </cell>
          <cell r="N32">
            <v>15126.050420168069</v>
          </cell>
          <cell r="O32">
            <v>0</v>
          </cell>
          <cell r="P32">
            <v>18000</v>
          </cell>
          <cell r="Q32">
            <v>0</v>
          </cell>
          <cell r="R32">
            <v>0.52410000000000001</v>
          </cell>
        </row>
        <row r="33">
          <cell r="C33" t="str">
            <v>Puntilla de 2" c/cabeza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 t="str">
            <v>LB</v>
          </cell>
          <cell r="J33">
            <v>5500</v>
          </cell>
          <cell r="K33">
            <v>0</v>
          </cell>
          <cell r="L33">
            <v>878.15126050420167</v>
          </cell>
          <cell r="M33">
            <v>0</v>
          </cell>
          <cell r="N33">
            <v>4621.8487394957983</v>
          </cell>
          <cell r="O33">
            <v>0</v>
          </cell>
          <cell r="P33">
            <v>5500</v>
          </cell>
          <cell r="Q33">
            <v>0</v>
          </cell>
          <cell r="R33">
            <v>0.5</v>
          </cell>
        </row>
        <row r="34">
          <cell r="C34" t="str">
            <v>Suministro de acero de refuerzo de 60000 PSI cortado y figurado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 t="str">
            <v>Kg</v>
          </cell>
          <cell r="J34">
            <v>7966</v>
          </cell>
          <cell r="K34">
            <v>0</v>
          </cell>
          <cell r="L34">
            <v>1271.8823529411766</v>
          </cell>
          <cell r="M34">
            <v>0</v>
          </cell>
          <cell r="N34">
            <v>6694.1176470588234</v>
          </cell>
          <cell r="O34">
            <v>0</v>
          </cell>
          <cell r="P34">
            <v>13369.44</v>
          </cell>
          <cell r="Q34">
            <v>0</v>
          </cell>
          <cell r="R34">
            <v>0</v>
          </cell>
        </row>
        <row r="35">
          <cell r="C35" t="str">
            <v>Limpiador PVC 1/4 Galon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 t="str">
            <v>Galón</v>
          </cell>
          <cell r="J35">
            <v>47200</v>
          </cell>
          <cell r="K35">
            <v>0</v>
          </cell>
          <cell r="L35">
            <v>7536.134453781513</v>
          </cell>
          <cell r="M35">
            <v>0</v>
          </cell>
          <cell r="N35">
            <v>39663.865546218491</v>
          </cell>
          <cell r="O35">
            <v>0</v>
          </cell>
          <cell r="P35">
            <v>47200</v>
          </cell>
          <cell r="Q35">
            <v>0</v>
          </cell>
          <cell r="R35">
            <v>3.8</v>
          </cell>
        </row>
        <row r="36">
          <cell r="C36" t="str">
            <v>Recebo común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 t="str">
            <v>m3</v>
          </cell>
          <cell r="J36">
            <v>63139</v>
          </cell>
          <cell r="K36">
            <v>0</v>
          </cell>
          <cell r="L36">
            <v>10081.01680672269</v>
          </cell>
          <cell r="M36">
            <v>0</v>
          </cell>
          <cell r="N36">
            <v>53057.983193277316</v>
          </cell>
          <cell r="O36">
            <v>0</v>
          </cell>
          <cell r="P36">
            <v>85500</v>
          </cell>
          <cell r="Q36">
            <v>0</v>
          </cell>
          <cell r="R36">
            <v>1650</v>
          </cell>
        </row>
        <row r="37">
          <cell r="C37" t="str">
            <v>Malla electrosoldada 15x15cm 4mm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 t="str">
            <v>m2</v>
          </cell>
          <cell r="J37">
            <v>7510.64</v>
          </cell>
          <cell r="K37">
            <v>0</v>
          </cell>
          <cell r="L37">
            <v>1199.1778151260505</v>
          </cell>
          <cell r="M37">
            <v>0</v>
          </cell>
          <cell r="N37">
            <v>6311.4621848739498</v>
          </cell>
          <cell r="O37">
            <v>0</v>
          </cell>
          <cell r="P37">
            <v>5629.98</v>
          </cell>
          <cell r="Q37">
            <v>0</v>
          </cell>
          <cell r="R37">
            <v>4</v>
          </cell>
        </row>
        <row r="38">
          <cell r="C38" t="str">
            <v>Tuberia HG 1 1/2"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 t="str">
            <v>ml</v>
          </cell>
          <cell r="J38">
            <v>18316.669999999998</v>
          </cell>
          <cell r="K38">
            <v>0</v>
          </cell>
          <cell r="L38">
            <v>2924.5103361344536</v>
          </cell>
          <cell r="M38">
            <v>0</v>
          </cell>
          <cell r="N38">
            <v>15392.159663865545</v>
          </cell>
          <cell r="O38">
            <v>0</v>
          </cell>
          <cell r="P38">
            <v>18316.669999999998</v>
          </cell>
          <cell r="Q38">
            <v>0</v>
          </cell>
          <cell r="R38">
            <v>1.77</v>
          </cell>
        </row>
        <row r="39">
          <cell r="C39" t="str">
            <v>Platina de 4 x 3/16"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 t="str">
            <v>Unidad</v>
          </cell>
          <cell r="J39">
            <v>24887</v>
          </cell>
          <cell r="K39">
            <v>0</v>
          </cell>
          <cell r="L39">
            <v>3973.5546218487393</v>
          </cell>
          <cell r="M39">
            <v>0</v>
          </cell>
          <cell r="N39">
            <v>20913.44537815126</v>
          </cell>
          <cell r="O39">
            <v>0</v>
          </cell>
          <cell r="P39">
            <v>24887</v>
          </cell>
          <cell r="Q39">
            <v>0</v>
          </cell>
          <cell r="R39">
            <v>23.4</v>
          </cell>
        </row>
        <row r="40">
          <cell r="C40" t="str">
            <v>Reduccion acero negro 1" 200 PSI roscar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 t="str">
            <v>Unidad</v>
          </cell>
          <cell r="J40">
            <v>2841</v>
          </cell>
          <cell r="K40">
            <v>0</v>
          </cell>
          <cell r="L40">
            <v>453.60504201680675</v>
          </cell>
          <cell r="M40">
            <v>0</v>
          </cell>
          <cell r="N40">
            <v>2387.3949579831933</v>
          </cell>
          <cell r="O40">
            <v>0</v>
          </cell>
          <cell r="P40">
            <v>2841</v>
          </cell>
          <cell r="Q40">
            <v>0</v>
          </cell>
          <cell r="R40">
            <v>0.215</v>
          </cell>
        </row>
        <row r="41">
          <cell r="C41" t="str">
            <v>Soldadura electrica 0,004 Kg de 3/23"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 t="str">
            <v>Kg</v>
          </cell>
          <cell r="J41">
            <v>21380</v>
          </cell>
          <cell r="K41">
            <v>0</v>
          </cell>
          <cell r="L41">
            <v>3413.6134453781519</v>
          </cell>
          <cell r="M41">
            <v>0</v>
          </cell>
          <cell r="N41">
            <v>17966.386554621851</v>
          </cell>
          <cell r="O41">
            <v>0</v>
          </cell>
          <cell r="P41">
            <v>21380</v>
          </cell>
          <cell r="Q41">
            <v>0</v>
          </cell>
          <cell r="R41">
            <v>1</v>
          </cell>
        </row>
        <row r="42">
          <cell r="C42" t="str">
            <v>Tableta cerámica para piso de alto tráfico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 t="str">
            <v>m2</v>
          </cell>
          <cell r="J42">
            <v>85800</v>
          </cell>
          <cell r="K42">
            <v>0</v>
          </cell>
          <cell r="L42">
            <v>13699.159663865546</v>
          </cell>
          <cell r="M42">
            <v>0</v>
          </cell>
          <cell r="N42">
            <v>72100.840336134454</v>
          </cell>
          <cell r="O42">
            <v>0</v>
          </cell>
          <cell r="P42">
            <v>42100</v>
          </cell>
          <cell r="Q42">
            <v>0</v>
          </cell>
          <cell r="R42">
            <v>0</v>
          </cell>
        </row>
        <row r="43">
          <cell r="C43" t="str">
            <v>Pegacor, fijador de cerámica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 t="str">
            <v>Kg</v>
          </cell>
          <cell r="J43">
            <v>1596</v>
          </cell>
          <cell r="K43">
            <v>0</v>
          </cell>
          <cell r="L43">
            <v>254.82352941176472</v>
          </cell>
          <cell r="M43">
            <v>0</v>
          </cell>
          <cell r="N43">
            <v>1341.1764705882354</v>
          </cell>
          <cell r="O43">
            <v>0</v>
          </cell>
          <cell r="P43">
            <v>1596</v>
          </cell>
          <cell r="Q43">
            <v>0</v>
          </cell>
          <cell r="R43">
            <v>0</v>
          </cell>
        </row>
        <row r="44">
          <cell r="C44" t="str">
            <v>Boquilla para pisos y enchapes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 t="str">
            <v>Kg</v>
          </cell>
          <cell r="J44">
            <v>6800</v>
          </cell>
          <cell r="K44">
            <v>0</v>
          </cell>
          <cell r="L44">
            <v>1085.7142857142858</v>
          </cell>
          <cell r="M44">
            <v>0</v>
          </cell>
          <cell r="N44">
            <v>5714.2857142857147</v>
          </cell>
          <cell r="O44">
            <v>0</v>
          </cell>
          <cell r="P44">
            <v>6800</v>
          </cell>
          <cell r="Q44">
            <v>0</v>
          </cell>
          <cell r="R44">
            <v>0</v>
          </cell>
        </row>
        <row r="45">
          <cell r="C45" t="str">
            <v>Pintura esmalte anticorrosivo negro, para puertas y ventanas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 t="str">
            <v>Galón</v>
          </cell>
          <cell r="J45">
            <v>76900</v>
          </cell>
          <cell r="K45">
            <v>0</v>
          </cell>
          <cell r="L45">
            <v>12278.151260504203</v>
          </cell>
          <cell r="M45">
            <v>0</v>
          </cell>
          <cell r="N45">
            <v>64621.848739495799</v>
          </cell>
          <cell r="O45">
            <v>0</v>
          </cell>
          <cell r="P45">
            <v>76900</v>
          </cell>
          <cell r="Q45">
            <v>0</v>
          </cell>
          <cell r="R45">
            <v>3.8</v>
          </cell>
        </row>
        <row r="46">
          <cell r="C46" t="str">
            <v>Unión universal Ø4 en hierro ductil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 t="str">
            <v>Unidad</v>
          </cell>
          <cell r="J46">
            <v>253000</v>
          </cell>
          <cell r="K46">
            <v>0</v>
          </cell>
          <cell r="L46">
            <v>40394.957983193279</v>
          </cell>
          <cell r="M46">
            <v>0</v>
          </cell>
          <cell r="N46">
            <v>212605.04201680672</v>
          </cell>
          <cell r="O46">
            <v>0</v>
          </cell>
          <cell r="P46">
            <v>253000</v>
          </cell>
          <cell r="Q46">
            <v>0</v>
          </cell>
          <cell r="R46">
            <v>9.1</v>
          </cell>
        </row>
        <row r="47">
          <cell r="C47" t="str">
            <v>Tee Ø4 en hierro ductil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 t="str">
            <v>Unidad</v>
          </cell>
          <cell r="J47">
            <v>720300</v>
          </cell>
          <cell r="K47">
            <v>0</v>
          </cell>
          <cell r="L47">
            <v>115005.88235294117</v>
          </cell>
          <cell r="M47">
            <v>0</v>
          </cell>
          <cell r="N47">
            <v>605294.1176470588</v>
          </cell>
          <cell r="O47">
            <v>0</v>
          </cell>
          <cell r="P47">
            <v>1029000</v>
          </cell>
          <cell r="Q47">
            <v>0</v>
          </cell>
          <cell r="R47">
            <v>24</v>
          </cell>
        </row>
        <row r="48">
          <cell r="C48" t="str">
            <v>Válvula compuerta con volante bridada Ø4 en hierro ductil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 t="str">
            <v>Unidad</v>
          </cell>
          <cell r="J48">
            <v>1158000</v>
          </cell>
          <cell r="K48">
            <v>0</v>
          </cell>
          <cell r="L48">
            <v>184890.75630252101</v>
          </cell>
          <cell r="M48">
            <v>0</v>
          </cell>
          <cell r="N48">
            <v>973109.24369747902</v>
          </cell>
          <cell r="O48">
            <v>0</v>
          </cell>
          <cell r="P48">
            <v>1158000</v>
          </cell>
          <cell r="Q48">
            <v>0</v>
          </cell>
          <cell r="R48">
            <v>26</v>
          </cell>
        </row>
        <row r="49">
          <cell r="C49" t="str">
            <v>Válvula compuerta con volante bridada Ø6 en hierro ductil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 t="str">
            <v>Unidad</v>
          </cell>
          <cell r="J49">
            <v>1956000</v>
          </cell>
          <cell r="K49">
            <v>0</v>
          </cell>
          <cell r="L49">
            <v>312302.52100840339</v>
          </cell>
          <cell r="M49">
            <v>0</v>
          </cell>
          <cell r="N49">
            <v>1643697.4789915967</v>
          </cell>
          <cell r="O49">
            <v>0</v>
          </cell>
          <cell r="P49">
            <v>1956000</v>
          </cell>
          <cell r="Q49">
            <v>0</v>
          </cell>
          <cell r="R49">
            <v>39</v>
          </cell>
        </row>
        <row r="50">
          <cell r="C50" t="str">
            <v>Lámina de alfajor de 2,5mm cal 14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 t="str">
            <v>m2</v>
          </cell>
          <cell r="J50">
            <v>180540</v>
          </cell>
          <cell r="K50">
            <v>0</v>
          </cell>
          <cell r="L50">
            <v>28825.714285714286</v>
          </cell>
          <cell r="M50">
            <v>0</v>
          </cell>
          <cell r="N50">
            <v>151714.28571428571</v>
          </cell>
          <cell r="O50">
            <v>0</v>
          </cell>
          <cell r="P50">
            <v>180540</v>
          </cell>
          <cell r="Q50">
            <v>0</v>
          </cell>
          <cell r="R50">
            <v>29.78</v>
          </cell>
        </row>
        <row r="51">
          <cell r="C51" t="str">
            <v>Regleta para aforo y medición de caudal (Limnimétrica)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 t="str">
            <v>Unidad</v>
          </cell>
          <cell r="J51">
            <v>209612</v>
          </cell>
          <cell r="K51">
            <v>0</v>
          </cell>
          <cell r="L51">
            <v>33467.462184873955</v>
          </cell>
          <cell r="M51">
            <v>0</v>
          </cell>
          <cell r="N51">
            <v>176144.53781512607</v>
          </cell>
          <cell r="O51">
            <v>0</v>
          </cell>
          <cell r="P51">
            <v>209612</v>
          </cell>
          <cell r="Q51">
            <v>0</v>
          </cell>
          <cell r="R51">
            <v>3.6</v>
          </cell>
        </row>
        <row r="52">
          <cell r="C52" t="str">
            <v>Suministro e instalacion de mortero 1:4 impermeabilizado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 t="str">
            <v>m3</v>
          </cell>
          <cell r="J52">
            <v>548189</v>
          </cell>
          <cell r="K52">
            <v>0</v>
          </cell>
          <cell r="L52">
            <v>87525.97478991597</v>
          </cell>
          <cell r="M52">
            <v>0</v>
          </cell>
          <cell r="N52">
            <v>460663.02521008404</v>
          </cell>
          <cell r="O52">
            <v>0</v>
          </cell>
          <cell r="P52">
            <v>548189</v>
          </cell>
          <cell r="Q52">
            <v>0</v>
          </cell>
          <cell r="R52">
            <v>2407.2800000000002</v>
          </cell>
        </row>
        <row r="53">
          <cell r="C53" t="str">
            <v>Vertedero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 t="str">
            <v>Unidad</v>
          </cell>
          <cell r="J53">
            <v>250000</v>
          </cell>
          <cell r="K53">
            <v>0</v>
          </cell>
          <cell r="L53">
            <v>39915.966386554624</v>
          </cell>
          <cell r="M53">
            <v>0</v>
          </cell>
          <cell r="N53">
            <v>210084.03361344538</v>
          </cell>
          <cell r="O53">
            <v>0</v>
          </cell>
          <cell r="P53">
            <v>250000</v>
          </cell>
          <cell r="Q53">
            <v>0</v>
          </cell>
          <cell r="R53">
            <v>2</v>
          </cell>
        </row>
        <row r="54">
          <cell r="C54" t="str">
            <v>Angulo de 1 1/2" x 1 1/2" x 1/8"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 t="str">
            <v>ml</v>
          </cell>
          <cell r="J54">
            <v>6669</v>
          </cell>
          <cell r="K54">
            <v>0</v>
          </cell>
          <cell r="L54">
            <v>1064.7983193277312</v>
          </cell>
          <cell r="M54">
            <v>0</v>
          </cell>
          <cell r="N54">
            <v>5604.2016806722695</v>
          </cell>
          <cell r="O54">
            <v>0</v>
          </cell>
          <cell r="P54">
            <v>6669</v>
          </cell>
          <cell r="Q54">
            <v>0</v>
          </cell>
          <cell r="R54">
            <v>1.83</v>
          </cell>
        </row>
        <row r="55">
          <cell r="C55" t="str">
            <v>Varilla de 1/2" corrugada (1Kg/ml)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 t="str">
            <v>Kg</v>
          </cell>
          <cell r="J55">
            <v>4916.66</v>
          </cell>
          <cell r="K55">
            <v>0</v>
          </cell>
          <cell r="L55">
            <v>785.01294117647069</v>
          </cell>
          <cell r="M55">
            <v>0</v>
          </cell>
          <cell r="N55">
            <v>4131.6470588235297</v>
          </cell>
          <cell r="O55">
            <v>0</v>
          </cell>
          <cell r="P55">
            <v>4525.49</v>
          </cell>
          <cell r="Q55">
            <v>0</v>
          </cell>
          <cell r="R55">
            <v>1</v>
          </cell>
        </row>
        <row r="56">
          <cell r="C56" t="str">
            <v>Niple pasamuro Ø6 (0 - 1M)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 t="str">
            <v>Unidad</v>
          </cell>
          <cell r="J56">
            <v>588564</v>
          </cell>
          <cell r="K56">
            <v>0</v>
          </cell>
          <cell r="L56">
            <v>93972.403361344535</v>
          </cell>
          <cell r="M56">
            <v>0</v>
          </cell>
          <cell r="N56">
            <v>494591.59663865546</v>
          </cell>
          <cell r="O56">
            <v>0</v>
          </cell>
          <cell r="P56">
            <v>588564</v>
          </cell>
          <cell r="Q56">
            <v>0</v>
          </cell>
          <cell r="R56">
            <v>0</v>
          </cell>
        </row>
        <row r="57">
          <cell r="C57" t="str">
            <v>Lubricante 500 gr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 t="str">
            <v>Unidad</v>
          </cell>
          <cell r="J57">
            <v>22535</v>
          </cell>
          <cell r="K57">
            <v>0</v>
          </cell>
          <cell r="L57">
            <v>3598.0252100840335</v>
          </cell>
          <cell r="M57">
            <v>0</v>
          </cell>
          <cell r="N57">
            <v>18936.974789915967</v>
          </cell>
          <cell r="O57">
            <v>0</v>
          </cell>
          <cell r="P57">
            <v>22535</v>
          </cell>
          <cell r="Q57">
            <v>0</v>
          </cell>
          <cell r="R57">
            <v>0.5</v>
          </cell>
        </row>
        <row r="58">
          <cell r="C58" t="str">
            <v>Niple pasamuro L= 0,50m Ø2" en hierro ductil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 t="str">
            <v>Unidad</v>
          </cell>
          <cell r="J58">
            <v>140000</v>
          </cell>
          <cell r="K58">
            <v>0</v>
          </cell>
          <cell r="L58">
            <v>22352.941176470587</v>
          </cell>
          <cell r="M58">
            <v>0</v>
          </cell>
          <cell r="N58">
            <v>117647.05882352941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</row>
        <row r="59">
          <cell r="C59" t="str">
            <v>Niple pasamuro L= 0,50m Ø3" en hierro ductil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 t="str">
            <v>Unidad</v>
          </cell>
          <cell r="J59">
            <v>190000</v>
          </cell>
          <cell r="K59">
            <v>0</v>
          </cell>
          <cell r="L59">
            <v>30336.134453781517</v>
          </cell>
          <cell r="M59">
            <v>0</v>
          </cell>
          <cell r="N59">
            <v>159663.8655462185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</row>
        <row r="60">
          <cell r="C60" t="str">
            <v>Niple pasamuro L= 0,50m Ø4" en hierro ductil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 t="str">
            <v>Unidad</v>
          </cell>
          <cell r="J60">
            <v>706676.74</v>
          </cell>
          <cell r="K60">
            <v>0</v>
          </cell>
          <cell r="L60">
            <v>112830.74</v>
          </cell>
          <cell r="M60">
            <v>0</v>
          </cell>
          <cell r="N60">
            <v>593846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</row>
        <row r="61">
          <cell r="C61" t="str">
            <v>Válvula compuerta con volante bridada Ø2" en hierro ductil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 t="str">
            <v>Unidad</v>
          </cell>
          <cell r="J61">
            <v>564000</v>
          </cell>
          <cell r="K61">
            <v>0</v>
          </cell>
          <cell r="L61">
            <v>90050.420168067227</v>
          </cell>
          <cell r="M61">
            <v>0</v>
          </cell>
          <cell r="N61">
            <v>473949.57983193279</v>
          </cell>
          <cell r="O61">
            <v>0</v>
          </cell>
          <cell r="P61">
            <v>564000</v>
          </cell>
          <cell r="Q61">
            <v>0</v>
          </cell>
          <cell r="R61">
            <v>0</v>
          </cell>
        </row>
        <row r="62">
          <cell r="C62" t="str">
            <v>Válvula compuerta con volante bridada Ø3" en hierro ductil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 t="str">
            <v>Unidad</v>
          </cell>
          <cell r="J62">
            <v>886000</v>
          </cell>
          <cell r="K62">
            <v>0</v>
          </cell>
          <cell r="L62">
            <v>141462.18487394959</v>
          </cell>
          <cell r="M62">
            <v>0</v>
          </cell>
          <cell r="N62">
            <v>744537.8151260505</v>
          </cell>
          <cell r="O62">
            <v>0</v>
          </cell>
          <cell r="P62">
            <v>886000</v>
          </cell>
          <cell r="Q62">
            <v>0</v>
          </cell>
          <cell r="R62">
            <v>0</v>
          </cell>
        </row>
        <row r="63">
          <cell r="C63" t="str">
            <v>Niple 0,25m Ø2" en hierro ductil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 t="str">
            <v>Unidad</v>
          </cell>
          <cell r="J63">
            <v>65000</v>
          </cell>
          <cell r="K63">
            <v>0</v>
          </cell>
          <cell r="L63">
            <v>10378.151260504203</v>
          </cell>
          <cell r="M63">
            <v>0</v>
          </cell>
          <cell r="N63">
            <v>54621.848739495799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</row>
        <row r="64">
          <cell r="C64" t="str">
            <v>Tubería PVC Ø3" RDE 21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 t="str">
            <v>ml</v>
          </cell>
          <cell r="J64">
            <v>36592</v>
          </cell>
          <cell r="K64">
            <v>0</v>
          </cell>
          <cell r="L64">
            <v>5842.4201680672268</v>
          </cell>
          <cell r="M64">
            <v>0</v>
          </cell>
          <cell r="N64">
            <v>30749.579831932773</v>
          </cell>
          <cell r="O64">
            <v>0</v>
          </cell>
          <cell r="P64">
            <v>41104.660000000003</v>
          </cell>
          <cell r="Q64">
            <v>0</v>
          </cell>
          <cell r="R64">
            <v>0</v>
          </cell>
        </row>
        <row r="65">
          <cell r="C65" t="str">
            <v>Tubería PVC Ø4" RDE 21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 t="str">
            <v>ml</v>
          </cell>
          <cell r="J65">
            <v>48333</v>
          </cell>
          <cell r="K65">
            <v>0</v>
          </cell>
          <cell r="L65">
            <v>7717.0336134453792</v>
          </cell>
          <cell r="M65">
            <v>0</v>
          </cell>
          <cell r="N65">
            <v>40615.966386554624</v>
          </cell>
          <cell r="O65">
            <v>0</v>
          </cell>
          <cell r="P65">
            <v>0</v>
          </cell>
          <cell r="Q65">
            <v>0</v>
          </cell>
          <cell r="R65">
            <v>3.5</v>
          </cell>
        </row>
        <row r="66">
          <cell r="C66" t="str">
            <v>Codo de Ø10" x 90° en hierro ductil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 t="str">
            <v>Unidad</v>
          </cell>
          <cell r="J66">
            <v>2496000</v>
          </cell>
          <cell r="K66">
            <v>0</v>
          </cell>
          <cell r="L66">
            <v>398521.00840336137</v>
          </cell>
          <cell r="M66">
            <v>0</v>
          </cell>
          <cell r="N66">
            <v>2097478.9915966387</v>
          </cell>
          <cell r="O66">
            <v>0</v>
          </cell>
          <cell r="P66">
            <v>2496000</v>
          </cell>
          <cell r="Q66">
            <v>0</v>
          </cell>
          <cell r="R66">
            <v>0</v>
          </cell>
        </row>
        <row r="67">
          <cell r="C67" t="str">
            <v>Tee Ø10" x 90° en hierro ductil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 t="str">
            <v>Unidad</v>
          </cell>
          <cell r="J67">
            <v>3128000</v>
          </cell>
          <cell r="K67">
            <v>0</v>
          </cell>
          <cell r="L67">
            <v>499428.57142857142</v>
          </cell>
          <cell r="M67">
            <v>0</v>
          </cell>
          <cell r="N67">
            <v>2628571.4285714286</v>
          </cell>
          <cell r="O67">
            <v>0</v>
          </cell>
          <cell r="P67">
            <v>3128000</v>
          </cell>
          <cell r="Q67">
            <v>0</v>
          </cell>
          <cell r="R67">
            <v>0</v>
          </cell>
        </row>
        <row r="68">
          <cell r="C68" t="str">
            <v>Válvula compuerta con volante bridada Ø10" en hierro ductil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 t="str">
            <v>Unidad</v>
          </cell>
          <cell r="J68">
            <v>5082000</v>
          </cell>
          <cell r="K68">
            <v>0</v>
          </cell>
          <cell r="L68">
            <v>811411.76470588241</v>
          </cell>
          <cell r="M68">
            <v>0</v>
          </cell>
          <cell r="N68">
            <v>4270588.2352941176</v>
          </cell>
          <cell r="O68">
            <v>0</v>
          </cell>
          <cell r="P68">
            <v>5082000</v>
          </cell>
          <cell r="Q68">
            <v>0</v>
          </cell>
          <cell r="R68">
            <v>0</v>
          </cell>
        </row>
        <row r="69">
          <cell r="C69" t="str">
            <v>Abrazadera 1"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 t="str">
            <v>Unidad</v>
          </cell>
          <cell r="J69">
            <v>420.37</v>
          </cell>
          <cell r="K69">
            <v>0</v>
          </cell>
          <cell r="L69">
            <v>67.117899159663864</v>
          </cell>
          <cell r="M69">
            <v>0</v>
          </cell>
          <cell r="N69">
            <v>353.25210084033614</v>
          </cell>
          <cell r="O69">
            <v>0</v>
          </cell>
          <cell r="P69">
            <v>420.37</v>
          </cell>
          <cell r="Q69">
            <v>0</v>
          </cell>
          <cell r="R69">
            <v>0</v>
          </cell>
        </row>
        <row r="70">
          <cell r="C70" t="str">
            <v>Molde symons 8"x24"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 t="str">
            <v>Unidad</v>
          </cell>
          <cell r="J70">
            <v>3760.07</v>
          </cell>
          <cell r="K70">
            <v>0</v>
          </cell>
          <cell r="L70">
            <v>600.34731092436982</v>
          </cell>
          <cell r="M70">
            <v>0</v>
          </cell>
          <cell r="N70">
            <v>3159.7226890756306</v>
          </cell>
          <cell r="O70">
            <v>0</v>
          </cell>
          <cell r="P70">
            <v>3760.07</v>
          </cell>
          <cell r="Q70">
            <v>0</v>
          </cell>
          <cell r="R70">
            <v>0</v>
          </cell>
        </row>
        <row r="71">
          <cell r="C71" t="str">
            <v>Ganchos waler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 t="str">
            <v>Unidad</v>
          </cell>
          <cell r="J71">
            <v>132.03</v>
          </cell>
          <cell r="K71">
            <v>0</v>
          </cell>
          <cell r="L71">
            <v>21.080420168067228</v>
          </cell>
          <cell r="M71">
            <v>0</v>
          </cell>
          <cell r="N71">
            <v>110.94957983193278</v>
          </cell>
          <cell r="O71">
            <v>0</v>
          </cell>
          <cell r="P71">
            <v>132.03</v>
          </cell>
          <cell r="Q71">
            <v>0</v>
          </cell>
          <cell r="R71">
            <v>0</v>
          </cell>
        </row>
        <row r="72">
          <cell r="C72" t="str">
            <v>Tuberia acero galvanizado 1" SCH 40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 t="str">
            <v>ml</v>
          </cell>
          <cell r="J72">
            <v>16819.990000000002</v>
          </cell>
          <cell r="K72">
            <v>0</v>
          </cell>
          <cell r="L72">
            <v>2685.54462184874</v>
          </cell>
          <cell r="M72">
            <v>0</v>
          </cell>
          <cell r="N72">
            <v>14134.445378151262</v>
          </cell>
          <cell r="O72">
            <v>0</v>
          </cell>
          <cell r="P72">
            <v>16819.990000000002</v>
          </cell>
          <cell r="Q72">
            <v>0</v>
          </cell>
          <cell r="R72">
            <v>0</v>
          </cell>
        </row>
        <row r="73">
          <cell r="C73" t="str">
            <v>Separadores hasta 250mm encofrado metálico-muro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 t="str">
            <v>Unidad</v>
          </cell>
          <cell r="J73">
            <v>422.48</v>
          </cell>
          <cell r="K73">
            <v>0</v>
          </cell>
          <cell r="L73">
            <v>67.454789915966387</v>
          </cell>
          <cell r="M73">
            <v>0</v>
          </cell>
          <cell r="N73">
            <v>355.02521008403363</v>
          </cell>
          <cell r="O73">
            <v>0</v>
          </cell>
          <cell r="P73">
            <v>422.48</v>
          </cell>
          <cell r="Q73">
            <v>0</v>
          </cell>
          <cell r="R73">
            <v>0</v>
          </cell>
        </row>
        <row r="74">
          <cell r="C74" t="str">
            <v>Cuñas para encofrado metalico de muro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 t="str">
            <v>Unidad</v>
          </cell>
          <cell r="J74">
            <v>485.85</v>
          </cell>
          <cell r="K74">
            <v>0</v>
          </cell>
          <cell r="L74">
            <v>77.572689075630251</v>
          </cell>
          <cell r="M74">
            <v>0</v>
          </cell>
          <cell r="N74">
            <v>408.27731092436977</v>
          </cell>
          <cell r="O74">
            <v>0</v>
          </cell>
          <cell r="P74">
            <v>485.85</v>
          </cell>
          <cell r="Q74">
            <v>0</v>
          </cell>
          <cell r="R74">
            <v>0</v>
          </cell>
        </row>
        <row r="75">
          <cell r="C75" t="str">
            <v>Codo PVC Ø4" x 90° union mecánica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 t="str">
            <v>Unidad</v>
          </cell>
          <cell r="J75">
            <v>124017.95</v>
          </cell>
          <cell r="K75">
            <v>0</v>
          </cell>
          <cell r="L75">
            <v>19801.185294117648</v>
          </cell>
          <cell r="M75">
            <v>0</v>
          </cell>
          <cell r="N75">
            <v>104216.76470588235</v>
          </cell>
          <cell r="O75">
            <v>0</v>
          </cell>
          <cell r="P75">
            <v>124017.95</v>
          </cell>
          <cell r="Q75">
            <v>0</v>
          </cell>
          <cell r="R75">
            <v>0</v>
          </cell>
        </row>
        <row r="76">
          <cell r="C76" t="str">
            <v>Concreto 4000 PSI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 t="str">
            <v>m3</v>
          </cell>
          <cell r="J76">
            <v>662205.71</v>
          </cell>
          <cell r="K76">
            <v>0</v>
          </cell>
          <cell r="L76">
            <v>105730.32344537815</v>
          </cell>
          <cell r="M76">
            <v>0</v>
          </cell>
          <cell r="N76">
            <v>556475.38655462186</v>
          </cell>
          <cell r="O76">
            <v>0</v>
          </cell>
          <cell r="P76">
            <v>662205.71</v>
          </cell>
          <cell r="Q76">
            <v>0</v>
          </cell>
          <cell r="R76">
            <v>0</v>
          </cell>
        </row>
        <row r="77">
          <cell r="C77" t="str">
            <v>Tapa para pozos de inspeccion en HF liviano (Incluye aro)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 t="str">
            <v>Unidad</v>
          </cell>
          <cell r="J77">
            <v>276410.71000000002</v>
          </cell>
          <cell r="K77">
            <v>0</v>
          </cell>
          <cell r="L77">
            <v>44132.802436974795</v>
          </cell>
          <cell r="M77">
            <v>0</v>
          </cell>
          <cell r="N77">
            <v>232277.90756302525</v>
          </cell>
          <cell r="O77">
            <v>0</v>
          </cell>
          <cell r="P77">
            <v>276410.71000000002</v>
          </cell>
          <cell r="Q77">
            <v>0</v>
          </cell>
          <cell r="R77">
            <v>0</v>
          </cell>
        </row>
        <row r="78">
          <cell r="C78" t="str">
            <v>Válvula compuerta con volante bridada Ø8" en hierro ductil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 t="str">
            <v>Unidad</v>
          </cell>
          <cell r="J78">
            <v>2834000</v>
          </cell>
          <cell r="K78">
            <v>0</v>
          </cell>
          <cell r="L78">
            <v>452487.39495798323</v>
          </cell>
          <cell r="M78">
            <v>0</v>
          </cell>
          <cell r="N78">
            <v>2381512.6050420171</v>
          </cell>
          <cell r="O78">
            <v>0</v>
          </cell>
          <cell r="P78">
            <v>2834000</v>
          </cell>
          <cell r="Q78">
            <v>0</v>
          </cell>
          <cell r="R78">
            <v>0</v>
          </cell>
        </row>
        <row r="79">
          <cell r="C79" t="str">
            <v>Codo Ø4" x 90° en hierro ductil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 t="str">
            <v>Unidad</v>
          </cell>
          <cell r="J79">
            <v>491000</v>
          </cell>
          <cell r="K79">
            <v>0</v>
          </cell>
          <cell r="L79">
            <v>78394.957983193279</v>
          </cell>
          <cell r="M79">
            <v>0</v>
          </cell>
          <cell r="N79">
            <v>412605.04201680672</v>
          </cell>
          <cell r="O79">
            <v>0</v>
          </cell>
          <cell r="P79">
            <v>691000</v>
          </cell>
          <cell r="Q79">
            <v>0</v>
          </cell>
          <cell r="R79">
            <v>16</v>
          </cell>
        </row>
        <row r="80">
          <cell r="C80" t="str">
            <v>Unión de desmontaje Ø6" en hierro ductil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 t="str">
            <v>Unidad</v>
          </cell>
          <cell r="J80">
            <v>900000</v>
          </cell>
          <cell r="K80">
            <v>0</v>
          </cell>
          <cell r="L80">
            <v>143697.47899159664</v>
          </cell>
          <cell r="M80">
            <v>0</v>
          </cell>
          <cell r="N80">
            <v>756302.52100840339</v>
          </cell>
          <cell r="O80">
            <v>0</v>
          </cell>
          <cell r="P80">
            <v>900000</v>
          </cell>
          <cell r="Q80">
            <v>0</v>
          </cell>
          <cell r="R80">
            <v>0</v>
          </cell>
        </row>
        <row r="81">
          <cell r="C81" t="str">
            <v>Niple pasamuro Ø10" L=0,50 M en hierro ductil con exremos bridados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 t="str">
            <v>Unidad</v>
          </cell>
          <cell r="J81">
            <v>924175</v>
          </cell>
          <cell r="K81">
            <v>0</v>
          </cell>
          <cell r="L81">
            <v>147557.35294117648</v>
          </cell>
          <cell r="M81">
            <v>0</v>
          </cell>
          <cell r="N81">
            <v>776617.64705882361</v>
          </cell>
          <cell r="O81">
            <v>0</v>
          </cell>
          <cell r="P81">
            <v>924175</v>
          </cell>
          <cell r="Q81">
            <v>0</v>
          </cell>
          <cell r="R81">
            <v>44.38</v>
          </cell>
        </row>
        <row r="82">
          <cell r="C82" t="str">
            <v>Unión de desmontaje Ø10" en hierro ductil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 t="str">
            <v>Unidad</v>
          </cell>
          <cell r="J82">
            <v>2320000</v>
          </cell>
          <cell r="K82">
            <v>0</v>
          </cell>
          <cell r="L82">
            <v>370420.16806722688</v>
          </cell>
          <cell r="M82">
            <v>0</v>
          </cell>
          <cell r="N82">
            <v>1949579.8319327731</v>
          </cell>
          <cell r="O82">
            <v>0</v>
          </cell>
          <cell r="P82">
            <v>2320000</v>
          </cell>
          <cell r="Q82">
            <v>0</v>
          </cell>
          <cell r="R82">
            <v>13</v>
          </cell>
        </row>
        <row r="83">
          <cell r="C83" t="str">
            <v>Alquiler de camillas de 0,70 x 1,40m (3 dias de uso)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 t="str">
            <v>Unidad</v>
          </cell>
          <cell r="J83">
            <v>2400</v>
          </cell>
          <cell r="K83">
            <v>0</v>
          </cell>
          <cell r="L83">
            <v>383.19327731092437</v>
          </cell>
          <cell r="M83">
            <v>0</v>
          </cell>
          <cell r="N83">
            <v>2016.8067226890757</v>
          </cell>
          <cell r="O83">
            <v>0</v>
          </cell>
          <cell r="P83">
            <v>2400</v>
          </cell>
          <cell r="Q83">
            <v>0</v>
          </cell>
          <cell r="R83">
            <v>30</v>
          </cell>
        </row>
        <row r="84">
          <cell r="C84" t="str">
            <v xml:space="preserve">Impermeabilizante plastocrete DM 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 t="str">
            <v>Kg</v>
          </cell>
          <cell r="J84">
            <v>24422.22</v>
          </cell>
          <cell r="K84">
            <v>0</v>
          </cell>
          <cell r="L84">
            <v>3899.3460504201685</v>
          </cell>
          <cell r="M84">
            <v>0</v>
          </cell>
          <cell r="N84">
            <v>20522.873949579833</v>
          </cell>
          <cell r="O84">
            <v>0</v>
          </cell>
          <cell r="P84">
            <v>24422.22</v>
          </cell>
          <cell r="Q84">
            <v>0</v>
          </cell>
          <cell r="R84">
            <v>1</v>
          </cell>
        </row>
        <row r="85">
          <cell r="C85" t="str">
            <v>Polin de 3x0,04x0,04m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 t="str">
            <v>Unidad</v>
          </cell>
          <cell r="J85">
            <v>8000</v>
          </cell>
          <cell r="K85">
            <v>0</v>
          </cell>
          <cell r="L85">
            <v>1277.3109243697481</v>
          </cell>
          <cell r="M85">
            <v>0</v>
          </cell>
          <cell r="N85">
            <v>6722.6890756302528</v>
          </cell>
          <cell r="O85">
            <v>0</v>
          </cell>
          <cell r="P85">
            <v>8000</v>
          </cell>
          <cell r="Q85">
            <v>0</v>
          </cell>
          <cell r="R85">
            <v>2.21</v>
          </cell>
        </row>
        <row r="86">
          <cell r="C86" t="str">
            <v>Pasamuro Ø6" L=0,50M en hierro ductil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 t="str">
            <v>Unidad</v>
          </cell>
          <cell r="J86">
            <v>549541.86</v>
          </cell>
          <cell r="K86">
            <v>0</v>
          </cell>
          <cell r="L86">
            <v>87741.977647058826</v>
          </cell>
          <cell r="M86">
            <v>0</v>
          </cell>
          <cell r="N86">
            <v>461799.8823529412</v>
          </cell>
          <cell r="O86">
            <v>0</v>
          </cell>
          <cell r="P86">
            <v>549541.86</v>
          </cell>
          <cell r="Q86">
            <v>0</v>
          </cell>
          <cell r="R86">
            <v>22.63</v>
          </cell>
        </row>
        <row r="87">
          <cell r="C87" t="str">
            <v>Pasamuro Ø6" L=1M en hierro ductil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 t="str">
            <v>Unidad</v>
          </cell>
          <cell r="J87">
            <v>549542.86</v>
          </cell>
          <cell r="K87">
            <v>0</v>
          </cell>
          <cell r="L87">
            <v>87742.137310924372</v>
          </cell>
          <cell r="M87">
            <v>0</v>
          </cell>
          <cell r="N87">
            <v>461800.72268907563</v>
          </cell>
          <cell r="O87">
            <v>0</v>
          </cell>
          <cell r="P87">
            <v>549542.86</v>
          </cell>
          <cell r="Q87">
            <v>0</v>
          </cell>
          <cell r="R87">
            <v>45.25</v>
          </cell>
        </row>
        <row r="88">
          <cell r="C88" t="str">
            <v>Malla eslabonada No.10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 t="str">
            <v>m2</v>
          </cell>
          <cell r="J88">
            <v>13455.99</v>
          </cell>
          <cell r="K88">
            <v>0</v>
          </cell>
          <cell r="L88">
            <v>2148.4353781512605</v>
          </cell>
          <cell r="M88">
            <v>0</v>
          </cell>
          <cell r="N88">
            <v>11307.55462184874</v>
          </cell>
          <cell r="O88">
            <v>0</v>
          </cell>
          <cell r="P88">
            <v>13455.99</v>
          </cell>
          <cell r="Q88">
            <v>0</v>
          </cell>
          <cell r="R88">
            <v>0</v>
          </cell>
        </row>
        <row r="89">
          <cell r="C89" t="str">
            <v>Portacandado 4"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 t="str">
            <v>Unidad</v>
          </cell>
          <cell r="J89">
            <v>5500</v>
          </cell>
          <cell r="K89">
            <v>0</v>
          </cell>
          <cell r="L89">
            <v>878.15126050420167</v>
          </cell>
          <cell r="M89">
            <v>0</v>
          </cell>
          <cell r="N89">
            <v>4621.8487394957983</v>
          </cell>
          <cell r="O89">
            <v>0</v>
          </cell>
          <cell r="P89">
            <v>5500</v>
          </cell>
          <cell r="Q89">
            <v>0</v>
          </cell>
          <cell r="R89">
            <v>0</v>
          </cell>
        </row>
        <row r="90">
          <cell r="C90" t="str">
            <v>bisagra aluminio exterior 3"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 t="str">
            <v>Unidad</v>
          </cell>
          <cell r="J90">
            <v>5750</v>
          </cell>
          <cell r="K90">
            <v>0</v>
          </cell>
          <cell r="L90">
            <v>918.06722689075627</v>
          </cell>
          <cell r="M90">
            <v>0</v>
          </cell>
          <cell r="N90">
            <v>4831.9327731092435</v>
          </cell>
          <cell r="O90">
            <v>0</v>
          </cell>
          <cell r="P90">
            <v>5750</v>
          </cell>
          <cell r="Q90">
            <v>0</v>
          </cell>
          <cell r="R90">
            <v>0</v>
          </cell>
        </row>
        <row r="91">
          <cell r="C91" t="str">
            <v>Disolvete thinner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 t="str">
            <v>Galón</v>
          </cell>
          <cell r="J91">
            <v>42000</v>
          </cell>
          <cell r="K91">
            <v>0</v>
          </cell>
          <cell r="L91">
            <v>6705.8823529411766</v>
          </cell>
          <cell r="M91">
            <v>0</v>
          </cell>
          <cell r="N91">
            <v>35294.117647058825</v>
          </cell>
          <cell r="O91">
            <v>0</v>
          </cell>
          <cell r="P91">
            <v>42000</v>
          </cell>
          <cell r="Q91">
            <v>0</v>
          </cell>
          <cell r="R91">
            <v>0</v>
          </cell>
        </row>
        <row r="92">
          <cell r="C92" t="str">
            <v>Grava 3/4" triturada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 t="str">
            <v>m3</v>
          </cell>
          <cell r="J92">
            <v>94837.05</v>
          </cell>
          <cell r="K92">
            <v>0</v>
          </cell>
          <cell r="L92">
            <v>15142.05</v>
          </cell>
          <cell r="M92">
            <v>0</v>
          </cell>
          <cell r="N92">
            <v>79695</v>
          </cell>
          <cell r="O92">
            <v>0</v>
          </cell>
          <cell r="P92">
            <v>94837.05</v>
          </cell>
          <cell r="Q92">
            <v>0</v>
          </cell>
          <cell r="R92">
            <v>0</v>
          </cell>
        </row>
        <row r="93">
          <cell r="C93" t="str">
            <v>Macromedidor tipo woltman Ø6"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 t="str">
            <v>Unidad</v>
          </cell>
          <cell r="J93">
            <v>4165000</v>
          </cell>
          <cell r="K93">
            <v>0</v>
          </cell>
          <cell r="L93">
            <v>665000</v>
          </cell>
          <cell r="M93">
            <v>0</v>
          </cell>
          <cell r="N93">
            <v>3500000</v>
          </cell>
          <cell r="O93">
            <v>0</v>
          </cell>
          <cell r="P93">
            <v>4165000</v>
          </cell>
          <cell r="Q93">
            <v>0</v>
          </cell>
          <cell r="R93">
            <v>0</v>
          </cell>
        </row>
        <row r="94">
          <cell r="C94" t="str">
            <v>Transporte cantera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 t="str">
            <v>Km</v>
          </cell>
          <cell r="J94">
            <v>1614.1585075676642</v>
          </cell>
          <cell r="K94">
            <v>0</v>
          </cell>
          <cell r="L94">
            <v>257.72278692256822</v>
          </cell>
          <cell r="M94">
            <v>0</v>
          </cell>
          <cell r="N94">
            <v>1356.4357206450959</v>
          </cell>
          <cell r="O94">
            <v>0</v>
          </cell>
          <cell r="P94">
            <v>1614.1585075676642</v>
          </cell>
          <cell r="Q94">
            <v>0</v>
          </cell>
          <cell r="R94">
            <v>0</v>
          </cell>
        </row>
        <row r="95">
          <cell r="C95" t="str">
            <v>Disposición de material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 t="str">
            <v>m3</v>
          </cell>
          <cell r="J95">
            <v>1250</v>
          </cell>
          <cell r="K95">
            <v>0</v>
          </cell>
          <cell r="L95">
            <v>199.57983193277312</v>
          </cell>
          <cell r="M95">
            <v>0</v>
          </cell>
          <cell r="N95">
            <v>1050.420168067227</v>
          </cell>
          <cell r="O95">
            <v>0</v>
          </cell>
          <cell r="P95">
            <v>1250</v>
          </cell>
          <cell r="Q95">
            <v>0</v>
          </cell>
          <cell r="R95">
            <v>0</v>
          </cell>
        </row>
        <row r="96">
          <cell r="C96" t="str">
            <v>Paso para escalera de gato en varilla PRD-60 de 3/4" recubierta con material de polipropileno de alto impacto antideslizante con anclaje dentado, refuerzo, y tranca pie. Longitud 0,30 m para soporte de pie y dos ancles de 0,30 m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 t="str">
            <v>Unidad</v>
          </cell>
          <cell r="J96">
            <v>78000</v>
          </cell>
          <cell r="K96">
            <v>0</v>
          </cell>
          <cell r="L96">
            <v>12453.781512605043</v>
          </cell>
          <cell r="M96">
            <v>0</v>
          </cell>
          <cell r="N96">
            <v>65546.218487394959</v>
          </cell>
          <cell r="O96">
            <v>0</v>
          </cell>
          <cell r="P96">
            <v>78000</v>
          </cell>
          <cell r="Q96">
            <v>0</v>
          </cell>
          <cell r="R96">
            <v>2.5499999999999998</v>
          </cell>
        </row>
        <row r="97">
          <cell r="C97" t="str">
            <v>Localización y replanteo de estructuras de acueductos (No incluye equipo de topografía)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 t="str">
            <v>m2</v>
          </cell>
          <cell r="J97">
            <v>4179.0546314993753</v>
          </cell>
          <cell r="K97">
            <v>0</v>
          </cell>
          <cell r="L97">
            <v>667.24401679401797</v>
          </cell>
          <cell r="M97">
            <v>0</v>
          </cell>
          <cell r="N97">
            <v>3511.8106147053577</v>
          </cell>
          <cell r="O97">
            <v>0</v>
          </cell>
          <cell r="P97">
            <v>4179.0546314993753</v>
          </cell>
          <cell r="Q97">
            <v>0</v>
          </cell>
          <cell r="R97">
            <v>0.17269999999999999</v>
          </cell>
        </row>
        <row r="98">
          <cell r="C98" t="str">
            <v>Excavación manual en material común (Incluye mano de obra, equipos y materiales)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 t="str">
            <v>m3</v>
          </cell>
          <cell r="J98">
            <v>40054.959750000002</v>
          </cell>
          <cell r="K98">
            <v>0</v>
          </cell>
          <cell r="L98">
            <v>6395.3297079831946</v>
          </cell>
          <cell r="M98">
            <v>0</v>
          </cell>
          <cell r="N98">
            <v>33659.630042016812</v>
          </cell>
          <cell r="O98">
            <v>0</v>
          </cell>
          <cell r="P98">
            <v>40054.959750000002</v>
          </cell>
          <cell r="Q98">
            <v>0</v>
          </cell>
          <cell r="R98">
            <v>0</v>
          </cell>
        </row>
        <row r="99">
          <cell r="C99" t="str">
            <v>Relleno tipo II: Con recebo seleccionado, compactado en capas de 20 cm, proctor modificado 95%, a todo factor (incluye recebo, equipos, herramientas, transporte y mano de obra)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 t="str">
            <v>m3</v>
          </cell>
          <cell r="J99">
            <v>172063.56540879988</v>
          </cell>
          <cell r="K99">
            <v>0</v>
          </cell>
          <cell r="L99">
            <v>27472.333972833596</v>
          </cell>
          <cell r="M99">
            <v>0</v>
          </cell>
          <cell r="N99">
            <v>144591.2314359663</v>
          </cell>
          <cell r="O99">
            <v>0</v>
          </cell>
          <cell r="P99">
            <v>172063.56540879988</v>
          </cell>
          <cell r="Q99">
            <v>0</v>
          </cell>
          <cell r="R99">
            <v>1650</v>
          </cell>
        </row>
        <row r="100">
          <cell r="C100" t="str">
            <v>Relleno con material seleccionado de la excavación, compactado con equipo mecánico en capas de 0,20 m (Incluye equipo, herramienta menor y mano de obra)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 t="str">
            <v>m3</v>
          </cell>
          <cell r="J100">
            <v>21130.050041477272</v>
          </cell>
          <cell r="K100">
            <v>0</v>
          </cell>
          <cell r="L100">
            <v>3373.7054688072963</v>
          </cell>
          <cell r="M100">
            <v>0</v>
          </cell>
          <cell r="N100">
            <v>17756.344572669979</v>
          </cell>
          <cell r="O100">
            <v>0</v>
          </cell>
          <cell r="P100">
            <v>21130.050041477272</v>
          </cell>
          <cell r="Q100">
            <v>0</v>
          </cell>
          <cell r="R100">
            <v>0</v>
          </cell>
        </row>
        <row r="101">
          <cell r="C101" t="str">
            <v>Concreto para solado de 2000 PSI a todo costo (140 Kg/cm2)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 t="str">
            <v>m3</v>
          </cell>
          <cell r="J101">
            <v>538807.9926649665</v>
          </cell>
          <cell r="K101">
            <v>0</v>
          </cell>
          <cell r="L101">
            <v>86028.166896087088</v>
          </cell>
          <cell r="M101">
            <v>0</v>
          </cell>
          <cell r="N101">
            <v>452779.82576887944</v>
          </cell>
          <cell r="O101">
            <v>0</v>
          </cell>
          <cell r="P101">
            <v>538807.9926649665</v>
          </cell>
          <cell r="Q101">
            <v>0</v>
          </cell>
          <cell r="R101">
            <v>2538.8000000000002</v>
          </cell>
        </row>
        <row r="102">
          <cell r="C102" t="str">
            <v>Suministro figurado y armado de acero de refuerzo 60000 PSI (Incluye desperdicio del 5%)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 t="str">
            <v>Kg</v>
          </cell>
          <cell r="J102">
            <v>8138.9634760850004</v>
          </cell>
          <cell r="K102">
            <v>0</v>
          </cell>
          <cell r="L102">
            <v>1299.4983701312185</v>
          </cell>
          <cell r="M102">
            <v>0</v>
          </cell>
          <cell r="N102">
            <v>6839.4651059537819</v>
          </cell>
          <cell r="O102">
            <v>0</v>
          </cell>
          <cell r="P102">
            <v>8138.9634760850004</v>
          </cell>
          <cell r="Q102">
            <v>0</v>
          </cell>
          <cell r="R102">
            <v>0</v>
          </cell>
        </row>
        <row r="103">
          <cell r="C103" t="str">
            <v>Concreto para tapa de 4000 PSI impermeabilizado a todo costo (280 Kg/cm2)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 t="str">
            <v>m3</v>
          </cell>
          <cell r="J103">
            <v>1290534.8722057894</v>
          </cell>
          <cell r="K103">
            <v>0</v>
          </cell>
          <cell r="L103">
            <v>206051.78631857145</v>
          </cell>
          <cell r="M103">
            <v>0</v>
          </cell>
          <cell r="N103">
            <v>1084483.0858872181</v>
          </cell>
          <cell r="O103">
            <v>0</v>
          </cell>
          <cell r="P103">
            <v>1290534.8722057894</v>
          </cell>
          <cell r="Q103">
            <v>0</v>
          </cell>
          <cell r="R103">
            <v>7444.92</v>
          </cell>
        </row>
        <row r="104">
          <cell r="C104" t="str">
            <v>Concreto para muros de 4000 PSI impermeabilizado a todo costo (280 Kg/cm2)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 t="str">
            <v>m3</v>
          </cell>
          <cell r="J104">
            <v>1566652.7002057894</v>
          </cell>
          <cell r="K104">
            <v>0</v>
          </cell>
          <cell r="L104">
            <v>250137.82608327729</v>
          </cell>
          <cell r="M104">
            <v>0</v>
          </cell>
          <cell r="N104">
            <v>1316514.8741225121</v>
          </cell>
          <cell r="O104">
            <v>0</v>
          </cell>
          <cell r="P104">
            <v>1566652.7002057894</v>
          </cell>
          <cell r="Q104">
            <v>0</v>
          </cell>
          <cell r="R104">
            <v>2777.03</v>
          </cell>
        </row>
        <row r="105">
          <cell r="C105" t="str">
            <v>Concreto para piso de 4000 PSI impermeabilizado a todo costo (280 Kg/cm2)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 t="str">
            <v>m3</v>
          </cell>
          <cell r="J105">
            <v>747338.45129496662</v>
          </cell>
          <cell r="K105">
            <v>0</v>
          </cell>
          <cell r="L105">
            <v>119322.9460050787</v>
          </cell>
          <cell r="M105">
            <v>0</v>
          </cell>
          <cell r="N105">
            <v>628015.50528988789</v>
          </cell>
          <cell r="O105">
            <v>0</v>
          </cell>
          <cell r="P105">
            <v>747338.45129496662</v>
          </cell>
          <cell r="Q105">
            <v>0</v>
          </cell>
          <cell r="R105">
            <v>2735.9</v>
          </cell>
        </row>
        <row r="106">
          <cell r="C106" t="str">
            <v xml:space="preserve">Suministro e instalacion pasos para escalera de gato en varilla PRD-60 de 3/4" antideslizante con anclaje dentado, refuerzo, y tranca pie. L=0,30 m AN= 0,30 (Incluye materiales, equipos y mano de obra) 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 t="str">
            <v>Unidad</v>
          </cell>
          <cell r="J106">
            <v>97673.85</v>
          </cell>
          <cell r="K106">
            <v>0</v>
          </cell>
          <cell r="L106">
            <v>15594.984453781515</v>
          </cell>
          <cell r="M106">
            <v>0</v>
          </cell>
          <cell r="N106">
            <v>82078.865546218498</v>
          </cell>
          <cell r="O106">
            <v>0</v>
          </cell>
          <cell r="P106">
            <v>97673.85</v>
          </cell>
          <cell r="Q106">
            <v>0</v>
          </cell>
          <cell r="R106">
            <v>0</v>
          </cell>
        </row>
        <row r="107">
          <cell r="C107" t="str">
            <v>Suministro e instalación de tapa y aro de seguridad para pozos de inspección ASTM-536 con resistencia D400 (Incluye materiales, herramientas y mano de obra)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 t="str">
            <v>Unidad</v>
          </cell>
          <cell r="J107">
            <v>833487.79</v>
          </cell>
          <cell r="K107">
            <v>0</v>
          </cell>
          <cell r="L107">
            <v>133077.88243697479</v>
          </cell>
          <cell r="M107">
            <v>0</v>
          </cell>
          <cell r="N107">
            <v>700409.90756302525</v>
          </cell>
          <cell r="O107">
            <v>0</v>
          </cell>
          <cell r="P107">
            <v>833487.79</v>
          </cell>
          <cell r="Q107">
            <v>0</v>
          </cell>
          <cell r="R107">
            <v>0</v>
          </cell>
        </row>
        <row r="108">
          <cell r="C108" t="str">
            <v>Suministro e instalación de niple pasamuro EBxEB de Ø3" L=0,87 m en hierro ductil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 t="str">
            <v>Unidad</v>
          </cell>
          <cell r="J108">
            <v>433850.75</v>
          </cell>
          <cell r="K108">
            <v>0</v>
          </cell>
          <cell r="L108">
            <v>69270.287815126052</v>
          </cell>
          <cell r="M108">
            <v>0</v>
          </cell>
          <cell r="N108">
            <v>364580.46218487399</v>
          </cell>
          <cell r="O108">
            <v>0</v>
          </cell>
          <cell r="P108">
            <v>433850.75</v>
          </cell>
          <cell r="Q108">
            <v>0</v>
          </cell>
          <cell r="R108">
            <v>0</v>
          </cell>
        </row>
        <row r="109">
          <cell r="C109" t="str">
            <v>Suministro e instalación de niple EBxEB de Ø3" L=0,15 m en hierro ductil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 t="str">
            <v>Unidad</v>
          </cell>
          <cell r="J109">
            <v>115563.09</v>
          </cell>
          <cell r="K109">
            <v>0</v>
          </cell>
          <cell r="L109">
            <v>18451.249663865547</v>
          </cell>
          <cell r="M109">
            <v>0</v>
          </cell>
          <cell r="N109">
            <v>97111.840336134454</v>
          </cell>
          <cell r="O109">
            <v>0</v>
          </cell>
          <cell r="P109">
            <v>115563.09</v>
          </cell>
          <cell r="Q109">
            <v>0</v>
          </cell>
          <cell r="R109">
            <v>0</v>
          </cell>
        </row>
        <row r="110">
          <cell r="C110" t="str">
            <v>Suministro e instalación de tee Ø4" en hierro ductil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 t="str">
            <v>Unidad</v>
          </cell>
          <cell r="J110">
            <v>751797.32</v>
          </cell>
          <cell r="K110">
            <v>0</v>
          </cell>
          <cell r="L110">
            <v>120034.86621848738</v>
          </cell>
          <cell r="M110">
            <v>0</v>
          </cell>
          <cell r="N110">
            <v>631762.45378151257</v>
          </cell>
          <cell r="O110">
            <v>0</v>
          </cell>
          <cell r="P110">
            <v>751797.32</v>
          </cell>
          <cell r="Q110">
            <v>0</v>
          </cell>
          <cell r="R110">
            <v>0</v>
          </cell>
        </row>
        <row r="111">
          <cell r="C111" t="str">
            <v>Excavación manual en conglomerado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 t="str">
            <v>m3</v>
          </cell>
          <cell r="J111">
            <v>66758.266250000001</v>
          </cell>
          <cell r="K111">
            <v>0</v>
          </cell>
          <cell r="L111">
            <v>10658.882846638657</v>
          </cell>
          <cell r="M111">
            <v>0</v>
          </cell>
          <cell r="N111">
            <v>56099.383403361346</v>
          </cell>
          <cell r="O111">
            <v>0</v>
          </cell>
          <cell r="P111">
            <v>66758.266250000001</v>
          </cell>
          <cell r="Q111">
            <v>0</v>
          </cell>
          <cell r="R111">
            <v>0</v>
          </cell>
        </row>
        <row r="112">
          <cell r="C112" t="str">
            <v>Disposición de material proveniente de excavación (Incluye transporte)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 t="str">
            <v>m3</v>
          </cell>
          <cell r="J112">
            <v>4631.07</v>
          </cell>
          <cell r="K112">
            <v>0</v>
          </cell>
          <cell r="L112">
            <v>739.4145378151261</v>
          </cell>
          <cell r="M112">
            <v>0</v>
          </cell>
          <cell r="N112">
            <v>3891.6554621848741</v>
          </cell>
          <cell r="O112">
            <v>0</v>
          </cell>
          <cell r="P112">
            <v>4631.07</v>
          </cell>
          <cell r="Q112">
            <v>0</v>
          </cell>
          <cell r="R112">
            <v>0</v>
          </cell>
        </row>
        <row r="113">
          <cell r="C113" t="str">
            <v>Concreto de 4000 PSI impermeabilizado (No incluye formaleta)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 t="str">
            <v>m3</v>
          </cell>
          <cell r="J113">
            <v>604632.31000000006</v>
          </cell>
          <cell r="K113">
            <v>0</v>
          </cell>
          <cell r="L113">
            <v>96537.931848739507</v>
          </cell>
          <cell r="M113">
            <v>0</v>
          </cell>
          <cell r="N113">
            <v>508094.37815126055</v>
          </cell>
          <cell r="O113">
            <v>0</v>
          </cell>
          <cell r="P113">
            <v>604632.31000000006</v>
          </cell>
          <cell r="Q113">
            <v>0</v>
          </cell>
          <cell r="R113">
            <v>0</v>
          </cell>
        </row>
        <row r="114">
          <cell r="C114" t="str">
            <v>Formaleta metálica para estructura hidráulica (Incluye materiales, herramientas y mano de obra)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 t="str">
            <v>m2</v>
          </cell>
          <cell r="J114">
            <v>95108.67</v>
          </cell>
          <cell r="K114">
            <v>0</v>
          </cell>
          <cell r="L114">
            <v>15185.417899159665</v>
          </cell>
          <cell r="M114">
            <v>0</v>
          </cell>
          <cell r="N114">
            <v>79923.252100840342</v>
          </cell>
          <cell r="O114">
            <v>0</v>
          </cell>
          <cell r="P114">
            <v>95108.67</v>
          </cell>
          <cell r="Q114">
            <v>0</v>
          </cell>
          <cell r="R114">
            <v>41.1</v>
          </cell>
        </row>
        <row r="115">
          <cell r="C115" t="str">
            <v>Suministro de tubería novafort 6" para alcantarillado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 t="str">
            <v>ml</v>
          </cell>
          <cell r="J115">
            <v>26984</v>
          </cell>
          <cell r="K115">
            <v>0</v>
          </cell>
          <cell r="L115">
            <v>4308.3697478991598</v>
          </cell>
          <cell r="M115">
            <v>0</v>
          </cell>
          <cell r="N115">
            <v>22675.63025210084</v>
          </cell>
          <cell r="O115">
            <v>0</v>
          </cell>
          <cell r="P115">
            <v>26984</v>
          </cell>
          <cell r="Q115">
            <v>0</v>
          </cell>
          <cell r="R115">
            <v>0</v>
          </cell>
        </row>
        <row r="116">
          <cell r="C116" t="str">
            <v>Suministro e instalación de tubería novafort 6" para alcantarillado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 t="str">
            <v>ml</v>
          </cell>
          <cell r="J116">
            <v>34682.21</v>
          </cell>
          <cell r="K116">
            <v>0</v>
          </cell>
          <cell r="L116">
            <v>5537.4957142857147</v>
          </cell>
          <cell r="M116">
            <v>0</v>
          </cell>
          <cell r="N116">
            <v>29144.714285714286</v>
          </cell>
          <cell r="O116">
            <v>0</v>
          </cell>
          <cell r="P116">
            <v>34682.21</v>
          </cell>
          <cell r="Q116">
            <v>0</v>
          </cell>
          <cell r="R116">
            <v>0</v>
          </cell>
        </row>
        <row r="117">
          <cell r="C117" t="str">
            <v>Localización y replanteo de estructuras de acueductos (Incluye equipo de topografía)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 t="str">
            <v>m2</v>
          </cell>
          <cell r="J117">
            <v>5923.68</v>
          </cell>
          <cell r="K117">
            <v>0</v>
          </cell>
          <cell r="L117">
            <v>945.7976470588236</v>
          </cell>
          <cell r="M117">
            <v>0</v>
          </cell>
          <cell r="N117">
            <v>4977.8823529411766</v>
          </cell>
          <cell r="O117">
            <v>0</v>
          </cell>
          <cell r="P117">
            <v>5923.68</v>
          </cell>
          <cell r="Q117">
            <v>0</v>
          </cell>
          <cell r="R117">
            <v>0</v>
          </cell>
        </row>
        <row r="118">
          <cell r="C118" t="str">
            <v>Acero de anclaje para estructuras de viaducto A36 (Incluye materiales, herramienta menor y mano de obra)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 t="str">
            <v>Kg</v>
          </cell>
          <cell r="J118">
            <v>24299.4</v>
          </cell>
          <cell r="K118">
            <v>0</v>
          </cell>
          <cell r="L118">
            <v>3879.7361344537817</v>
          </cell>
          <cell r="M118">
            <v>0</v>
          </cell>
          <cell r="N118">
            <v>20419.663865546219</v>
          </cell>
          <cell r="O118">
            <v>0</v>
          </cell>
          <cell r="P118">
            <v>24299.4</v>
          </cell>
          <cell r="Q118">
            <v>0</v>
          </cell>
          <cell r="R118">
            <v>0</v>
          </cell>
        </row>
        <row r="119">
          <cell r="C119" t="str">
            <v>Concreto de anclaje para estructuras de viaducto 4000 PSI impermeabilizado (Incluye materiales, herramienta menor y mano de obra)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 t="str">
            <v>m3</v>
          </cell>
          <cell r="J119">
            <v>621070.9</v>
          </cell>
          <cell r="K119">
            <v>0</v>
          </cell>
          <cell r="L119">
            <v>99162.580672268916</v>
          </cell>
          <cell r="M119">
            <v>0</v>
          </cell>
          <cell r="N119">
            <v>521908.31932773115</v>
          </cell>
          <cell r="O119">
            <v>0</v>
          </cell>
          <cell r="P119">
            <v>621070.9</v>
          </cell>
          <cell r="Q119">
            <v>0</v>
          </cell>
          <cell r="R119">
            <v>0</v>
          </cell>
        </row>
        <row r="120">
          <cell r="C120" t="str">
            <v>Acero de cercha A36 para estructuras de viaducto (Incluye materiales, herramienta menor y mano de obra)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 t="str">
            <v>Kg</v>
          </cell>
          <cell r="J120">
            <v>6229.51</v>
          </cell>
          <cell r="K120">
            <v>0</v>
          </cell>
          <cell r="L120">
            <v>994.62764705882353</v>
          </cell>
          <cell r="M120">
            <v>0</v>
          </cell>
          <cell r="N120">
            <v>5234.8823529411766</v>
          </cell>
          <cell r="O120">
            <v>0</v>
          </cell>
          <cell r="P120">
            <v>6229.51</v>
          </cell>
          <cell r="Q120">
            <v>0</v>
          </cell>
          <cell r="R120">
            <v>0</v>
          </cell>
        </row>
        <row r="121">
          <cell r="C121" t="str">
            <v>Suministro y aplicación de pintura epóxica para recubrimiento de tuberías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 t="str">
            <v>m2</v>
          </cell>
          <cell r="J121">
            <v>28126.05</v>
          </cell>
          <cell r="K121">
            <v>0</v>
          </cell>
          <cell r="L121">
            <v>4490.7138655462186</v>
          </cell>
          <cell r="M121">
            <v>0</v>
          </cell>
          <cell r="N121">
            <v>23635.336134453781</v>
          </cell>
          <cell r="O121">
            <v>0</v>
          </cell>
          <cell r="P121">
            <v>28126.05</v>
          </cell>
          <cell r="Q121">
            <v>0</v>
          </cell>
          <cell r="R121">
            <v>0</v>
          </cell>
        </row>
        <row r="122">
          <cell r="C122" t="str">
            <v>Pernos para estructuras metálicas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 t="str">
            <v>Unidad</v>
          </cell>
          <cell r="J122">
            <v>31952</v>
          </cell>
          <cell r="K122">
            <v>0</v>
          </cell>
          <cell r="L122">
            <v>5101.5798319327732</v>
          </cell>
          <cell r="M122">
            <v>0</v>
          </cell>
          <cell r="N122">
            <v>26850.420168067227</v>
          </cell>
          <cell r="O122">
            <v>0</v>
          </cell>
          <cell r="P122">
            <v>31952</v>
          </cell>
          <cell r="Q122">
            <v>0</v>
          </cell>
          <cell r="R122">
            <v>0</v>
          </cell>
        </row>
        <row r="123">
          <cell r="C123" t="str">
            <v>Neopreno 35cm x 45cm x 5cm dureza 60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 t="str">
            <v>Unidad</v>
          </cell>
          <cell r="J123">
            <v>630509</v>
          </cell>
          <cell r="K123">
            <v>0</v>
          </cell>
          <cell r="L123">
            <v>100669.50420168068</v>
          </cell>
          <cell r="M123">
            <v>0</v>
          </cell>
          <cell r="N123">
            <v>529839.49579831935</v>
          </cell>
          <cell r="O123">
            <v>0</v>
          </cell>
          <cell r="P123">
            <v>630509</v>
          </cell>
          <cell r="Q123">
            <v>0</v>
          </cell>
          <cell r="R123">
            <v>0</v>
          </cell>
        </row>
        <row r="124">
          <cell r="C124" t="str">
            <v>Suministro e instalación de unión de desmontaje Ø3" en hierro ductil (Incluye materiales, herramientas y mano de obra)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 t="str">
            <v>Unidad</v>
          </cell>
          <cell r="J124">
            <v>614911.42000000004</v>
          </cell>
          <cell r="K124">
            <v>0</v>
          </cell>
          <cell r="L124">
            <v>98179.134285714303</v>
          </cell>
          <cell r="M124">
            <v>0</v>
          </cell>
          <cell r="N124">
            <v>516732.2857142858</v>
          </cell>
          <cell r="O124">
            <v>0</v>
          </cell>
          <cell r="P124">
            <v>614911.42000000004</v>
          </cell>
          <cell r="Q124">
            <v>0</v>
          </cell>
          <cell r="R124">
            <v>0</v>
          </cell>
        </row>
        <row r="125">
          <cell r="C125" t="str">
            <v>Suministro e instalación de niple pasamuro EBxEB de Ø3" L=0,73m en hierro ductil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 t="str">
            <v>Unidad</v>
          </cell>
          <cell r="J125">
            <v>376295.84</v>
          </cell>
          <cell r="K125">
            <v>0</v>
          </cell>
          <cell r="L125">
            <v>60080.848403361349</v>
          </cell>
          <cell r="M125">
            <v>0</v>
          </cell>
          <cell r="N125">
            <v>316214.99159663869</v>
          </cell>
          <cell r="O125">
            <v>0</v>
          </cell>
          <cell r="P125">
            <v>376295.84</v>
          </cell>
          <cell r="Q125">
            <v>0</v>
          </cell>
          <cell r="R125">
            <v>0</v>
          </cell>
        </row>
        <row r="126">
          <cell r="C126" t="str">
            <v>Cinta para junta de construcción SIKA WATERBAR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 t="str">
            <v>ml</v>
          </cell>
          <cell r="J126">
            <v>108290</v>
          </cell>
          <cell r="K126">
            <v>0</v>
          </cell>
          <cell r="L126">
            <v>17290</v>
          </cell>
          <cell r="M126">
            <v>0</v>
          </cell>
          <cell r="N126">
            <v>91000</v>
          </cell>
          <cell r="O126">
            <v>0</v>
          </cell>
          <cell r="P126">
            <v>108290</v>
          </cell>
          <cell r="Q126">
            <v>0</v>
          </cell>
          <cell r="R126">
            <v>0</v>
          </cell>
        </row>
        <row r="127">
          <cell r="C127" t="str">
            <v>Formaleta en madera para estructura hidráulica (Incluye materiales, herramientas y mano de obra)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 t="str">
            <v>m2</v>
          </cell>
          <cell r="J127">
            <v>13187.36</v>
          </cell>
          <cell r="K127">
            <v>0</v>
          </cell>
          <cell r="L127">
            <v>2105.5448739495801</v>
          </cell>
          <cell r="M127">
            <v>0</v>
          </cell>
          <cell r="N127">
            <v>11081.815126050422</v>
          </cell>
          <cell r="O127">
            <v>0</v>
          </cell>
          <cell r="P127">
            <v>13187.36</v>
          </cell>
          <cell r="Q127">
            <v>0</v>
          </cell>
          <cell r="R127">
            <v>0</v>
          </cell>
        </row>
        <row r="128">
          <cell r="C128" t="str">
            <v>Suministro e instalacion de unión universal Ø3" en hierro ductil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 t="str">
            <v>Unidad</v>
          </cell>
          <cell r="J128">
            <v>172078.17</v>
          </cell>
          <cell r="K128">
            <v>0</v>
          </cell>
          <cell r="L128">
            <v>27474.665798319329</v>
          </cell>
          <cell r="M128">
            <v>0</v>
          </cell>
          <cell r="N128">
            <v>144603.50420168068</v>
          </cell>
          <cell r="O128">
            <v>0</v>
          </cell>
          <cell r="P128">
            <v>172078.17</v>
          </cell>
          <cell r="Q128">
            <v>0</v>
          </cell>
          <cell r="R128">
            <v>0</v>
          </cell>
        </row>
        <row r="129">
          <cell r="C129" t="str">
            <v>Relleno con material seleccionado de la excavación, compactado con equipo mecánico en capas de 0,20 m (Incluye equipo, herramienta menor y mano de obra)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 t="str">
            <v>m3</v>
          </cell>
          <cell r="J129">
            <v>18218.939999999999</v>
          </cell>
          <cell r="K129">
            <v>0</v>
          </cell>
          <cell r="L129">
            <v>2908.9063865546218</v>
          </cell>
          <cell r="M129">
            <v>0</v>
          </cell>
          <cell r="N129">
            <v>15310.033613445377</v>
          </cell>
          <cell r="O129">
            <v>0</v>
          </cell>
          <cell r="P129">
            <v>18218.939999999999</v>
          </cell>
          <cell r="Q129">
            <v>0</v>
          </cell>
          <cell r="R129">
            <v>0</v>
          </cell>
        </row>
        <row r="130">
          <cell r="C130" t="str">
            <v>Suministro e instalación de unión de desmontaje Ø4" en hierro ductil (Incluye materiales, herramientas y mano de obra)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 t="str">
            <v>Unidad</v>
          </cell>
          <cell r="J130">
            <v>807061.42</v>
          </cell>
          <cell r="K130">
            <v>0</v>
          </cell>
          <cell r="L130">
            <v>128858.54605042018</v>
          </cell>
          <cell r="M130">
            <v>0</v>
          </cell>
          <cell r="N130">
            <v>678202.87394957989</v>
          </cell>
          <cell r="O130">
            <v>0</v>
          </cell>
          <cell r="P130">
            <v>807061.42</v>
          </cell>
          <cell r="Q130">
            <v>0</v>
          </cell>
          <cell r="R130">
            <v>0</v>
          </cell>
        </row>
        <row r="131">
          <cell r="C131" t="str">
            <v>Suministro e instalación de niple pasamuro EBxEB de Ø4" L=0,31 m en hierro ductil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 t="str">
            <v>Unidad</v>
          </cell>
          <cell r="J131">
            <v>232428.09</v>
          </cell>
          <cell r="K131">
            <v>0</v>
          </cell>
          <cell r="L131">
            <v>37110.367310924368</v>
          </cell>
          <cell r="M131">
            <v>0</v>
          </cell>
          <cell r="N131">
            <v>195317.72268907563</v>
          </cell>
          <cell r="O131">
            <v>0</v>
          </cell>
          <cell r="P131">
            <v>232428.09</v>
          </cell>
          <cell r="Q131">
            <v>0</v>
          </cell>
          <cell r="R131">
            <v>0</v>
          </cell>
        </row>
        <row r="132">
          <cell r="C132" t="str">
            <v>Suministro e instalación de niple pasamuro EBxEB de Ø4" L=0,40 m en hierro ductil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 t="str">
            <v>Unidad</v>
          </cell>
          <cell r="J132">
            <v>277788.09000000003</v>
          </cell>
          <cell r="K132">
            <v>0</v>
          </cell>
          <cell r="L132">
            <v>44352.720252100844</v>
          </cell>
          <cell r="M132">
            <v>0</v>
          </cell>
          <cell r="N132">
            <v>233435.36974789918</v>
          </cell>
          <cell r="O132">
            <v>0</v>
          </cell>
          <cell r="P132">
            <v>277788.09000000003</v>
          </cell>
          <cell r="Q132">
            <v>0</v>
          </cell>
          <cell r="R132">
            <v>0</v>
          </cell>
        </row>
        <row r="133">
          <cell r="C133" t="str">
            <v>Suministro e instalación de niple EBxEB de Ø4" L=0,15 m en hierro ductil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 t="str">
            <v>Unidad</v>
          </cell>
          <cell r="J133">
            <v>119939.63</v>
          </cell>
          <cell r="K133">
            <v>0</v>
          </cell>
          <cell r="L133">
            <v>19150.024957983194</v>
          </cell>
          <cell r="M133">
            <v>0</v>
          </cell>
          <cell r="N133">
            <v>100789.60504201682</v>
          </cell>
          <cell r="O133">
            <v>0</v>
          </cell>
          <cell r="P133">
            <v>119939.63</v>
          </cell>
          <cell r="Q133">
            <v>0</v>
          </cell>
          <cell r="R133">
            <v>0</v>
          </cell>
        </row>
        <row r="134">
          <cell r="C134" t="str">
            <v>Suministro e instalación de válvula de compuerta con volante de Ø4" y hierro ductil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 t="str">
            <v>Unidad</v>
          </cell>
          <cell r="J134">
            <v>1259584.1299999999</v>
          </cell>
          <cell r="K134">
            <v>0</v>
          </cell>
          <cell r="L134">
            <v>201110.07117647058</v>
          </cell>
          <cell r="M134">
            <v>0</v>
          </cell>
          <cell r="N134">
            <v>1058474.0588235294</v>
          </cell>
          <cell r="O134">
            <v>0</v>
          </cell>
          <cell r="P134">
            <v>1259584.1299999999</v>
          </cell>
          <cell r="Q134">
            <v>0</v>
          </cell>
          <cell r="R134">
            <v>0</v>
          </cell>
        </row>
        <row r="135">
          <cell r="C135" t="str">
            <v>Suministro e instalacion de apoyo en neopreno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 t="str">
            <v>Unidad</v>
          </cell>
          <cell r="J135">
            <v>227330</v>
          </cell>
          <cell r="K135">
            <v>0</v>
          </cell>
          <cell r="L135">
            <v>36296.386554621851</v>
          </cell>
          <cell r="M135">
            <v>0</v>
          </cell>
          <cell r="N135">
            <v>191033.61344537817</v>
          </cell>
          <cell r="O135">
            <v>0</v>
          </cell>
          <cell r="P135">
            <v>227330</v>
          </cell>
          <cell r="Q135">
            <v>0</v>
          </cell>
          <cell r="R135">
            <v>0</v>
          </cell>
        </row>
        <row r="136">
          <cell r="C136" t="str">
            <v>Construcción de cabezal de descarga de 4000 PSI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 t="str">
            <v>Unidad</v>
          </cell>
          <cell r="J136">
            <v>1233015.5604523122</v>
          </cell>
          <cell r="K136">
            <v>0</v>
          </cell>
          <cell r="L136">
            <v>196868.03066045322</v>
          </cell>
          <cell r="M136">
            <v>0</v>
          </cell>
          <cell r="N136">
            <v>1036147.5297918591</v>
          </cell>
          <cell r="O136">
            <v>0</v>
          </cell>
          <cell r="P136">
            <v>1233015.5604523122</v>
          </cell>
          <cell r="Q136">
            <v>0</v>
          </cell>
          <cell r="R136">
            <v>0</v>
          </cell>
        </row>
        <row r="137">
          <cell r="C137" t="str">
            <v>Abrazadora metálica de 4" doble oreja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 t="str">
            <v>Unidad</v>
          </cell>
          <cell r="J137">
            <v>12360</v>
          </cell>
          <cell r="K137">
            <v>0</v>
          </cell>
          <cell r="L137">
            <v>1973.4453781512607</v>
          </cell>
          <cell r="M137">
            <v>0</v>
          </cell>
          <cell r="N137">
            <v>10386.55462184874</v>
          </cell>
          <cell r="O137">
            <v>0</v>
          </cell>
          <cell r="P137">
            <v>12360</v>
          </cell>
          <cell r="Q137">
            <v>0</v>
          </cell>
          <cell r="R137">
            <v>0</v>
          </cell>
        </row>
        <row r="138">
          <cell r="C138" t="str">
            <v>Tornillos para abrazadera metálica x100 unidades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 t="str">
            <v>Unidad</v>
          </cell>
          <cell r="J138">
            <v>14900</v>
          </cell>
          <cell r="K138">
            <v>0</v>
          </cell>
          <cell r="L138">
            <v>2378.9915966386557</v>
          </cell>
          <cell r="M138">
            <v>0</v>
          </cell>
          <cell r="N138">
            <v>12521.008403361346</v>
          </cell>
          <cell r="O138">
            <v>0</v>
          </cell>
          <cell r="P138">
            <v>14900</v>
          </cell>
          <cell r="Q138">
            <v>0</v>
          </cell>
          <cell r="R138">
            <v>0</v>
          </cell>
        </row>
        <row r="139">
          <cell r="C139" t="str">
            <v>Soldadura E-7018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 t="str">
            <v>Kg</v>
          </cell>
          <cell r="J139">
            <v>24900</v>
          </cell>
          <cell r="K139">
            <v>0</v>
          </cell>
          <cell r="L139">
            <v>3975.6302521008406</v>
          </cell>
          <cell r="M139">
            <v>0</v>
          </cell>
          <cell r="N139">
            <v>20924.36974789916</v>
          </cell>
          <cell r="O139">
            <v>0</v>
          </cell>
          <cell r="P139">
            <v>24900</v>
          </cell>
          <cell r="Q139">
            <v>0</v>
          </cell>
          <cell r="R139">
            <v>0</v>
          </cell>
        </row>
        <row r="140">
          <cell r="C140" t="str">
            <v>Disco de corte para metal 4 1/2" de uso general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 t="str">
            <v>Unidad</v>
          </cell>
          <cell r="J140">
            <v>11900</v>
          </cell>
          <cell r="K140">
            <v>0</v>
          </cell>
          <cell r="L140">
            <v>1900</v>
          </cell>
          <cell r="M140">
            <v>0</v>
          </cell>
          <cell r="N140">
            <v>10000</v>
          </cell>
          <cell r="O140">
            <v>0</v>
          </cell>
          <cell r="P140">
            <v>11900</v>
          </cell>
          <cell r="Q140">
            <v>0</v>
          </cell>
          <cell r="R140">
            <v>0</v>
          </cell>
        </row>
        <row r="141">
          <cell r="C141" t="str">
            <v>Spray galvanizado en frío x 400ml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 t="str">
            <v>Unidad</v>
          </cell>
          <cell r="J141">
            <v>32900</v>
          </cell>
          <cell r="K141">
            <v>0</v>
          </cell>
          <cell r="L141">
            <v>5252.9411764705883</v>
          </cell>
          <cell r="M141">
            <v>0</v>
          </cell>
          <cell r="N141">
            <v>27647.058823529413</v>
          </cell>
          <cell r="O141">
            <v>0</v>
          </cell>
          <cell r="P141">
            <v>32900</v>
          </cell>
          <cell r="Q141">
            <v>0</v>
          </cell>
          <cell r="R141">
            <v>0</v>
          </cell>
        </row>
        <row r="142">
          <cell r="C142" t="str">
            <v>Soldadura por pieza de 20mm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 t="str">
            <v>Unidad</v>
          </cell>
          <cell r="J142">
            <v>24465.05</v>
          </cell>
          <cell r="K142">
            <v>0</v>
          </cell>
          <cell r="L142">
            <v>3906.1844537815127</v>
          </cell>
          <cell r="M142">
            <v>0</v>
          </cell>
          <cell r="N142">
            <v>20558.865546218487</v>
          </cell>
          <cell r="O142">
            <v>0</v>
          </cell>
          <cell r="P142">
            <v>24465.05</v>
          </cell>
          <cell r="Q142">
            <v>0</v>
          </cell>
          <cell r="R142">
            <v>0</v>
          </cell>
        </row>
        <row r="143">
          <cell r="C143" t="str">
            <v>Codo 11,25° de Ø2" con unión mecánica en hierro ductil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 t="str">
            <v>Unidad</v>
          </cell>
          <cell r="J143">
            <v>87000</v>
          </cell>
          <cell r="K143">
            <v>0</v>
          </cell>
          <cell r="L143">
            <v>13890.756302521007</v>
          </cell>
          <cell r="M143">
            <v>0</v>
          </cell>
          <cell r="N143">
            <v>73109.243697478989</v>
          </cell>
          <cell r="O143">
            <v>0</v>
          </cell>
          <cell r="P143">
            <v>87000</v>
          </cell>
          <cell r="Q143">
            <v>0</v>
          </cell>
          <cell r="R143">
            <v>0</v>
          </cell>
        </row>
        <row r="144">
          <cell r="C144" t="str">
            <v>Codo 11,25° de Ø3" con unión mecánica en hierro ductil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 t="str">
            <v>Unidad</v>
          </cell>
          <cell r="J144">
            <v>149000</v>
          </cell>
          <cell r="K144">
            <v>0</v>
          </cell>
          <cell r="L144">
            <v>23789.915966386558</v>
          </cell>
          <cell r="M144">
            <v>0</v>
          </cell>
          <cell r="N144">
            <v>125210.08403361346</v>
          </cell>
          <cell r="O144">
            <v>0</v>
          </cell>
          <cell r="P144">
            <v>149000</v>
          </cell>
          <cell r="Q144">
            <v>0</v>
          </cell>
          <cell r="R144">
            <v>0</v>
          </cell>
        </row>
        <row r="145">
          <cell r="C145" t="str">
            <v>Codo 11,25° de Ø4" con unión mecánica en hierro ductil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 t="str">
            <v>Unidad</v>
          </cell>
          <cell r="J145">
            <v>201000</v>
          </cell>
          <cell r="K145">
            <v>0</v>
          </cell>
          <cell r="L145">
            <v>32092.436974789915</v>
          </cell>
          <cell r="M145">
            <v>0</v>
          </cell>
          <cell r="N145">
            <v>168907.56302521008</v>
          </cell>
          <cell r="O145">
            <v>0</v>
          </cell>
          <cell r="P145">
            <v>201000</v>
          </cell>
          <cell r="Q145">
            <v>0</v>
          </cell>
          <cell r="R145">
            <v>0</v>
          </cell>
        </row>
        <row r="146">
          <cell r="C146" t="str">
            <v>Codo 22,5° de Ø2" con unión mecánica en hierro ductil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 t="str">
            <v>Unidad</v>
          </cell>
          <cell r="J146">
            <v>90000</v>
          </cell>
          <cell r="K146">
            <v>0</v>
          </cell>
          <cell r="L146">
            <v>14369.747899159665</v>
          </cell>
          <cell r="M146">
            <v>0</v>
          </cell>
          <cell r="N146">
            <v>75630.252100840342</v>
          </cell>
          <cell r="O146">
            <v>0</v>
          </cell>
          <cell r="P146">
            <v>90000</v>
          </cell>
          <cell r="Q146">
            <v>0</v>
          </cell>
          <cell r="R146">
            <v>0</v>
          </cell>
        </row>
        <row r="147">
          <cell r="C147" t="str">
            <v>Codo 22,5° de Ø3" con unión mecánica en hierro ductil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 t="str">
            <v>Unidad</v>
          </cell>
          <cell r="J147">
            <v>149000</v>
          </cell>
          <cell r="K147">
            <v>0</v>
          </cell>
          <cell r="L147">
            <v>23789.915966386558</v>
          </cell>
          <cell r="M147">
            <v>0</v>
          </cell>
          <cell r="N147">
            <v>125210.08403361346</v>
          </cell>
          <cell r="O147">
            <v>0</v>
          </cell>
          <cell r="P147">
            <v>149000</v>
          </cell>
          <cell r="Q147">
            <v>0</v>
          </cell>
          <cell r="R147">
            <v>0</v>
          </cell>
        </row>
        <row r="148">
          <cell r="C148" t="str">
            <v>Codo 22,5° de Ø4" con unión mecánica en hierro ductil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 t="str">
            <v>Unidad</v>
          </cell>
          <cell r="J148">
            <v>211000</v>
          </cell>
          <cell r="K148">
            <v>0</v>
          </cell>
          <cell r="L148">
            <v>33689.075630252104</v>
          </cell>
          <cell r="M148">
            <v>0</v>
          </cell>
          <cell r="N148">
            <v>177310.9243697479</v>
          </cell>
          <cell r="O148">
            <v>0</v>
          </cell>
          <cell r="P148">
            <v>211000</v>
          </cell>
          <cell r="Q148">
            <v>0</v>
          </cell>
          <cell r="R148">
            <v>0</v>
          </cell>
        </row>
        <row r="149">
          <cell r="C149" t="str">
            <v>Codo 45° de Ø2" con unión mecánica en hierro ductil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 t="str">
            <v>Unidad</v>
          </cell>
          <cell r="J149">
            <v>104000</v>
          </cell>
          <cell r="K149">
            <v>0</v>
          </cell>
          <cell r="L149">
            <v>16605.042016806725</v>
          </cell>
          <cell r="M149">
            <v>0</v>
          </cell>
          <cell r="N149">
            <v>87394.957983193279</v>
          </cell>
          <cell r="O149">
            <v>0</v>
          </cell>
          <cell r="P149">
            <v>104000</v>
          </cell>
          <cell r="Q149">
            <v>0</v>
          </cell>
          <cell r="R149">
            <v>0</v>
          </cell>
        </row>
        <row r="150">
          <cell r="C150" t="str">
            <v>Codo 45° de Ø3" con unión mecánica en hierro ductil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 t="str">
            <v>Unidad</v>
          </cell>
          <cell r="J150">
            <v>149000</v>
          </cell>
          <cell r="K150">
            <v>0</v>
          </cell>
          <cell r="L150">
            <v>23789.915966386558</v>
          </cell>
          <cell r="M150">
            <v>0</v>
          </cell>
          <cell r="N150">
            <v>125210.08403361346</v>
          </cell>
          <cell r="O150">
            <v>0</v>
          </cell>
          <cell r="P150">
            <v>149000</v>
          </cell>
          <cell r="Q150">
            <v>0</v>
          </cell>
          <cell r="R150">
            <v>0</v>
          </cell>
        </row>
        <row r="151">
          <cell r="C151" t="str">
            <v>Codo 45° de Ø4" con unión mecánica en hierro ductil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 t="str">
            <v>Unidad</v>
          </cell>
          <cell r="J151">
            <v>211000</v>
          </cell>
          <cell r="K151">
            <v>0</v>
          </cell>
          <cell r="L151">
            <v>33689.075630252104</v>
          </cell>
          <cell r="M151">
            <v>0</v>
          </cell>
          <cell r="N151">
            <v>177310.9243697479</v>
          </cell>
          <cell r="O151">
            <v>0</v>
          </cell>
          <cell r="P151">
            <v>211000</v>
          </cell>
          <cell r="Q151">
            <v>0</v>
          </cell>
          <cell r="R151">
            <v>0</v>
          </cell>
        </row>
        <row r="152">
          <cell r="C152" t="str">
            <v>Codo 90° de Ø2" con unión mecánica en hierro ductil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 t="str">
            <v>Unidad</v>
          </cell>
          <cell r="J152">
            <v>111000</v>
          </cell>
          <cell r="K152">
            <v>0</v>
          </cell>
          <cell r="L152">
            <v>17722.689075630253</v>
          </cell>
          <cell r="M152">
            <v>0</v>
          </cell>
          <cell r="N152">
            <v>93277.310924369755</v>
          </cell>
          <cell r="O152">
            <v>0</v>
          </cell>
          <cell r="P152">
            <v>111000</v>
          </cell>
          <cell r="Q152">
            <v>0</v>
          </cell>
          <cell r="R152">
            <v>0</v>
          </cell>
        </row>
        <row r="153">
          <cell r="C153" t="str">
            <v>Codo 90° de Ø3" con unión mecánica en hierro ductil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 t="str">
            <v>Unidad</v>
          </cell>
          <cell r="J153">
            <v>156000</v>
          </cell>
          <cell r="K153">
            <v>0</v>
          </cell>
          <cell r="L153">
            <v>24907.563025210085</v>
          </cell>
          <cell r="M153">
            <v>0</v>
          </cell>
          <cell r="N153">
            <v>131092.43697478992</v>
          </cell>
          <cell r="O153">
            <v>0</v>
          </cell>
          <cell r="P153">
            <v>156000</v>
          </cell>
          <cell r="Q153">
            <v>0</v>
          </cell>
          <cell r="R153">
            <v>0</v>
          </cell>
        </row>
        <row r="154">
          <cell r="C154" t="str">
            <v>Tee de Ø2x2" con unión mecánica en hierro ductil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 t="str">
            <v>Unidad</v>
          </cell>
          <cell r="J154">
            <v>127000</v>
          </cell>
          <cell r="K154">
            <v>0</v>
          </cell>
          <cell r="L154">
            <v>20277.310924369751</v>
          </cell>
          <cell r="M154">
            <v>0</v>
          </cell>
          <cell r="N154">
            <v>106722.68907563026</v>
          </cell>
          <cell r="O154">
            <v>0</v>
          </cell>
          <cell r="P154">
            <v>127000</v>
          </cell>
          <cell r="Q154">
            <v>0</v>
          </cell>
          <cell r="R154">
            <v>0</v>
          </cell>
        </row>
        <row r="155">
          <cell r="C155" t="str">
            <v>Tubo pead RDE 11 de Ø2" para válvula tipo chorote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 t="str">
            <v>ml</v>
          </cell>
          <cell r="J155">
            <v>33300</v>
          </cell>
          <cell r="K155">
            <v>0</v>
          </cell>
          <cell r="L155">
            <v>5316.8067226890762</v>
          </cell>
          <cell r="M155">
            <v>0</v>
          </cell>
          <cell r="N155">
            <v>27983.193277310926</v>
          </cell>
          <cell r="O155">
            <v>0</v>
          </cell>
          <cell r="P155">
            <v>33300</v>
          </cell>
          <cell r="Q155">
            <v>0</v>
          </cell>
          <cell r="R155">
            <v>0</v>
          </cell>
        </row>
        <row r="156">
          <cell r="C156" t="str">
            <v>Tubo pead RDE 11 de Ø3" para válvula tipo chorote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 t="str">
            <v>ml</v>
          </cell>
          <cell r="J156">
            <v>54966.67</v>
          </cell>
          <cell r="K156">
            <v>0</v>
          </cell>
          <cell r="L156">
            <v>8776.1910084033607</v>
          </cell>
          <cell r="M156">
            <v>0</v>
          </cell>
          <cell r="N156">
            <v>46190.478991596639</v>
          </cell>
          <cell r="O156">
            <v>0</v>
          </cell>
          <cell r="P156">
            <v>54966.67</v>
          </cell>
          <cell r="Q156">
            <v>0</v>
          </cell>
          <cell r="R156">
            <v>0</v>
          </cell>
        </row>
        <row r="157">
          <cell r="C157" t="str">
            <v>Tubo pead RDE 11 de Ø4" para válvula tipo chorote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 t="str">
            <v>ml</v>
          </cell>
          <cell r="J157">
            <v>66633.3</v>
          </cell>
          <cell r="K157">
            <v>0</v>
          </cell>
          <cell r="L157">
            <v>10638.930252100841</v>
          </cell>
          <cell r="M157">
            <v>0</v>
          </cell>
          <cell r="N157">
            <v>55994.369747899167</v>
          </cell>
          <cell r="O157">
            <v>0</v>
          </cell>
          <cell r="P157">
            <v>66633.3</v>
          </cell>
          <cell r="Q157">
            <v>0</v>
          </cell>
          <cell r="R157">
            <v>5.0999999999999996</v>
          </cell>
        </row>
        <row r="158">
          <cell r="C158" t="str">
            <v>Extendido manual de tierras con material de la propia excavación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 t="str">
            <v>m3</v>
          </cell>
          <cell r="J158">
            <v>17142.28</v>
          </cell>
          <cell r="K158">
            <v>0</v>
          </cell>
          <cell r="L158">
            <v>2737.0026890756303</v>
          </cell>
          <cell r="M158">
            <v>0</v>
          </cell>
          <cell r="N158">
            <v>14405.27731092437</v>
          </cell>
          <cell r="O158">
            <v>0</v>
          </cell>
          <cell r="P158">
            <v>17142.28</v>
          </cell>
          <cell r="Q158">
            <v>0</v>
          </cell>
          <cell r="R158">
            <v>0</v>
          </cell>
        </row>
        <row r="159">
          <cell r="C159" t="str">
            <v>Maguera pead para acometida domiciliaria de 1/2" RDE 9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 t="str">
            <v>ml</v>
          </cell>
          <cell r="J159">
            <v>3943.33</v>
          </cell>
          <cell r="K159">
            <v>0</v>
          </cell>
          <cell r="L159">
            <v>629.6073109243697</v>
          </cell>
          <cell r="M159">
            <v>0</v>
          </cell>
          <cell r="N159">
            <v>3313.7226890756301</v>
          </cell>
          <cell r="O159">
            <v>0</v>
          </cell>
          <cell r="P159">
            <v>3943.33</v>
          </cell>
          <cell r="Q159">
            <v>0</v>
          </cell>
          <cell r="R159">
            <v>0</v>
          </cell>
        </row>
        <row r="160">
          <cell r="C160" t="str">
            <v>Medidor de velocidad 1/2" R100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 t="str">
            <v>Unidad</v>
          </cell>
          <cell r="J160">
            <v>119000</v>
          </cell>
          <cell r="K160">
            <v>0</v>
          </cell>
          <cell r="L160">
            <v>19000</v>
          </cell>
          <cell r="M160">
            <v>0</v>
          </cell>
          <cell r="N160">
            <v>100000</v>
          </cell>
          <cell r="O160">
            <v>0</v>
          </cell>
          <cell r="P160">
            <v>119000</v>
          </cell>
          <cell r="Q160">
            <v>0</v>
          </cell>
          <cell r="R160">
            <v>0</v>
          </cell>
        </row>
        <row r="161">
          <cell r="C161" t="str">
            <v>Caja para acometida domiciliaría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 t="str">
            <v>Unidad</v>
          </cell>
          <cell r="J161">
            <v>197000</v>
          </cell>
          <cell r="K161">
            <v>0</v>
          </cell>
          <cell r="L161">
            <v>31453.781512605045</v>
          </cell>
          <cell r="M161">
            <v>0</v>
          </cell>
          <cell r="N161">
            <v>165546.21848739497</v>
          </cell>
          <cell r="O161">
            <v>0</v>
          </cell>
          <cell r="P161">
            <v>197000</v>
          </cell>
          <cell r="Q161">
            <v>0</v>
          </cell>
          <cell r="R161">
            <v>0</v>
          </cell>
        </row>
        <row r="162">
          <cell r="C162" t="str">
            <v>Registro de corte antifraude 1/2" x 1/2" inserto DZR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 t="str">
            <v>Unidad</v>
          </cell>
          <cell r="J162">
            <v>16830</v>
          </cell>
          <cell r="K162">
            <v>0</v>
          </cell>
          <cell r="L162">
            <v>2687.1428571428573</v>
          </cell>
          <cell r="M162">
            <v>0</v>
          </cell>
          <cell r="N162">
            <v>14142.857142857143</v>
          </cell>
          <cell r="O162">
            <v>0</v>
          </cell>
          <cell r="P162">
            <v>16830</v>
          </cell>
          <cell r="Q162">
            <v>0</v>
          </cell>
          <cell r="R162">
            <v>0</v>
          </cell>
        </row>
        <row r="163">
          <cell r="C163" t="str">
            <v>Collar de derivación inserto metálico PVC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 t="str">
            <v>Unidad</v>
          </cell>
          <cell r="J163">
            <v>12557</v>
          </cell>
          <cell r="K163">
            <v>0</v>
          </cell>
          <cell r="L163">
            <v>2004.8991596638657</v>
          </cell>
          <cell r="M163">
            <v>0</v>
          </cell>
          <cell r="N163">
            <v>10552.100840336136</v>
          </cell>
          <cell r="O163">
            <v>0</v>
          </cell>
          <cell r="P163">
            <v>12557</v>
          </cell>
          <cell r="Q163">
            <v>0</v>
          </cell>
          <cell r="R163">
            <v>0</v>
          </cell>
        </row>
        <row r="164">
          <cell r="C164" t="str">
            <v>Adaptador macho pf + aud PVC 1/2"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 t="str">
            <v>Unidad</v>
          </cell>
          <cell r="J164">
            <v>4258</v>
          </cell>
          <cell r="K164">
            <v>0</v>
          </cell>
          <cell r="L164">
            <v>679.84873949579833</v>
          </cell>
          <cell r="M164">
            <v>0</v>
          </cell>
          <cell r="N164">
            <v>3578.1512605042017</v>
          </cell>
          <cell r="O164">
            <v>0</v>
          </cell>
          <cell r="P164">
            <v>4258</v>
          </cell>
          <cell r="Q164">
            <v>0</v>
          </cell>
          <cell r="R164">
            <v>0</v>
          </cell>
        </row>
        <row r="165">
          <cell r="C165" t="str">
            <v>Válvula de bola PVC soldada 1/2"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 t="str">
            <v>Unidad</v>
          </cell>
          <cell r="J165">
            <v>15000</v>
          </cell>
          <cell r="K165">
            <v>0</v>
          </cell>
          <cell r="L165">
            <v>2394.9579831932774</v>
          </cell>
          <cell r="M165">
            <v>0</v>
          </cell>
          <cell r="N165">
            <v>12605.042016806723</v>
          </cell>
          <cell r="O165">
            <v>0</v>
          </cell>
          <cell r="P165">
            <v>15000</v>
          </cell>
          <cell r="Q165">
            <v>0</v>
          </cell>
          <cell r="R165">
            <v>0</v>
          </cell>
        </row>
        <row r="166">
          <cell r="C166" t="str">
            <v>Tee de 1/2" PVC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 t="str">
            <v>Unidad</v>
          </cell>
          <cell r="J166">
            <v>874.14</v>
          </cell>
          <cell r="K166">
            <v>0</v>
          </cell>
          <cell r="L166">
            <v>139.56857142857143</v>
          </cell>
          <cell r="M166">
            <v>0</v>
          </cell>
          <cell r="N166">
            <v>734.57142857142856</v>
          </cell>
          <cell r="O166">
            <v>0</v>
          </cell>
          <cell r="P166">
            <v>874.14</v>
          </cell>
          <cell r="Q166">
            <v>0</v>
          </cell>
          <cell r="R166">
            <v>0</v>
          </cell>
        </row>
        <row r="167">
          <cell r="C167" t="str">
            <v>Codo 90° de 1/2"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 t="str">
            <v>Unidad</v>
          </cell>
          <cell r="J167">
            <v>584.74</v>
          </cell>
          <cell r="K167">
            <v>0</v>
          </cell>
          <cell r="L167">
            <v>93.361848739495812</v>
          </cell>
          <cell r="M167">
            <v>0</v>
          </cell>
          <cell r="N167">
            <v>491.37815126050424</v>
          </cell>
          <cell r="O167">
            <v>0</v>
          </cell>
          <cell r="P167">
            <v>584.74</v>
          </cell>
          <cell r="Q167">
            <v>0</v>
          </cell>
          <cell r="R167">
            <v>0</v>
          </cell>
        </row>
        <row r="168">
          <cell r="C168" t="str">
            <v>Tapón de 1/2"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 t="str">
            <v>Unidad</v>
          </cell>
          <cell r="J168">
            <v>490</v>
          </cell>
          <cell r="K168">
            <v>0</v>
          </cell>
          <cell r="L168">
            <v>78.235294117647072</v>
          </cell>
          <cell r="M168">
            <v>0</v>
          </cell>
          <cell r="N168">
            <v>411.76470588235298</v>
          </cell>
          <cell r="O168">
            <v>0</v>
          </cell>
          <cell r="P168">
            <v>490</v>
          </cell>
          <cell r="Q168">
            <v>0</v>
          </cell>
          <cell r="R168">
            <v>0</v>
          </cell>
        </row>
        <row r="169">
          <cell r="C169" t="str">
            <v>Racor con tuerca 1/2"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 t="str">
            <v>Unidad</v>
          </cell>
          <cell r="J169">
            <v>5500</v>
          </cell>
          <cell r="K169">
            <v>0</v>
          </cell>
          <cell r="L169">
            <v>878.15126050420167</v>
          </cell>
          <cell r="M169">
            <v>0</v>
          </cell>
          <cell r="N169">
            <v>4621.8487394957983</v>
          </cell>
          <cell r="O169">
            <v>0</v>
          </cell>
          <cell r="P169">
            <v>5500</v>
          </cell>
          <cell r="Q169">
            <v>0</v>
          </cell>
          <cell r="R169">
            <v>0</v>
          </cell>
        </row>
        <row r="170">
          <cell r="C170" t="str">
            <v>Registro de incorporación antifraude macho-hembra de 1/2"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 t="str">
            <v>Unidad</v>
          </cell>
          <cell r="J170">
            <v>22658</v>
          </cell>
          <cell r="K170">
            <v>0</v>
          </cell>
          <cell r="L170">
            <v>3617.6638655462184</v>
          </cell>
          <cell r="M170">
            <v>0</v>
          </cell>
          <cell r="N170">
            <v>19040.336134453781</v>
          </cell>
          <cell r="O170">
            <v>0</v>
          </cell>
          <cell r="P170">
            <v>22658</v>
          </cell>
          <cell r="Q170">
            <v>0</v>
          </cell>
          <cell r="R170">
            <v>0</v>
          </cell>
        </row>
        <row r="171">
          <cell r="C171" t="str">
            <v>Suministro e instalación de válvula ventosa triple acción Ø3" en hierro ductil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 t="str">
            <v>Unidad</v>
          </cell>
          <cell r="J171">
            <v>1839235.7</v>
          </cell>
          <cell r="K171">
            <v>0</v>
          </cell>
          <cell r="L171">
            <v>293659.48151260504</v>
          </cell>
          <cell r="M171">
            <v>0</v>
          </cell>
          <cell r="N171">
            <v>1545576.218487395</v>
          </cell>
          <cell r="O171">
            <v>0</v>
          </cell>
          <cell r="P171">
            <v>1839235.7</v>
          </cell>
          <cell r="Q171">
            <v>0</v>
          </cell>
          <cell r="R171">
            <v>0</v>
          </cell>
        </row>
        <row r="172">
          <cell r="C172" t="str">
            <v>Tubería PVC Ø2" RDE 21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 t="str">
            <v>ml</v>
          </cell>
          <cell r="J172">
            <v>14618.1</v>
          </cell>
          <cell r="K172">
            <v>0</v>
          </cell>
          <cell r="L172">
            <v>2333.9823529411769</v>
          </cell>
          <cell r="M172">
            <v>0</v>
          </cell>
          <cell r="N172">
            <v>12284.117647058825</v>
          </cell>
          <cell r="O172">
            <v>0</v>
          </cell>
          <cell r="P172">
            <v>14618.1</v>
          </cell>
          <cell r="Q172">
            <v>0</v>
          </cell>
          <cell r="R172">
            <v>0</v>
          </cell>
        </row>
        <row r="173">
          <cell r="C173" t="str">
            <v>Piedra seleccionada de 3" a 15"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 t="str">
            <v>m3</v>
          </cell>
          <cell r="J173">
            <v>73718.12</v>
          </cell>
          <cell r="K173">
            <v>0</v>
          </cell>
          <cell r="L173">
            <v>11770.12</v>
          </cell>
          <cell r="M173">
            <v>0</v>
          </cell>
          <cell r="N173">
            <v>61948</v>
          </cell>
          <cell r="O173">
            <v>0</v>
          </cell>
          <cell r="P173">
            <v>73718.12</v>
          </cell>
          <cell r="Q173">
            <v>0</v>
          </cell>
          <cell r="R173">
            <v>1822</v>
          </cell>
        </row>
        <row r="174">
          <cell r="C174" t="str">
            <v>Saco costal con material de excavación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 t="str">
            <v>Unidad</v>
          </cell>
          <cell r="J174">
            <v>8000</v>
          </cell>
          <cell r="K174">
            <v>0</v>
          </cell>
          <cell r="L174">
            <v>1277.3109243697481</v>
          </cell>
          <cell r="M174">
            <v>0</v>
          </cell>
          <cell r="N174">
            <v>6722.6890756302528</v>
          </cell>
          <cell r="O174">
            <v>0</v>
          </cell>
          <cell r="P174">
            <v>8000</v>
          </cell>
          <cell r="Q174">
            <v>0</v>
          </cell>
          <cell r="R174">
            <v>0.8</v>
          </cell>
        </row>
        <row r="175">
          <cell r="C175" t="str">
            <v>Tabla burra cedro rojo 0,28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 t="str">
            <v>ml</v>
          </cell>
          <cell r="J175">
            <v>18473</v>
          </cell>
          <cell r="K175">
            <v>0</v>
          </cell>
          <cell r="L175">
            <v>2949.4705882352941</v>
          </cell>
          <cell r="M175">
            <v>0</v>
          </cell>
          <cell r="N175">
            <v>15523.529411764706</v>
          </cell>
          <cell r="O175">
            <v>0</v>
          </cell>
          <cell r="P175">
            <v>18473</v>
          </cell>
          <cell r="Q175">
            <v>0</v>
          </cell>
          <cell r="R175">
            <v>7.5</v>
          </cell>
        </row>
        <row r="176">
          <cell r="C176" t="str">
            <v>Explosivo (incluye detonador, cordón detonante y otros accesorios de voladura)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 t="str">
            <v>Kg</v>
          </cell>
          <cell r="J176">
            <v>76272.289999999994</v>
          </cell>
          <cell r="K176">
            <v>0</v>
          </cell>
          <cell r="L176">
            <v>12177.928655462185</v>
          </cell>
          <cell r="M176">
            <v>0</v>
          </cell>
          <cell r="N176">
            <v>64094.361344537814</v>
          </cell>
          <cell r="O176">
            <v>0</v>
          </cell>
          <cell r="P176">
            <v>76272.289999999994</v>
          </cell>
          <cell r="Q176">
            <v>0</v>
          </cell>
          <cell r="R176">
            <v>1</v>
          </cell>
        </row>
        <row r="177">
          <cell r="C177" t="str">
            <v xml:space="preserve">Tubería PEAD 75mm, PN=8 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 t="str">
            <v>ml</v>
          </cell>
          <cell r="J177">
            <v>14242</v>
          </cell>
          <cell r="K177">
            <v>0</v>
          </cell>
          <cell r="L177">
            <v>2273.932773109244</v>
          </cell>
          <cell r="M177">
            <v>0</v>
          </cell>
          <cell r="N177">
            <v>11968.067226890757</v>
          </cell>
          <cell r="O177">
            <v>0</v>
          </cell>
          <cell r="P177">
            <v>14242</v>
          </cell>
          <cell r="Q177">
            <v>0</v>
          </cell>
          <cell r="R177">
            <v>1</v>
          </cell>
        </row>
        <row r="178">
          <cell r="C178" t="str">
            <v>Cable de cordones de acero Dno, 6" y 1860Mpa para anclaje a terreno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 t="str">
            <v>ml</v>
          </cell>
          <cell r="J178">
            <v>7673</v>
          </cell>
          <cell r="K178">
            <v>0</v>
          </cell>
          <cell r="L178">
            <v>1225.1008403361345</v>
          </cell>
          <cell r="M178">
            <v>0</v>
          </cell>
          <cell r="N178">
            <v>6447.8991596638662</v>
          </cell>
          <cell r="O178">
            <v>0</v>
          </cell>
          <cell r="P178">
            <v>7673</v>
          </cell>
          <cell r="Q178">
            <v>0</v>
          </cell>
          <cell r="R178">
            <v>1.2</v>
          </cell>
        </row>
        <row r="179">
          <cell r="C179" t="str">
            <v xml:space="preserve">Válvula compuerta de cierre Ø=0,30 M con volante de manejo en hierro ductil 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 t="str">
            <v>Unidad</v>
          </cell>
          <cell r="J179">
            <v>45000005</v>
          </cell>
          <cell r="K179">
            <v>0</v>
          </cell>
          <cell r="L179">
            <v>7184874.7478991598</v>
          </cell>
          <cell r="M179">
            <v>0</v>
          </cell>
          <cell r="N179">
            <v>37815130.25210084</v>
          </cell>
          <cell r="O179">
            <v>0</v>
          </cell>
          <cell r="P179">
            <v>45000005</v>
          </cell>
          <cell r="Q179">
            <v>0</v>
          </cell>
          <cell r="R179">
            <v>225</v>
          </cell>
        </row>
        <row r="180">
          <cell r="C180" t="str">
            <v>Pasamuros de Ø12" L=0.25 m con extremos bridados en hierro ductil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 t="str">
            <v>Unidad</v>
          </cell>
          <cell r="J180">
            <v>1297100</v>
          </cell>
          <cell r="K180">
            <v>0</v>
          </cell>
          <cell r="L180">
            <v>207100</v>
          </cell>
          <cell r="M180">
            <v>0</v>
          </cell>
          <cell r="N180">
            <v>1090000</v>
          </cell>
          <cell r="O180">
            <v>0</v>
          </cell>
          <cell r="P180">
            <v>1297100</v>
          </cell>
          <cell r="Q180">
            <v>0</v>
          </cell>
          <cell r="R180">
            <v>103.75</v>
          </cell>
        </row>
        <row r="181">
          <cell r="C181" t="str">
            <v>Rejilla metálica de captación 1,65x0,50m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 t="str">
            <v>Unidad</v>
          </cell>
          <cell r="J181">
            <v>486643</v>
          </cell>
          <cell r="K181">
            <v>0</v>
          </cell>
          <cell r="L181">
            <v>77699.302521008416</v>
          </cell>
          <cell r="M181">
            <v>0</v>
          </cell>
          <cell r="N181">
            <v>408943.69747899164</v>
          </cell>
          <cell r="O181">
            <v>0</v>
          </cell>
          <cell r="P181">
            <v>486643</v>
          </cell>
          <cell r="Q181">
            <v>0</v>
          </cell>
          <cell r="R181">
            <v>40</v>
          </cell>
        </row>
        <row r="182">
          <cell r="C182" t="str">
            <v>Pasamuros de Ø8" L=0.50 m con extremos bridados en hierro ductil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 t="str">
            <v>Unidad</v>
          </cell>
          <cell r="J182">
            <v>668087</v>
          </cell>
          <cell r="K182">
            <v>0</v>
          </cell>
          <cell r="L182">
            <v>106669.35294117649</v>
          </cell>
          <cell r="M182">
            <v>0</v>
          </cell>
          <cell r="N182">
            <v>561417.64705882361</v>
          </cell>
          <cell r="O182">
            <v>0</v>
          </cell>
          <cell r="P182">
            <v>668087</v>
          </cell>
          <cell r="Q182">
            <v>0</v>
          </cell>
          <cell r="R182">
            <v>31.9</v>
          </cell>
        </row>
        <row r="183">
          <cell r="C183" t="str">
            <v xml:space="preserve">Válvula compuerta de cierre Ø=0,40 M con volante de manejo en hierro ductil 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 t="str">
            <v>Unidad</v>
          </cell>
          <cell r="J183">
            <v>5350000</v>
          </cell>
          <cell r="K183">
            <v>0</v>
          </cell>
          <cell r="L183">
            <v>854201.68067226897</v>
          </cell>
          <cell r="M183">
            <v>0</v>
          </cell>
          <cell r="N183">
            <v>4495798.3193277316</v>
          </cell>
          <cell r="O183">
            <v>0</v>
          </cell>
          <cell r="P183">
            <v>5350000</v>
          </cell>
          <cell r="Q183">
            <v>0</v>
          </cell>
          <cell r="R183">
            <v>63</v>
          </cell>
        </row>
        <row r="184">
          <cell r="C184" t="str">
            <v>Tapón PVC Ø6" con unión mecánica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 t="str">
            <v>Unidad</v>
          </cell>
          <cell r="J184">
            <v>198300</v>
          </cell>
          <cell r="K184">
            <v>0</v>
          </cell>
          <cell r="L184">
            <v>31661.34453781513</v>
          </cell>
          <cell r="M184">
            <v>0</v>
          </cell>
          <cell r="N184">
            <v>166638.65546218489</v>
          </cell>
          <cell r="O184">
            <v>0</v>
          </cell>
          <cell r="P184">
            <v>198300</v>
          </cell>
          <cell r="Q184">
            <v>0</v>
          </cell>
          <cell r="R184">
            <v>2.15</v>
          </cell>
        </row>
        <row r="185">
          <cell r="C185" t="str">
            <v>Tubería PVC Ø8" RDE 26 NOVAFORT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 t="str">
            <v>ml</v>
          </cell>
          <cell r="J185">
            <v>122782</v>
          </cell>
          <cell r="K185">
            <v>0</v>
          </cell>
          <cell r="L185">
            <v>19603.848739495799</v>
          </cell>
          <cell r="M185">
            <v>0</v>
          </cell>
          <cell r="N185">
            <v>103178.15126050421</v>
          </cell>
          <cell r="O185">
            <v>0</v>
          </cell>
          <cell r="P185">
            <v>122782</v>
          </cell>
          <cell r="Q185">
            <v>0</v>
          </cell>
          <cell r="R185">
            <v>5.25</v>
          </cell>
        </row>
        <row r="186">
          <cell r="C186" t="str">
            <v>Desmonte y limpieza de terreno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 t="str">
            <v>m2</v>
          </cell>
          <cell r="J186">
            <v>2920.6741484375002</v>
          </cell>
          <cell r="K186">
            <v>0</v>
          </cell>
          <cell r="L186">
            <v>466.32612454044124</v>
          </cell>
          <cell r="M186">
            <v>0</v>
          </cell>
          <cell r="N186">
            <v>2454.3480238970592</v>
          </cell>
          <cell r="O186">
            <v>0</v>
          </cell>
          <cell r="P186">
            <v>2920.6741484375002</v>
          </cell>
          <cell r="Q186">
            <v>0</v>
          </cell>
          <cell r="R186">
            <v>0</v>
          </cell>
        </row>
        <row r="187">
          <cell r="C187" t="str">
            <v>Válvula mariposa Ø10" con rueda de manejo en hierro ductil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 t="str">
            <v>Unidad</v>
          </cell>
          <cell r="J187">
            <v>3594128</v>
          </cell>
          <cell r="K187">
            <v>0</v>
          </cell>
          <cell r="L187">
            <v>573852.36974789924</v>
          </cell>
          <cell r="M187">
            <v>0</v>
          </cell>
          <cell r="N187">
            <v>3020275.630252101</v>
          </cell>
          <cell r="O187">
            <v>0</v>
          </cell>
          <cell r="P187">
            <v>3594128</v>
          </cell>
          <cell r="Q187">
            <v>0</v>
          </cell>
          <cell r="R187">
            <v>22.2</v>
          </cell>
        </row>
        <row r="188">
          <cell r="C188" t="str">
            <v xml:space="preserve">Codo sanitario PVC Ø12" 45° 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 t="str">
            <v>Unidad</v>
          </cell>
          <cell r="J188">
            <v>450619.2</v>
          </cell>
          <cell r="K188">
            <v>0</v>
          </cell>
          <cell r="L188">
            <v>71947.603361344532</v>
          </cell>
          <cell r="M188">
            <v>0</v>
          </cell>
          <cell r="N188">
            <v>378671.59663865546</v>
          </cell>
          <cell r="O188">
            <v>0</v>
          </cell>
          <cell r="P188">
            <v>450619.2</v>
          </cell>
          <cell r="Q188">
            <v>0</v>
          </cell>
          <cell r="R188">
            <v>4.5</v>
          </cell>
        </row>
        <row r="189">
          <cell r="C189" t="str">
            <v>Tubería PVC Ø10" NOVAFORT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 t="str">
            <v>ml</v>
          </cell>
          <cell r="J189">
            <v>65853</v>
          </cell>
          <cell r="K189">
            <v>0</v>
          </cell>
          <cell r="L189">
            <v>10514.344537815126</v>
          </cell>
          <cell r="M189">
            <v>0</v>
          </cell>
          <cell r="N189">
            <v>55338.655462184877</v>
          </cell>
          <cell r="O189">
            <v>0</v>
          </cell>
          <cell r="P189">
            <v>65853</v>
          </cell>
          <cell r="Q189">
            <v>0</v>
          </cell>
          <cell r="R189">
            <v>8.1300000000000008</v>
          </cell>
        </row>
        <row r="190">
          <cell r="C190" t="str">
            <v xml:space="preserve">Codo sanitario PVC Ø8" 22,5° 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 t="str">
            <v>Unidad</v>
          </cell>
          <cell r="J190">
            <v>193841</v>
          </cell>
          <cell r="K190">
            <v>0</v>
          </cell>
          <cell r="L190">
            <v>30949.403361344539</v>
          </cell>
          <cell r="M190">
            <v>0</v>
          </cell>
          <cell r="N190">
            <v>162891.59663865546</v>
          </cell>
          <cell r="O190">
            <v>0</v>
          </cell>
          <cell r="P190">
            <v>193841</v>
          </cell>
          <cell r="Q190">
            <v>0</v>
          </cell>
          <cell r="R190">
            <v>2.5</v>
          </cell>
        </row>
        <row r="191">
          <cell r="C191" t="str">
            <v>Localización y replanteo de redes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 t="str">
            <v>ml</v>
          </cell>
          <cell r="J191">
            <v>3176.5634407496873</v>
          </cell>
          <cell r="K191">
            <v>0</v>
          </cell>
          <cell r="L191">
            <v>507.18239810289128</v>
          </cell>
          <cell r="M191">
            <v>0</v>
          </cell>
          <cell r="N191">
            <v>2669.3810426467962</v>
          </cell>
          <cell r="O191">
            <v>0</v>
          </cell>
          <cell r="P191">
            <v>3176.5634407496873</v>
          </cell>
          <cell r="Q191">
            <v>0</v>
          </cell>
          <cell r="R191">
            <v>0</v>
          </cell>
        </row>
        <row r="192">
          <cell r="C192" t="str">
            <v>Tubería PEAD 6" RDE 11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 t="str">
            <v>ml</v>
          </cell>
          <cell r="J192">
            <v>126633.33</v>
          </cell>
          <cell r="K192">
            <v>0</v>
          </cell>
          <cell r="L192">
            <v>20218.76697478992</v>
          </cell>
          <cell r="M192">
            <v>0</v>
          </cell>
          <cell r="N192">
            <v>106414.5630252101</v>
          </cell>
          <cell r="O192">
            <v>0</v>
          </cell>
          <cell r="P192">
            <v>126633.33</v>
          </cell>
          <cell r="Q192">
            <v>0</v>
          </cell>
          <cell r="R192">
            <v>7.1</v>
          </cell>
        </row>
        <row r="193">
          <cell r="C193" t="str">
            <v>Válvula de compuerta de extracción de arenas 8"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 t="str">
            <v>Unidad</v>
          </cell>
          <cell r="J193">
            <v>2213114</v>
          </cell>
          <cell r="K193">
            <v>0</v>
          </cell>
          <cell r="L193">
            <v>353354.33613445377</v>
          </cell>
          <cell r="M193">
            <v>0</v>
          </cell>
          <cell r="N193">
            <v>1859759.6638655462</v>
          </cell>
          <cell r="O193">
            <v>0</v>
          </cell>
          <cell r="P193">
            <v>2213114</v>
          </cell>
          <cell r="Q193">
            <v>0</v>
          </cell>
          <cell r="R193">
            <v>50</v>
          </cell>
        </row>
        <row r="194">
          <cell r="C194" t="str">
            <v>Codo de Ø6" de 11,25° en hierro ductil con unión mecánica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 t="str">
            <v>Unidad</v>
          </cell>
          <cell r="J194">
            <v>410000</v>
          </cell>
          <cell r="K194">
            <v>0</v>
          </cell>
          <cell r="L194">
            <v>65462.184873949584</v>
          </cell>
          <cell r="M194">
            <v>0</v>
          </cell>
          <cell r="N194">
            <v>344537.81512605044</v>
          </cell>
          <cell r="O194">
            <v>0</v>
          </cell>
          <cell r="P194">
            <v>410000</v>
          </cell>
          <cell r="Q194">
            <v>0</v>
          </cell>
          <cell r="R194">
            <v>0</v>
          </cell>
        </row>
        <row r="195">
          <cell r="C195" t="str">
            <v>Codo de Ø6" de 22,5° en hierro ductil con unión mecánica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 t="str">
            <v>Unidad</v>
          </cell>
          <cell r="J195">
            <v>419000</v>
          </cell>
          <cell r="K195">
            <v>0</v>
          </cell>
          <cell r="L195">
            <v>66899.159663865546</v>
          </cell>
          <cell r="M195">
            <v>0</v>
          </cell>
          <cell r="N195">
            <v>352100.84033613448</v>
          </cell>
          <cell r="O195">
            <v>0</v>
          </cell>
          <cell r="P195">
            <v>419000</v>
          </cell>
          <cell r="Q195">
            <v>0</v>
          </cell>
          <cell r="R195">
            <v>0</v>
          </cell>
        </row>
        <row r="196">
          <cell r="C196" t="str">
            <v>Codo de Ø4" de 45° en hierro ductil con unión mecánica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 t="str">
            <v>Unidad</v>
          </cell>
          <cell r="J196">
            <v>358000</v>
          </cell>
          <cell r="K196">
            <v>0</v>
          </cell>
          <cell r="L196">
            <v>57159.663865546216</v>
          </cell>
          <cell r="M196">
            <v>0</v>
          </cell>
          <cell r="N196">
            <v>300840.33613445377</v>
          </cell>
          <cell r="O196">
            <v>0</v>
          </cell>
          <cell r="P196">
            <v>358000</v>
          </cell>
          <cell r="Q196">
            <v>0</v>
          </cell>
          <cell r="R196">
            <v>15</v>
          </cell>
        </row>
        <row r="197">
          <cell r="C197" t="str">
            <v>Codo de Ø6" de 90° en hierro ductil con unión mecánica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 t="str">
            <v>Unidad</v>
          </cell>
          <cell r="J197">
            <v>530000</v>
          </cell>
          <cell r="K197">
            <v>0</v>
          </cell>
          <cell r="L197">
            <v>84621.848739495807</v>
          </cell>
          <cell r="M197">
            <v>0</v>
          </cell>
          <cell r="N197">
            <v>445378.15126050421</v>
          </cell>
          <cell r="O197">
            <v>0</v>
          </cell>
          <cell r="P197">
            <v>530000</v>
          </cell>
          <cell r="Q197">
            <v>0</v>
          </cell>
          <cell r="R197">
            <v>0</v>
          </cell>
        </row>
        <row r="198">
          <cell r="C198" t="str">
            <v>Tubería PVC 6" con unión mecánica RDE 21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 t="str">
            <v>ml</v>
          </cell>
          <cell r="J198">
            <v>124704</v>
          </cell>
          <cell r="K198">
            <v>0</v>
          </cell>
          <cell r="L198">
            <v>19910.722689075632</v>
          </cell>
          <cell r="M198">
            <v>0</v>
          </cell>
          <cell r="N198">
            <v>104793.27731092437</v>
          </cell>
          <cell r="O198">
            <v>0</v>
          </cell>
          <cell r="P198">
            <v>124704</v>
          </cell>
          <cell r="Q198">
            <v>0</v>
          </cell>
          <cell r="R198">
            <v>0</v>
          </cell>
        </row>
        <row r="199">
          <cell r="C199" t="str">
            <v>Tubería PVC 6" con unión mecánica RDE 17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 t="str">
            <v>ml</v>
          </cell>
          <cell r="J199">
            <v>144556.65</v>
          </cell>
          <cell r="K199">
            <v>0</v>
          </cell>
          <cell r="L199">
            <v>23080.473529411767</v>
          </cell>
          <cell r="M199">
            <v>0</v>
          </cell>
          <cell r="N199">
            <v>121476.17647058824</v>
          </cell>
          <cell r="O199">
            <v>0</v>
          </cell>
          <cell r="P199">
            <v>144556.65</v>
          </cell>
          <cell r="Q199">
            <v>0</v>
          </cell>
          <cell r="R199">
            <v>0</v>
          </cell>
        </row>
        <row r="200">
          <cell r="C200" t="str">
            <v>Tubería PVC 6" con unión mecánica RDE 13,5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 t="str">
            <v>ml</v>
          </cell>
          <cell r="J200">
            <v>199387.35</v>
          </cell>
          <cell r="K200">
            <v>0</v>
          </cell>
          <cell r="L200">
            <v>31834.955042016809</v>
          </cell>
          <cell r="M200">
            <v>0</v>
          </cell>
          <cell r="N200">
            <v>167552.3949579832</v>
          </cell>
          <cell r="O200">
            <v>0</v>
          </cell>
          <cell r="P200">
            <v>199387.35</v>
          </cell>
          <cell r="Q200">
            <v>0</v>
          </cell>
          <cell r="R200">
            <v>0</v>
          </cell>
        </row>
        <row r="201">
          <cell r="C201" t="str">
            <v>Válvula flotadora Ø2"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 t="str">
            <v>Unidad</v>
          </cell>
          <cell r="J201">
            <v>322729</v>
          </cell>
          <cell r="K201">
            <v>0</v>
          </cell>
          <cell r="L201">
            <v>51528.159663865554</v>
          </cell>
          <cell r="M201">
            <v>0</v>
          </cell>
          <cell r="N201">
            <v>271200.84033613448</v>
          </cell>
          <cell r="O201">
            <v>0</v>
          </cell>
          <cell r="P201">
            <v>322729</v>
          </cell>
          <cell r="Q201">
            <v>0</v>
          </cell>
          <cell r="R201">
            <v>0</v>
          </cell>
        </row>
        <row r="202">
          <cell r="C202" t="str">
            <v>Válvula flotadora Ø3"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 t="str">
            <v>Unidad</v>
          </cell>
          <cell r="J202">
            <v>718873</v>
          </cell>
          <cell r="K202">
            <v>0</v>
          </cell>
          <cell r="L202">
            <v>114778.04201680674</v>
          </cell>
          <cell r="M202">
            <v>0</v>
          </cell>
          <cell r="N202">
            <v>604094.95798319334</v>
          </cell>
          <cell r="O202">
            <v>0</v>
          </cell>
          <cell r="P202">
            <v>718873</v>
          </cell>
          <cell r="Q202">
            <v>0</v>
          </cell>
          <cell r="R202">
            <v>0</v>
          </cell>
        </row>
        <row r="203">
          <cell r="C203" t="str">
            <v>Válvula flotadora Ø4"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 t="str">
            <v>Unidad</v>
          </cell>
          <cell r="J203">
            <v>1078309.5</v>
          </cell>
          <cell r="K203">
            <v>0</v>
          </cell>
          <cell r="L203">
            <v>172167.06302521008</v>
          </cell>
          <cell r="M203">
            <v>0</v>
          </cell>
          <cell r="N203">
            <v>906142.43697478995</v>
          </cell>
          <cell r="O203">
            <v>0</v>
          </cell>
          <cell r="P203">
            <v>1078309.5</v>
          </cell>
          <cell r="Q203">
            <v>0</v>
          </cell>
          <cell r="R203">
            <v>0</v>
          </cell>
        </row>
        <row r="204">
          <cell r="C204" t="str">
            <v>Tubería PVC 3" con unión mecánica RDE 13,5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 t="str">
            <v>Unidad</v>
          </cell>
          <cell r="J204">
            <v>68096.67</v>
          </cell>
          <cell r="K204">
            <v>0</v>
          </cell>
          <cell r="L204">
            <v>10872.57756302521</v>
          </cell>
          <cell r="M204">
            <v>0</v>
          </cell>
          <cell r="N204">
            <v>57224.092436974788</v>
          </cell>
          <cell r="O204">
            <v>0</v>
          </cell>
          <cell r="P204">
            <v>68096.67</v>
          </cell>
          <cell r="Q204">
            <v>0</v>
          </cell>
          <cell r="R204">
            <v>0</v>
          </cell>
        </row>
        <row r="205">
          <cell r="C205" t="str">
            <v>Reducción 6" x 4" en hierro ductil con unión mecánica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 t="str">
            <v>Unidad</v>
          </cell>
          <cell r="J205">
            <v>398000</v>
          </cell>
          <cell r="K205">
            <v>0</v>
          </cell>
          <cell r="L205">
            <v>63546.218487394966</v>
          </cell>
          <cell r="M205">
            <v>0</v>
          </cell>
          <cell r="N205">
            <v>334453.78151260508</v>
          </cell>
          <cell r="O205">
            <v>0</v>
          </cell>
          <cell r="P205">
            <v>398000</v>
          </cell>
          <cell r="Q205">
            <v>0</v>
          </cell>
          <cell r="R205">
            <v>37</v>
          </cell>
        </row>
        <row r="206">
          <cell r="C206" t="str">
            <v>Tubería PVC 6" con unión mecanica RDE 26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 t="str">
            <v>Unidad</v>
          </cell>
          <cell r="J206">
            <v>69669.166666666672</v>
          </cell>
          <cell r="K206">
            <v>0</v>
          </cell>
          <cell r="L206">
            <v>11123.648459383754</v>
          </cell>
          <cell r="M206">
            <v>0</v>
          </cell>
          <cell r="N206">
            <v>58545.518207282919</v>
          </cell>
          <cell r="O206">
            <v>0</v>
          </cell>
          <cell r="P206">
            <v>69669.166666666672</v>
          </cell>
          <cell r="Q206">
            <v>0</v>
          </cell>
          <cell r="R206">
            <v>5.0999999999999996</v>
          </cell>
        </row>
        <row r="207">
          <cell r="C207" t="str">
            <v>Tee Ø3" x 3" x 2" con unión mecánica en hierro ductil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 t="str">
            <v>Unidad</v>
          </cell>
          <cell r="J207">
            <v>199000</v>
          </cell>
          <cell r="K207">
            <v>0</v>
          </cell>
          <cell r="L207">
            <v>31773.109243697483</v>
          </cell>
          <cell r="M207">
            <v>0</v>
          </cell>
          <cell r="N207">
            <v>167226.89075630254</v>
          </cell>
          <cell r="O207">
            <v>0</v>
          </cell>
          <cell r="P207">
            <v>199000</v>
          </cell>
          <cell r="Q207">
            <v>0</v>
          </cell>
          <cell r="R207">
            <v>0</v>
          </cell>
        </row>
        <row r="208">
          <cell r="C208" t="str">
            <v>Tee Ø4" x 4" x 2" con unión mecánica en hierro ductil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 t="str">
            <v>Unidad</v>
          </cell>
          <cell r="J208">
            <v>241000</v>
          </cell>
          <cell r="K208">
            <v>0</v>
          </cell>
          <cell r="L208">
            <v>38478.991596638662</v>
          </cell>
          <cell r="M208">
            <v>0</v>
          </cell>
          <cell r="N208">
            <v>202521.00840336137</v>
          </cell>
          <cell r="O208">
            <v>0</v>
          </cell>
          <cell r="P208">
            <v>241000</v>
          </cell>
          <cell r="Q208">
            <v>0</v>
          </cell>
          <cell r="R208">
            <v>0</v>
          </cell>
        </row>
        <row r="209">
          <cell r="C209" t="str">
            <v>Tee Ø4" x 4" x 3" con unión mecánica en hierro ductil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 t="str">
            <v>Unidad</v>
          </cell>
          <cell r="J209">
            <v>322000</v>
          </cell>
          <cell r="K209">
            <v>0</v>
          </cell>
          <cell r="L209">
            <v>51411.764705882357</v>
          </cell>
          <cell r="M209">
            <v>0</v>
          </cell>
          <cell r="N209">
            <v>270588.23529411765</v>
          </cell>
          <cell r="O209">
            <v>0</v>
          </cell>
          <cell r="P209">
            <v>322000</v>
          </cell>
          <cell r="Q209">
            <v>0</v>
          </cell>
          <cell r="R209">
            <v>0</v>
          </cell>
        </row>
        <row r="210">
          <cell r="C210" t="str">
            <v xml:space="preserve">Reducción PVC de presión 4" x 3" 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 t="str">
            <v>Unidad</v>
          </cell>
          <cell r="J210">
            <v>81172</v>
          </cell>
          <cell r="K210">
            <v>0</v>
          </cell>
          <cell r="L210">
            <v>12960.235294117647</v>
          </cell>
          <cell r="M210">
            <v>0</v>
          </cell>
          <cell r="N210">
            <v>68211.76470588235</v>
          </cell>
          <cell r="O210">
            <v>0</v>
          </cell>
          <cell r="P210">
            <v>81172</v>
          </cell>
          <cell r="Q210">
            <v>0</v>
          </cell>
          <cell r="R210">
            <v>0</v>
          </cell>
        </row>
        <row r="211">
          <cell r="C211" t="str">
            <v xml:space="preserve">Reducción PVC de presión 3" x 2" 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 t="str">
            <v>Unidad</v>
          </cell>
          <cell r="J211">
            <v>32900</v>
          </cell>
          <cell r="K211">
            <v>0</v>
          </cell>
          <cell r="L211">
            <v>5252.9411764705883</v>
          </cell>
          <cell r="M211">
            <v>0</v>
          </cell>
          <cell r="N211">
            <v>27647.058823529413</v>
          </cell>
          <cell r="O211">
            <v>0</v>
          </cell>
          <cell r="P211">
            <v>32900</v>
          </cell>
          <cell r="Q211">
            <v>0</v>
          </cell>
          <cell r="R211">
            <v>0</v>
          </cell>
        </row>
        <row r="212">
          <cell r="C212" t="str">
            <v>Tubería PVC 8" con unión mecánica RDE 26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 t="str">
            <v>Unidad</v>
          </cell>
          <cell r="J212">
            <v>139583.33333333334</v>
          </cell>
          <cell r="K212">
            <v>0</v>
          </cell>
          <cell r="L212">
            <v>22286.414565826333</v>
          </cell>
          <cell r="M212">
            <v>0</v>
          </cell>
          <cell r="N212">
            <v>117296.91876750701</v>
          </cell>
          <cell r="O212">
            <v>0</v>
          </cell>
          <cell r="P212">
            <v>139583.33333333334</v>
          </cell>
          <cell r="Q212">
            <v>0</v>
          </cell>
          <cell r="R212">
            <v>0</v>
          </cell>
        </row>
        <row r="213">
          <cell r="C213" t="str">
            <v>Válvula flotadora Ø6"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 t="str">
            <v>Unidad</v>
          </cell>
          <cell r="J213">
            <v>1725295</v>
          </cell>
          <cell r="K213">
            <v>0</v>
          </cell>
          <cell r="L213">
            <v>275467.268907563</v>
          </cell>
          <cell r="M213">
            <v>0</v>
          </cell>
          <cell r="N213">
            <v>1449827.7310924369</v>
          </cell>
          <cell r="O213">
            <v>0</v>
          </cell>
          <cell r="P213">
            <v>1725295</v>
          </cell>
          <cell r="Q213">
            <v>0</v>
          </cell>
          <cell r="R213">
            <v>0</v>
          </cell>
        </row>
        <row r="214">
          <cell r="C214" t="str">
            <v>Enchape con tableta industrial (Incluye materiales, herramientas y mano de obra)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 t="str">
            <v>m2</v>
          </cell>
          <cell r="J214">
            <v>131433.57</v>
          </cell>
          <cell r="K214">
            <v>0</v>
          </cell>
          <cell r="L214">
            <v>20985.191848739498</v>
          </cell>
          <cell r="M214">
            <v>0</v>
          </cell>
          <cell r="N214">
            <v>110448.37815126052</v>
          </cell>
          <cell r="O214">
            <v>0</v>
          </cell>
          <cell r="P214">
            <v>131433.57</v>
          </cell>
          <cell r="Q214">
            <v>0</v>
          </cell>
          <cell r="R214">
            <v>0</v>
          </cell>
        </row>
        <row r="215">
          <cell r="C215" t="str">
            <v>Sistema de filtración directa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 t="str">
            <v>Unidad</v>
          </cell>
          <cell r="J215">
            <v>113000000</v>
          </cell>
          <cell r="K215">
            <v>0</v>
          </cell>
          <cell r="L215">
            <v>18042016.806722689</v>
          </cell>
          <cell r="M215">
            <v>0</v>
          </cell>
          <cell r="N215">
            <v>94957983.193277314</v>
          </cell>
          <cell r="O215">
            <v>0</v>
          </cell>
          <cell r="P215">
            <v>113000000</v>
          </cell>
          <cell r="Q215">
            <v>0</v>
          </cell>
          <cell r="R215">
            <v>0</v>
          </cell>
        </row>
        <row r="216">
          <cell r="C216" t="str">
            <v>Malla electrosoldada 15x15cm 4mm (Kg)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 t="str">
            <v>Kg</v>
          </cell>
          <cell r="J216">
            <v>5629.98</v>
          </cell>
          <cell r="K216">
            <v>0</v>
          </cell>
          <cell r="L216">
            <v>898.90436974789907</v>
          </cell>
          <cell r="M216">
            <v>0</v>
          </cell>
          <cell r="N216">
            <v>4731.0756302521004</v>
          </cell>
          <cell r="O216">
            <v>0</v>
          </cell>
          <cell r="P216">
            <v>5629.98</v>
          </cell>
          <cell r="Q216">
            <v>0</v>
          </cell>
          <cell r="R216">
            <v>0</v>
          </cell>
        </row>
        <row r="217">
          <cell r="C217" t="str">
            <v>Transporte a lomo de mula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 t="str">
            <v>Viaje</v>
          </cell>
          <cell r="J217">
            <v>15000</v>
          </cell>
          <cell r="K217">
            <v>0</v>
          </cell>
          <cell r="L217">
            <v>2394.9579831932774</v>
          </cell>
          <cell r="M217">
            <v>0</v>
          </cell>
          <cell r="N217">
            <v>12605.042016806723</v>
          </cell>
          <cell r="O217">
            <v>0</v>
          </cell>
          <cell r="P217">
            <v>15000</v>
          </cell>
          <cell r="Q217">
            <v>0</v>
          </cell>
          <cell r="R217">
            <v>0</v>
          </cell>
        </row>
        <row r="218">
          <cell r="C218" t="str">
            <v>Acero de anclaje para estructuras de viaducto pendolón 5/8"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 t="str">
            <v>Kg</v>
          </cell>
          <cell r="J218">
            <v>37500</v>
          </cell>
          <cell r="K218">
            <v>0</v>
          </cell>
          <cell r="L218">
            <v>5987.3949579831933</v>
          </cell>
          <cell r="M218">
            <v>0</v>
          </cell>
          <cell r="N218">
            <v>31512.605042016807</v>
          </cell>
          <cell r="O218">
            <v>0</v>
          </cell>
          <cell r="P218">
            <v>37500</v>
          </cell>
          <cell r="Q218">
            <v>0</v>
          </cell>
          <cell r="R218">
            <v>0</v>
          </cell>
        </row>
        <row r="219">
          <cell r="C219" t="str">
            <v>Acero de refuerzo para estructuras de viaducto pendolón 60000 PSI (Incluye figurado e instalación)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 t="str">
            <v>Kg</v>
          </cell>
          <cell r="J219">
            <v>11986.25</v>
          </cell>
          <cell r="K219">
            <v>0</v>
          </cell>
          <cell r="L219">
            <v>1913.7710084033615</v>
          </cell>
          <cell r="M219">
            <v>0</v>
          </cell>
          <cell r="N219">
            <v>10072.478991596639</v>
          </cell>
          <cell r="O219">
            <v>0</v>
          </cell>
          <cell r="P219">
            <v>11986.25</v>
          </cell>
          <cell r="Q219">
            <v>0</v>
          </cell>
          <cell r="R219">
            <v>0</v>
          </cell>
        </row>
        <row r="220">
          <cell r="C220" t="str">
            <v>Cable galvanizado superior 7/16" alma de acero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 t="str">
            <v>Kg</v>
          </cell>
          <cell r="J220">
            <v>21420</v>
          </cell>
          <cell r="K220">
            <v>0</v>
          </cell>
          <cell r="L220">
            <v>3420</v>
          </cell>
          <cell r="M220">
            <v>0</v>
          </cell>
          <cell r="N220">
            <v>18000</v>
          </cell>
          <cell r="O220">
            <v>0</v>
          </cell>
          <cell r="P220">
            <v>21420</v>
          </cell>
          <cell r="Q220">
            <v>0</v>
          </cell>
          <cell r="R220">
            <v>0</v>
          </cell>
        </row>
        <row r="221">
          <cell r="C221" t="str">
            <v>Cable galvanizado lateral 3/8" alma de acero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 t="str">
            <v>Kg</v>
          </cell>
          <cell r="J221">
            <v>10829</v>
          </cell>
          <cell r="K221">
            <v>0</v>
          </cell>
          <cell r="L221">
            <v>1729</v>
          </cell>
          <cell r="M221">
            <v>0</v>
          </cell>
          <cell r="N221">
            <v>9100</v>
          </cell>
          <cell r="O221">
            <v>0</v>
          </cell>
          <cell r="P221">
            <v>10829</v>
          </cell>
          <cell r="Q221">
            <v>0</v>
          </cell>
          <cell r="R221">
            <v>0</v>
          </cell>
        </row>
        <row r="222">
          <cell r="C222" t="str">
            <v>Cable galvanizado pendolón 1/4" alma de acero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 t="str">
            <v>Kg</v>
          </cell>
          <cell r="J222">
            <v>5414.5</v>
          </cell>
          <cell r="K222">
            <v>0</v>
          </cell>
          <cell r="L222">
            <v>864.5</v>
          </cell>
          <cell r="M222">
            <v>0</v>
          </cell>
          <cell r="N222">
            <v>4550</v>
          </cell>
          <cell r="O222">
            <v>0</v>
          </cell>
          <cell r="P222">
            <v>5414.5</v>
          </cell>
          <cell r="Q222">
            <v>0</v>
          </cell>
          <cell r="R222">
            <v>0</v>
          </cell>
        </row>
        <row r="223">
          <cell r="C223" t="str">
            <v>Perno 2x5/8"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 t="str">
            <v>Unidad</v>
          </cell>
          <cell r="J223">
            <v>2650</v>
          </cell>
          <cell r="K223">
            <v>0</v>
          </cell>
          <cell r="L223">
            <v>423.10924369747897</v>
          </cell>
          <cell r="M223">
            <v>0</v>
          </cell>
          <cell r="N223">
            <v>2226.8907563025209</v>
          </cell>
          <cell r="O223">
            <v>0</v>
          </cell>
          <cell r="P223">
            <v>2650</v>
          </cell>
          <cell r="Q223">
            <v>0</v>
          </cell>
          <cell r="R223">
            <v>0</v>
          </cell>
        </row>
        <row r="224">
          <cell r="C224" t="str">
            <v>Perro trabajo pesado 3/8"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 t="str">
            <v>Unidad</v>
          </cell>
          <cell r="J224">
            <v>7735</v>
          </cell>
          <cell r="K224">
            <v>0</v>
          </cell>
          <cell r="L224">
            <v>1235</v>
          </cell>
          <cell r="M224">
            <v>0</v>
          </cell>
          <cell r="N224">
            <v>6500</v>
          </cell>
          <cell r="O224">
            <v>0</v>
          </cell>
          <cell r="P224">
            <v>7735</v>
          </cell>
          <cell r="Q224">
            <v>0</v>
          </cell>
          <cell r="R224">
            <v>0</v>
          </cell>
        </row>
        <row r="225">
          <cell r="C225" t="str">
            <v>Porta tensor 1/4"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 t="str">
            <v>Unidad</v>
          </cell>
          <cell r="J225">
            <v>5236</v>
          </cell>
          <cell r="K225">
            <v>0</v>
          </cell>
          <cell r="L225">
            <v>836</v>
          </cell>
          <cell r="M225">
            <v>0</v>
          </cell>
          <cell r="N225">
            <v>4400</v>
          </cell>
          <cell r="O225">
            <v>0</v>
          </cell>
          <cell r="P225">
            <v>5236</v>
          </cell>
          <cell r="Q225">
            <v>0</v>
          </cell>
          <cell r="R225">
            <v>0</v>
          </cell>
        </row>
        <row r="226">
          <cell r="C226" t="str">
            <v>Tornillo 1/2" para porta tensor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 t="str">
            <v>Unidad</v>
          </cell>
          <cell r="J226">
            <v>1844.5</v>
          </cell>
          <cell r="K226">
            <v>0</v>
          </cell>
          <cell r="L226">
            <v>294.5</v>
          </cell>
          <cell r="M226">
            <v>0</v>
          </cell>
          <cell r="N226">
            <v>1550</v>
          </cell>
          <cell r="O226">
            <v>0</v>
          </cell>
          <cell r="P226">
            <v>1844.5</v>
          </cell>
          <cell r="Q226">
            <v>0</v>
          </cell>
          <cell r="R226">
            <v>0</v>
          </cell>
        </row>
        <row r="227">
          <cell r="C227" t="str">
            <v>Tubo galvanizado 1/2" 0,30mts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 t="str">
            <v>Unidad</v>
          </cell>
          <cell r="J227">
            <v>5057.5</v>
          </cell>
          <cell r="K227">
            <v>0</v>
          </cell>
          <cell r="L227">
            <v>807.5</v>
          </cell>
          <cell r="M227">
            <v>0</v>
          </cell>
          <cell r="N227">
            <v>4250</v>
          </cell>
          <cell r="O227">
            <v>0</v>
          </cell>
          <cell r="P227">
            <v>5057.5</v>
          </cell>
          <cell r="Q227">
            <v>0</v>
          </cell>
          <cell r="R227">
            <v>0</v>
          </cell>
        </row>
        <row r="228">
          <cell r="C228" t="str">
            <v>Carro de dilatación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 t="str">
            <v>Unidad</v>
          </cell>
          <cell r="J228">
            <v>476000</v>
          </cell>
          <cell r="K228">
            <v>0</v>
          </cell>
          <cell r="L228">
            <v>76000</v>
          </cell>
          <cell r="M228">
            <v>0</v>
          </cell>
          <cell r="N228">
            <v>400000</v>
          </cell>
          <cell r="O228">
            <v>0</v>
          </cell>
          <cell r="P228">
            <v>476000</v>
          </cell>
          <cell r="Q228">
            <v>0</v>
          </cell>
          <cell r="R228">
            <v>0</v>
          </cell>
        </row>
        <row r="229">
          <cell r="C229" t="str">
            <v>Guardacabos 1/4"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 t="str">
            <v>Unidad</v>
          </cell>
          <cell r="J229">
            <v>11900</v>
          </cell>
          <cell r="K229">
            <v>0</v>
          </cell>
          <cell r="L229">
            <v>1900</v>
          </cell>
          <cell r="M229">
            <v>0</v>
          </cell>
          <cell r="N229">
            <v>10000</v>
          </cell>
          <cell r="O229">
            <v>0</v>
          </cell>
          <cell r="P229">
            <v>11900</v>
          </cell>
          <cell r="Q229">
            <v>0</v>
          </cell>
          <cell r="R229">
            <v>0</v>
          </cell>
        </row>
        <row r="230">
          <cell r="C230" t="str">
            <v>Grapa de amarre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 t="str">
            <v>Unidad</v>
          </cell>
          <cell r="J230">
            <v>5474</v>
          </cell>
          <cell r="K230">
            <v>0</v>
          </cell>
          <cell r="L230">
            <v>874</v>
          </cell>
          <cell r="M230">
            <v>0</v>
          </cell>
          <cell r="N230">
            <v>4600</v>
          </cell>
          <cell r="O230">
            <v>0</v>
          </cell>
          <cell r="P230">
            <v>5474</v>
          </cell>
          <cell r="Q230">
            <v>0</v>
          </cell>
          <cell r="R230">
            <v>0</v>
          </cell>
        </row>
        <row r="231">
          <cell r="C231" t="str">
            <v>Soldadura 20mm a todo costo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 t="str">
            <v>Unidad</v>
          </cell>
          <cell r="J231">
            <v>24500</v>
          </cell>
          <cell r="K231">
            <v>0</v>
          </cell>
          <cell r="L231">
            <v>3911.7647058823532</v>
          </cell>
          <cell r="M231">
            <v>0</v>
          </cell>
          <cell r="N231">
            <v>20588.235294117647</v>
          </cell>
          <cell r="O231">
            <v>0</v>
          </cell>
          <cell r="P231">
            <v>24500</v>
          </cell>
          <cell r="Q231">
            <v>0</v>
          </cell>
          <cell r="R231">
            <v>0</v>
          </cell>
        </row>
        <row r="232">
          <cell r="C232" t="str">
            <v>Kit portaguayas 1/4" (incluye guardacabo, grapas y soldadura a todo costo)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 t="str">
            <v>Unidad</v>
          </cell>
          <cell r="J232">
            <v>107296</v>
          </cell>
          <cell r="K232">
            <v>0</v>
          </cell>
          <cell r="L232">
            <v>17131.294117647059</v>
          </cell>
          <cell r="M232">
            <v>0</v>
          </cell>
          <cell r="N232">
            <v>90164.705882352951</v>
          </cell>
          <cell r="O232">
            <v>0</v>
          </cell>
          <cell r="P232">
            <v>107296</v>
          </cell>
          <cell r="Q232">
            <v>0</v>
          </cell>
          <cell r="R232">
            <v>0</v>
          </cell>
        </row>
        <row r="233">
          <cell r="C233" t="str">
            <v>Guardacabos 7/16"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 t="str">
            <v>Unidad</v>
          </cell>
          <cell r="J233">
            <v>13804</v>
          </cell>
          <cell r="K233">
            <v>0</v>
          </cell>
          <cell r="L233">
            <v>2204</v>
          </cell>
          <cell r="M233">
            <v>0</v>
          </cell>
          <cell r="N233">
            <v>11600</v>
          </cell>
          <cell r="O233">
            <v>0</v>
          </cell>
          <cell r="P233">
            <v>13804</v>
          </cell>
          <cell r="Q233">
            <v>0</v>
          </cell>
          <cell r="R233">
            <v>0</v>
          </cell>
        </row>
        <row r="234">
          <cell r="C234" t="str">
            <v>Kit portaguayas 7/16" (incluye guardacabo, grapas y soldadura a todo costo)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 t="str">
            <v>Unidad</v>
          </cell>
          <cell r="J234">
            <v>109200</v>
          </cell>
          <cell r="K234">
            <v>0</v>
          </cell>
          <cell r="L234">
            <v>17435.294117647059</v>
          </cell>
          <cell r="M234">
            <v>0</v>
          </cell>
          <cell r="N234">
            <v>91764.705882352951</v>
          </cell>
          <cell r="O234">
            <v>0</v>
          </cell>
          <cell r="P234">
            <v>109200</v>
          </cell>
          <cell r="Q234">
            <v>0</v>
          </cell>
          <cell r="R234">
            <v>0</v>
          </cell>
        </row>
        <row r="235">
          <cell r="C235" t="str">
            <v>Concreto de anclaje para estructuras de viaducto pedolón 4000 PSI impermeabilizado (Incluye formaleta, materiales, herramienta menor y mano de obra)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 t="str">
            <v>m3</v>
          </cell>
          <cell r="J235">
            <v>1135352.6100000001</v>
          </cell>
          <cell r="K235">
            <v>0</v>
          </cell>
          <cell r="L235">
            <v>181274.78647058827</v>
          </cell>
          <cell r="M235">
            <v>0</v>
          </cell>
          <cell r="N235">
            <v>954077.82352941192</v>
          </cell>
          <cell r="O235">
            <v>0</v>
          </cell>
          <cell r="P235">
            <v>1135352.6100000001</v>
          </cell>
          <cell r="Q235">
            <v>0</v>
          </cell>
          <cell r="R235">
            <v>0</v>
          </cell>
        </row>
        <row r="236">
          <cell r="C236" t="str">
            <v>Retiro de material sobrante hasta botadero autorizado a 5km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 t="str">
            <v>m3</v>
          </cell>
          <cell r="J236">
            <v>23142</v>
          </cell>
          <cell r="K236">
            <v>0</v>
          </cell>
          <cell r="L236">
            <v>3694.9411764705883</v>
          </cell>
          <cell r="M236">
            <v>0</v>
          </cell>
          <cell r="N236">
            <v>19447.058823529413</v>
          </cell>
          <cell r="O236">
            <v>0</v>
          </cell>
          <cell r="P236">
            <v>23142</v>
          </cell>
          <cell r="Q236">
            <v>0</v>
          </cell>
          <cell r="R236">
            <v>0</v>
          </cell>
        </row>
        <row r="237">
          <cell r="C237" t="str">
            <v>Niple 1.00m Ø4" en hierro ductil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str">
            <v>Unidad</v>
          </cell>
          <cell r="J237">
            <v>530000</v>
          </cell>
          <cell r="K237">
            <v>0</v>
          </cell>
          <cell r="L237">
            <v>84621.848739495807</v>
          </cell>
          <cell r="M237">
            <v>0</v>
          </cell>
          <cell r="N237">
            <v>445378.15126050421</v>
          </cell>
          <cell r="O237">
            <v>0</v>
          </cell>
          <cell r="P237">
            <v>530000</v>
          </cell>
          <cell r="Q237">
            <v>0</v>
          </cell>
          <cell r="R237">
            <v>40</v>
          </cell>
        </row>
        <row r="238">
          <cell r="C238" t="str">
            <v>Ptap compacta de ciclo completo para caudal de 6 Lps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 t="str">
            <v>Unidad</v>
          </cell>
          <cell r="J238">
            <v>320000000</v>
          </cell>
          <cell r="K238">
            <v>0</v>
          </cell>
          <cell r="L238">
            <v>51092436.974789917</v>
          </cell>
          <cell r="M238">
            <v>0</v>
          </cell>
          <cell r="N238">
            <v>268907563.02521008</v>
          </cell>
          <cell r="O238">
            <v>0</v>
          </cell>
          <cell r="P238">
            <v>320000000</v>
          </cell>
          <cell r="Q238">
            <v>0</v>
          </cell>
          <cell r="R238">
            <v>0</v>
          </cell>
        </row>
        <row r="239">
          <cell r="C239" t="str">
            <v>Tubería PVC Ø1" RDE 21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 t="str">
            <v>ml</v>
          </cell>
          <cell r="J239">
            <v>5731.04</v>
          </cell>
          <cell r="K239">
            <v>0</v>
          </cell>
          <cell r="L239">
            <v>915.04</v>
          </cell>
          <cell r="M239">
            <v>0</v>
          </cell>
          <cell r="N239">
            <v>4816</v>
          </cell>
          <cell r="O239">
            <v>0</v>
          </cell>
          <cell r="P239">
            <v>5731.04</v>
          </cell>
          <cell r="Q239">
            <v>0</v>
          </cell>
          <cell r="R239">
            <v>0</v>
          </cell>
        </row>
        <row r="240">
          <cell r="C240" t="str">
            <v xml:space="preserve">Válvula compuerta de cierre Ø=0,15 M con volante de manejo en hierro ductil 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 t="str">
            <v>Unidad</v>
          </cell>
          <cell r="J240">
            <v>3250000</v>
          </cell>
          <cell r="K240">
            <v>0</v>
          </cell>
          <cell r="L240">
            <v>518907.56302521011</v>
          </cell>
          <cell r="M240">
            <v>0</v>
          </cell>
          <cell r="N240">
            <v>2731092.4369747899</v>
          </cell>
          <cell r="O240">
            <v>0</v>
          </cell>
          <cell r="P240">
            <v>3250000</v>
          </cell>
          <cell r="Q240">
            <v>0</v>
          </cell>
          <cell r="R240">
            <v>53</v>
          </cell>
        </row>
        <row r="241">
          <cell r="C241" t="str">
            <v>Tubería PVC Ø12" NOVAFORT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 t="str">
            <v>ml</v>
          </cell>
          <cell r="J241">
            <v>83500</v>
          </cell>
          <cell r="K241">
            <v>0</v>
          </cell>
          <cell r="L241">
            <v>13331.932773109245</v>
          </cell>
          <cell r="M241">
            <v>0</v>
          </cell>
          <cell r="N241">
            <v>70168.067226890766</v>
          </cell>
          <cell r="O241">
            <v>0</v>
          </cell>
          <cell r="P241">
            <v>83500</v>
          </cell>
          <cell r="Q241">
            <v>0</v>
          </cell>
          <cell r="R241">
            <v>5</v>
          </cell>
        </row>
        <row r="242">
          <cell r="C242" t="str">
            <v>Malla electrosoldada 15x15cm 7mm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 t="str">
            <v>m2</v>
          </cell>
          <cell r="J242">
            <v>10500</v>
          </cell>
          <cell r="K242">
            <v>0</v>
          </cell>
          <cell r="L242">
            <v>1676.4705882352941</v>
          </cell>
          <cell r="M242">
            <v>0</v>
          </cell>
          <cell r="N242">
            <v>8823.5294117647063</v>
          </cell>
          <cell r="O242">
            <v>0</v>
          </cell>
          <cell r="P242">
            <v>10500</v>
          </cell>
          <cell r="Q242">
            <v>0</v>
          </cell>
          <cell r="R242">
            <v>0</v>
          </cell>
        </row>
        <row r="243">
          <cell r="C243" t="str">
            <v>Niple pasamuro L= 0,25m Ø4" en hierro ductil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 t="str">
            <v>Unidad</v>
          </cell>
          <cell r="J243">
            <v>202300</v>
          </cell>
          <cell r="K243">
            <v>0</v>
          </cell>
          <cell r="L243">
            <v>32300</v>
          </cell>
          <cell r="M243">
            <v>0</v>
          </cell>
          <cell r="N243">
            <v>170000</v>
          </cell>
          <cell r="O243">
            <v>0</v>
          </cell>
          <cell r="P243">
            <v>202300</v>
          </cell>
          <cell r="Q243">
            <v>0</v>
          </cell>
          <cell r="R243">
            <v>0</v>
          </cell>
        </row>
        <row r="244">
          <cell r="C244" t="str">
            <v>Tapón sanitario PVC 4"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 t="str">
            <v>Unidad</v>
          </cell>
          <cell r="J244">
            <v>3500</v>
          </cell>
          <cell r="K244">
            <v>0</v>
          </cell>
          <cell r="L244">
            <v>558.82352941176475</v>
          </cell>
          <cell r="M244">
            <v>0</v>
          </cell>
          <cell r="N244">
            <v>2941.1764705882356</v>
          </cell>
          <cell r="O244">
            <v>0</v>
          </cell>
          <cell r="P244">
            <v>3500</v>
          </cell>
          <cell r="Q244">
            <v>0</v>
          </cell>
          <cell r="R244">
            <v>0</v>
          </cell>
        </row>
        <row r="245">
          <cell r="C245" t="str">
            <v>Codo 90° presión PVC 1"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 t="str">
            <v>Unidad</v>
          </cell>
          <cell r="J245">
            <v>2699</v>
          </cell>
          <cell r="K245">
            <v>0</v>
          </cell>
          <cell r="L245">
            <v>430.93277310924373</v>
          </cell>
          <cell r="M245">
            <v>0</v>
          </cell>
          <cell r="N245">
            <v>2268.0672268907565</v>
          </cell>
          <cell r="O245">
            <v>0</v>
          </cell>
          <cell r="P245">
            <v>2699</v>
          </cell>
          <cell r="Q245">
            <v>0</v>
          </cell>
          <cell r="R245">
            <v>0</v>
          </cell>
        </row>
        <row r="246">
          <cell r="C246" t="str">
            <v>Yee presión PVC 1"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 t="str">
            <v>Unidad</v>
          </cell>
          <cell r="J246">
            <v>2937</v>
          </cell>
          <cell r="K246">
            <v>0</v>
          </cell>
          <cell r="L246">
            <v>468.93277310924373</v>
          </cell>
          <cell r="M246">
            <v>0</v>
          </cell>
          <cell r="N246">
            <v>2468.0672268907565</v>
          </cell>
          <cell r="O246">
            <v>0</v>
          </cell>
          <cell r="P246">
            <v>2937</v>
          </cell>
          <cell r="Q246">
            <v>0</v>
          </cell>
          <cell r="R246">
            <v>0</v>
          </cell>
        </row>
        <row r="247">
          <cell r="C247" t="str">
            <v>Codo 45° presión PVC 1"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 t="str">
            <v>Unidad</v>
          </cell>
          <cell r="J247">
            <v>4350</v>
          </cell>
          <cell r="K247">
            <v>0</v>
          </cell>
          <cell r="L247">
            <v>694.53781512605042</v>
          </cell>
          <cell r="M247">
            <v>0</v>
          </cell>
          <cell r="N247">
            <v>3655.4621848739498</v>
          </cell>
          <cell r="O247">
            <v>0</v>
          </cell>
          <cell r="P247">
            <v>4350</v>
          </cell>
          <cell r="Q247">
            <v>0</v>
          </cell>
          <cell r="R247">
            <v>0</v>
          </cell>
        </row>
        <row r="248">
          <cell r="C248" t="str">
            <v>Válvula de cierre PVC 1"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 t="str">
            <v>Unidad</v>
          </cell>
          <cell r="J248">
            <v>5566</v>
          </cell>
          <cell r="K248">
            <v>0</v>
          </cell>
          <cell r="L248">
            <v>888.6890756302522</v>
          </cell>
          <cell r="M248">
            <v>0</v>
          </cell>
          <cell r="N248">
            <v>4677.3109243697481</v>
          </cell>
          <cell r="O248">
            <v>0</v>
          </cell>
          <cell r="P248">
            <v>5566</v>
          </cell>
          <cell r="Q248">
            <v>0</v>
          </cell>
          <cell r="R248">
            <v>0</v>
          </cell>
        </row>
        <row r="249">
          <cell r="C249" t="str">
            <v>Teja eternit traslúcida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 t="str">
            <v>m2</v>
          </cell>
          <cell r="J249">
            <v>26480</v>
          </cell>
          <cell r="K249">
            <v>0</v>
          </cell>
          <cell r="L249">
            <v>4227.8991596638652</v>
          </cell>
          <cell r="M249">
            <v>0</v>
          </cell>
          <cell r="N249">
            <v>22252.100840336134</v>
          </cell>
          <cell r="O249">
            <v>0</v>
          </cell>
          <cell r="P249">
            <v>26480</v>
          </cell>
          <cell r="Q249">
            <v>0</v>
          </cell>
          <cell r="R249">
            <v>0</v>
          </cell>
        </row>
        <row r="250">
          <cell r="C250" t="str">
            <v>Tornillos autoperforantes 1 1/2" para cubiertas con arandela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 t="str">
            <v>Unidad</v>
          </cell>
          <cell r="J250">
            <v>429</v>
          </cell>
          <cell r="K250">
            <v>0</v>
          </cell>
          <cell r="L250">
            <v>68.495798319327733</v>
          </cell>
          <cell r="M250">
            <v>0</v>
          </cell>
          <cell r="N250">
            <v>360.50420168067228</v>
          </cell>
          <cell r="O250">
            <v>0</v>
          </cell>
          <cell r="P250">
            <v>429</v>
          </cell>
          <cell r="Q250">
            <v>0</v>
          </cell>
          <cell r="R250">
            <v>0</v>
          </cell>
        </row>
        <row r="251">
          <cell r="C251" t="str">
            <v>Caballete para cubierta 0,6x0,94m e=2mm UPVC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 t="str">
            <v>Unidad</v>
          </cell>
          <cell r="J251">
            <v>19750</v>
          </cell>
          <cell r="K251">
            <v>0</v>
          </cell>
          <cell r="L251">
            <v>3153.3613445378155</v>
          </cell>
          <cell r="M251">
            <v>0</v>
          </cell>
          <cell r="N251">
            <v>16596.638655462186</v>
          </cell>
          <cell r="O251">
            <v>0</v>
          </cell>
          <cell r="P251">
            <v>19750</v>
          </cell>
          <cell r="Q251">
            <v>0</v>
          </cell>
          <cell r="R251">
            <v>0</v>
          </cell>
        </row>
        <row r="252">
          <cell r="C252" t="str">
            <v>Listón en madera 2 1/2"x8"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 t="str">
            <v>ml</v>
          </cell>
          <cell r="J252">
            <v>27756</v>
          </cell>
          <cell r="K252">
            <v>0</v>
          </cell>
          <cell r="L252">
            <v>4431.6302521008402</v>
          </cell>
          <cell r="M252">
            <v>0</v>
          </cell>
          <cell r="N252">
            <v>23324.36974789916</v>
          </cell>
          <cell r="O252">
            <v>0</v>
          </cell>
          <cell r="P252">
            <v>27756</v>
          </cell>
          <cell r="Q252">
            <v>0</v>
          </cell>
          <cell r="R252">
            <v>0</v>
          </cell>
        </row>
        <row r="253">
          <cell r="C253" t="str">
            <v>Perno 2x5/8"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 t="str">
            <v>Unidad</v>
          </cell>
          <cell r="J253">
            <v>2650</v>
          </cell>
          <cell r="K253">
            <v>0</v>
          </cell>
          <cell r="L253">
            <v>423.10924369747897</v>
          </cell>
          <cell r="M253">
            <v>0</v>
          </cell>
          <cell r="N253">
            <v>2226.8907563025209</v>
          </cell>
          <cell r="O253">
            <v>0</v>
          </cell>
          <cell r="P253">
            <v>2650</v>
          </cell>
          <cell r="Q253">
            <v>0</v>
          </cell>
          <cell r="R253">
            <v>0</v>
          </cell>
        </row>
        <row r="254">
          <cell r="C254" t="str">
            <v>Tubería PVC Ø4" alcantarillado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 t="str">
            <v>ml</v>
          </cell>
          <cell r="J254">
            <v>35000</v>
          </cell>
          <cell r="K254">
            <v>0</v>
          </cell>
          <cell r="L254">
            <v>5588.2352941176468</v>
          </cell>
          <cell r="M254">
            <v>0</v>
          </cell>
          <cell r="N254">
            <v>29411.764705882353</v>
          </cell>
          <cell r="O254">
            <v>0</v>
          </cell>
          <cell r="P254">
            <v>35000</v>
          </cell>
          <cell r="Q254">
            <v>0</v>
          </cell>
          <cell r="R254">
            <v>0</v>
          </cell>
        </row>
        <row r="255">
          <cell r="C255" t="str">
            <v>Tubería PVC Ø1" presión rde 13.5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 t="str">
            <v>ml</v>
          </cell>
          <cell r="J255">
            <v>7150</v>
          </cell>
          <cell r="K255">
            <v>0</v>
          </cell>
          <cell r="L255">
            <v>1141.5966386554624</v>
          </cell>
          <cell r="M255">
            <v>0</v>
          </cell>
          <cell r="N255">
            <v>6008.4033613445381</v>
          </cell>
          <cell r="O255">
            <v>0</v>
          </cell>
          <cell r="P255">
            <v>7150</v>
          </cell>
          <cell r="Q255">
            <v>0</v>
          </cell>
          <cell r="R255">
            <v>0</v>
          </cell>
        </row>
        <row r="256">
          <cell r="C256" t="str">
            <v>Niple 1.00m Ø6" en hierro ductil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 t="str">
            <v>Unidad</v>
          </cell>
          <cell r="J256">
            <v>689000</v>
          </cell>
          <cell r="K256">
            <v>0</v>
          </cell>
          <cell r="L256">
            <v>110008.40336134455</v>
          </cell>
          <cell r="M256">
            <v>0</v>
          </cell>
          <cell r="N256">
            <v>578991.59663865552</v>
          </cell>
          <cell r="O256">
            <v>0</v>
          </cell>
          <cell r="P256">
            <v>689000</v>
          </cell>
          <cell r="Q256">
            <v>0</v>
          </cell>
          <cell r="R256">
            <v>0</v>
          </cell>
        </row>
        <row r="257">
          <cell r="C257" t="str">
            <v>Tubería PVC 6" con unión mecánica RDE 32.5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 t="str">
            <v>ml</v>
          </cell>
          <cell r="J257">
            <v>81102.666666666672</v>
          </cell>
          <cell r="K257">
            <v>0</v>
          </cell>
          <cell r="L257">
            <v>12949.165266106444</v>
          </cell>
          <cell r="M257">
            <v>0</v>
          </cell>
          <cell r="N257">
            <v>68153.501400560228</v>
          </cell>
          <cell r="O257">
            <v>0</v>
          </cell>
          <cell r="P257">
            <v>81102.666666666672</v>
          </cell>
          <cell r="Q257">
            <v>0</v>
          </cell>
          <cell r="R257">
            <v>0</v>
          </cell>
        </row>
        <row r="258">
          <cell r="C258" t="str">
            <v>Perfil en C para correas metálicas Gr 50 (150x50x2mm)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 t="str">
            <v>ml</v>
          </cell>
          <cell r="J258">
            <v>32350</v>
          </cell>
          <cell r="K258">
            <v>0</v>
          </cell>
          <cell r="L258">
            <v>5165.1260504201682</v>
          </cell>
          <cell r="M258">
            <v>0</v>
          </cell>
          <cell r="N258">
            <v>27184.873949579833</v>
          </cell>
          <cell r="O258">
            <v>0</v>
          </cell>
          <cell r="P258">
            <v>32350</v>
          </cell>
          <cell r="Q258">
            <v>0</v>
          </cell>
          <cell r="R258">
            <v>0</v>
          </cell>
        </row>
        <row r="259">
          <cell r="C259" t="str">
            <v>Tornillos autoperforantes 2" para cubiertas con arandela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 t="str">
            <v>Unidad</v>
          </cell>
          <cell r="J259">
            <v>1739</v>
          </cell>
          <cell r="K259">
            <v>0</v>
          </cell>
          <cell r="L259">
            <v>277.65546218487395</v>
          </cell>
          <cell r="M259">
            <v>0</v>
          </cell>
          <cell r="N259">
            <v>1461.3445378151262</v>
          </cell>
          <cell r="O259">
            <v>0</v>
          </cell>
          <cell r="P259">
            <v>1739</v>
          </cell>
          <cell r="Q259">
            <v>0</v>
          </cell>
          <cell r="R259">
            <v>0</v>
          </cell>
        </row>
        <row r="260">
          <cell r="C260" t="str">
            <v>Teja termoacústica ecoroof 36 UPVC para cubierta e=2mm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 t="str">
            <v>m2</v>
          </cell>
          <cell r="J260">
            <v>55166.27</v>
          </cell>
          <cell r="K260">
            <v>0</v>
          </cell>
          <cell r="L260">
            <v>8808.0599159663871</v>
          </cell>
          <cell r="M260">
            <v>0</v>
          </cell>
          <cell r="N260">
            <v>46358.210084033613</v>
          </cell>
          <cell r="O260">
            <v>0</v>
          </cell>
          <cell r="P260">
            <v>55166.27</v>
          </cell>
          <cell r="Q260">
            <v>0</v>
          </cell>
          <cell r="R260">
            <v>0</v>
          </cell>
        </row>
        <row r="261">
          <cell r="C261" t="str">
            <v xml:space="preserve">Tubo cuadrado de 1 1/2" x 1 1/2" x 0,8mm 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 t="str">
            <v>ml</v>
          </cell>
          <cell r="J261">
            <v>9325</v>
          </cell>
          <cell r="K261">
            <v>0</v>
          </cell>
          <cell r="L261">
            <v>1488.8655462184875</v>
          </cell>
          <cell r="M261">
            <v>0</v>
          </cell>
          <cell r="N261">
            <v>7836.134453781513</v>
          </cell>
          <cell r="O261">
            <v>0</v>
          </cell>
          <cell r="P261">
            <v>9325</v>
          </cell>
          <cell r="Q261">
            <v>0</v>
          </cell>
          <cell r="R261">
            <v>0</v>
          </cell>
        </row>
        <row r="262">
          <cell r="C262" t="str">
            <v>Caballete para cubierta 0,6x0,94m e=2mm UPVC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 t="str">
            <v>Unidad</v>
          </cell>
          <cell r="J262">
            <v>19748</v>
          </cell>
          <cell r="K262">
            <v>0</v>
          </cell>
          <cell r="L262">
            <v>3153.042016806723</v>
          </cell>
          <cell r="M262">
            <v>0</v>
          </cell>
          <cell r="N262">
            <v>16594.957983193279</v>
          </cell>
          <cell r="O262">
            <v>0</v>
          </cell>
          <cell r="P262">
            <v>19748</v>
          </cell>
          <cell r="Q262">
            <v>0</v>
          </cell>
          <cell r="R262">
            <v>0</v>
          </cell>
        </row>
        <row r="263">
          <cell r="C263" t="str">
            <v>Canaleta PRFV 100x45mm 2mt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 t="str">
            <v>Unidad</v>
          </cell>
          <cell r="J263">
            <v>61900</v>
          </cell>
          <cell r="K263">
            <v>0</v>
          </cell>
          <cell r="L263">
            <v>9883.1932773109256</v>
          </cell>
          <cell r="M263">
            <v>0</v>
          </cell>
          <cell r="N263">
            <v>52016.806722689078</v>
          </cell>
          <cell r="O263">
            <v>0</v>
          </cell>
          <cell r="P263">
            <v>61900</v>
          </cell>
          <cell r="Q263">
            <v>0</v>
          </cell>
          <cell r="R263">
            <v>0</v>
          </cell>
        </row>
        <row r="264">
          <cell r="C264" t="str">
            <v>Combo sanitario smart; incluye inodoro, lavamanos con mueble, grifería, accesorios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 t="str">
            <v>Unidad</v>
          </cell>
          <cell r="J264">
            <v>1190900</v>
          </cell>
          <cell r="K264">
            <v>0</v>
          </cell>
          <cell r="L264">
            <v>190143.69747899161</v>
          </cell>
          <cell r="M264">
            <v>0</v>
          </cell>
          <cell r="N264">
            <v>1000756.3025210084</v>
          </cell>
          <cell r="O264">
            <v>0</v>
          </cell>
          <cell r="P264">
            <v>1190900</v>
          </cell>
          <cell r="Q264">
            <v>0</v>
          </cell>
          <cell r="R264">
            <v>0</v>
          </cell>
        </row>
        <row r="265">
          <cell r="C265" t="str">
            <v>Ducha cuadrada cromada; incluye grifería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 t="str">
            <v>Unidad</v>
          </cell>
          <cell r="J265">
            <v>162900</v>
          </cell>
          <cell r="K265">
            <v>0</v>
          </cell>
          <cell r="L265">
            <v>26009.243697478993</v>
          </cell>
          <cell r="M265">
            <v>0</v>
          </cell>
          <cell r="N265">
            <v>136890.75630252101</v>
          </cell>
          <cell r="O265">
            <v>0</v>
          </cell>
          <cell r="P265">
            <v>162900</v>
          </cell>
          <cell r="Q265">
            <v>0</v>
          </cell>
          <cell r="R265">
            <v>0</v>
          </cell>
        </row>
        <row r="266">
          <cell r="C266" t="str">
            <v>Tablero acrílico 80x120cm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 t="str">
            <v>Unidad</v>
          </cell>
          <cell r="J266">
            <v>184900</v>
          </cell>
          <cell r="K266">
            <v>0</v>
          </cell>
          <cell r="L266">
            <v>29521.848739495799</v>
          </cell>
          <cell r="M266">
            <v>0</v>
          </cell>
          <cell r="N266">
            <v>155378.15126050421</v>
          </cell>
          <cell r="O266">
            <v>0</v>
          </cell>
          <cell r="P266">
            <v>184900</v>
          </cell>
          <cell r="Q266">
            <v>0</v>
          </cell>
          <cell r="R266">
            <v>0</v>
          </cell>
        </row>
        <row r="267">
          <cell r="C267" t="str">
            <v>Estanteria 180x90x45cm 5 niveles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 t="str">
            <v>Unidad</v>
          </cell>
          <cell r="J267">
            <v>229900</v>
          </cell>
          <cell r="K267">
            <v>0</v>
          </cell>
          <cell r="L267">
            <v>36706.722689075628</v>
          </cell>
          <cell r="M267">
            <v>0</v>
          </cell>
          <cell r="N267">
            <v>193193.27731092437</v>
          </cell>
          <cell r="O267">
            <v>0</v>
          </cell>
          <cell r="P267">
            <v>229900</v>
          </cell>
          <cell r="Q267">
            <v>0</v>
          </cell>
          <cell r="R267">
            <v>0</v>
          </cell>
        </row>
        <row r="268">
          <cell r="C268" t="str">
            <v>Ventana de aluminio 150x120cm; vidrio 6mm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 t="str">
            <v>Unidad</v>
          </cell>
          <cell r="J268">
            <v>177900</v>
          </cell>
          <cell r="K268">
            <v>0</v>
          </cell>
          <cell r="L268">
            <v>28404.201680672268</v>
          </cell>
          <cell r="M268">
            <v>0</v>
          </cell>
          <cell r="N268">
            <v>149495.79831932773</v>
          </cell>
          <cell r="O268">
            <v>0</v>
          </cell>
          <cell r="P268">
            <v>177900</v>
          </cell>
          <cell r="Q268">
            <v>0</v>
          </cell>
          <cell r="R268">
            <v>0</v>
          </cell>
        </row>
        <row r="269">
          <cell r="C269" t="str">
            <v>Ventana de aluminio 50x150cm; vidrio 6mm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 t="str">
            <v>Unidad</v>
          </cell>
          <cell r="J269">
            <v>100000</v>
          </cell>
          <cell r="K269">
            <v>0</v>
          </cell>
          <cell r="L269">
            <v>15966.386554621849</v>
          </cell>
          <cell r="M269">
            <v>0</v>
          </cell>
          <cell r="N269">
            <v>84033.613445378156</v>
          </cell>
          <cell r="O269">
            <v>0</v>
          </cell>
          <cell r="P269">
            <v>100000</v>
          </cell>
          <cell r="Q269">
            <v>0</v>
          </cell>
          <cell r="R269">
            <v>0</v>
          </cell>
        </row>
        <row r="270">
          <cell r="C270" t="str">
            <v>Ventana de aluminio 100x150cm; vidrio 6mm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 t="str">
            <v>Unidad</v>
          </cell>
          <cell r="J270">
            <v>339900</v>
          </cell>
          <cell r="K270">
            <v>0</v>
          </cell>
          <cell r="L270">
            <v>54269.747899159665</v>
          </cell>
          <cell r="M270">
            <v>0</v>
          </cell>
          <cell r="N270">
            <v>285630.25210084033</v>
          </cell>
          <cell r="O270">
            <v>0</v>
          </cell>
          <cell r="P270">
            <v>339900</v>
          </cell>
          <cell r="Q270">
            <v>0</v>
          </cell>
          <cell r="R270">
            <v>0</v>
          </cell>
        </row>
        <row r="271">
          <cell r="C271" t="str">
            <v>Puerta en aluminio 90x210cm; incluye marco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 t="str">
            <v>Unidad</v>
          </cell>
          <cell r="J271">
            <v>639900</v>
          </cell>
          <cell r="K271">
            <v>0</v>
          </cell>
          <cell r="L271">
            <v>102168.90756302522</v>
          </cell>
          <cell r="M271">
            <v>0</v>
          </cell>
          <cell r="N271">
            <v>537731.09243697487</v>
          </cell>
          <cell r="O271">
            <v>0</v>
          </cell>
          <cell r="P271">
            <v>639900</v>
          </cell>
          <cell r="Q271">
            <v>0</v>
          </cell>
          <cell r="R271">
            <v>0</v>
          </cell>
        </row>
        <row r="272">
          <cell r="C272" t="str">
            <v>Puerta en aluminio 70x210cm; incluye marco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 t="str">
            <v>Unidad</v>
          </cell>
          <cell r="J272">
            <v>289900</v>
          </cell>
          <cell r="K272">
            <v>0</v>
          </cell>
          <cell r="L272">
            <v>46286.554621848743</v>
          </cell>
          <cell r="M272">
            <v>0</v>
          </cell>
          <cell r="N272">
            <v>243613.44537815129</v>
          </cell>
          <cell r="O272">
            <v>0</v>
          </cell>
          <cell r="P272">
            <v>289900</v>
          </cell>
          <cell r="Q272">
            <v>0</v>
          </cell>
          <cell r="R272">
            <v>0</v>
          </cell>
        </row>
        <row r="273">
          <cell r="C273" t="str">
            <v>Puerta en aluminio doble ala 150x210cm; incluye marco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 t="str">
            <v>Unidad</v>
          </cell>
          <cell r="J273">
            <v>950000</v>
          </cell>
          <cell r="K273">
            <v>0</v>
          </cell>
          <cell r="L273">
            <v>151680.67226890757</v>
          </cell>
          <cell r="M273">
            <v>0</v>
          </cell>
          <cell r="N273">
            <v>798319.32773109246</v>
          </cell>
          <cell r="O273">
            <v>0</v>
          </cell>
          <cell r="P273">
            <v>950000</v>
          </cell>
          <cell r="Q273">
            <v>0</v>
          </cell>
          <cell r="R273">
            <v>0</v>
          </cell>
        </row>
        <row r="274">
          <cell r="C274" t="str">
            <v>Pozo séptico 230x114x123cm prefabricado 2000 Lts; Incluye tanque, material filtrante, tapa, trampa de grasas y accesorios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 t="str">
            <v>Unidad</v>
          </cell>
          <cell r="J274">
            <v>4941900</v>
          </cell>
          <cell r="K274">
            <v>0</v>
          </cell>
          <cell r="L274">
            <v>789042.85714285716</v>
          </cell>
          <cell r="M274">
            <v>0</v>
          </cell>
          <cell r="N274">
            <v>4152857.1428571432</v>
          </cell>
          <cell r="O274">
            <v>0</v>
          </cell>
          <cell r="P274">
            <v>4941900</v>
          </cell>
          <cell r="Q274">
            <v>0</v>
          </cell>
          <cell r="R274">
            <v>0</v>
          </cell>
        </row>
        <row r="275">
          <cell r="C275" t="str">
            <v>Malla electrosoldada 15x15cm 6mm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 t="str">
            <v>m2</v>
          </cell>
          <cell r="J275">
            <v>9600</v>
          </cell>
          <cell r="K275">
            <v>0</v>
          </cell>
          <cell r="L275">
            <v>1532.7731092436975</v>
          </cell>
          <cell r="M275">
            <v>0</v>
          </cell>
          <cell r="N275">
            <v>8067.226890756303</v>
          </cell>
          <cell r="O275">
            <v>0</v>
          </cell>
          <cell r="P275">
            <v>9600</v>
          </cell>
          <cell r="Q275">
            <v>0</v>
          </cell>
          <cell r="R275">
            <v>0</v>
          </cell>
        </row>
        <row r="276">
          <cell r="C276" t="str">
            <v>Pasamuro Ø4" L=0.25M en hierro ductil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 t="str">
            <v>Unidad</v>
          </cell>
          <cell r="J276">
            <v>380000</v>
          </cell>
          <cell r="K276">
            <v>0</v>
          </cell>
          <cell r="L276">
            <v>60672.268907563033</v>
          </cell>
          <cell r="M276">
            <v>0</v>
          </cell>
          <cell r="N276">
            <v>319327.731092437</v>
          </cell>
          <cell r="O276">
            <v>0</v>
          </cell>
          <cell r="P276">
            <v>380000</v>
          </cell>
          <cell r="Q276">
            <v>0</v>
          </cell>
          <cell r="R276">
            <v>16</v>
          </cell>
        </row>
        <row r="277">
          <cell r="C277" t="str">
            <v>Codo Ø6" x 90° en hierro ductil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 t="str">
            <v>Unidad</v>
          </cell>
          <cell r="J277">
            <v>691000</v>
          </cell>
          <cell r="K277">
            <v>0</v>
          </cell>
          <cell r="L277">
            <v>110327.73109243698</v>
          </cell>
          <cell r="M277">
            <v>0</v>
          </cell>
          <cell r="N277">
            <v>580672.26890756306</v>
          </cell>
          <cell r="O277">
            <v>0</v>
          </cell>
          <cell r="P277">
            <v>691000</v>
          </cell>
          <cell r="Q277">
            <v>0</v>
          </cell>
          <cell r="R277">
            <v>0</v>
          </cell>
        </row>
        <row r="278">
          <cell r="C278" t="str">
            <v>Silla-escritorio ergonomica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 t="str">
            <v>Unidad</v>
          </cell>
          <cell r="J278">
            <v>174900</v>
          </cell>
          <cell r="K278">
            <v>0</v>
          </cell>
          <cell r="L278" t="str">
            <v>Homcenter</v>
          </cell>
          <cell r="M278">
            <v>0</v>
          </cell>
          <cell r="N278">
            <v>146974.78991596639</v>
          </cell>
          <cell r="O278">
            <v>0</v>
          </cell>
          <cell r="P278">
            <v>174900</v>
          </cell>
          <cell r="Q278">
            <v>0</v>
          </cell>
          <cell r="R278">
            <v>0</v>
          </cell>
        </row>
        <row r="279">
          <cell r="C279" t="str">
            <v>Escritorio-biblioteca 113x106.4x48cm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 t="str">
            <v>Unidad</v>
          </cell>
          <cell r="J279">
            <v>249900</v>
          </cell>
          <cell r="K279">
            <v>0</v>
          </cell>
          <cell r="L279" t="str">
            <v>Homcenter</v>
          </cell>
          <cell r="M279">
            <v>0</v>
          </cell>
          <cell r="N279">
            <v>210000</v>
          </cell>
          <cell r="O279">
            <v>0</v>
          </cell>
          <cell r="P279">
            <v>249900</v>
          </cell>
          <cell r="Q279">
            <v>0</v>
          </cell>
          <cell r="R279">
            <v>0</v>
          </cell>
        </row>
        <row r="280">
          <cell r="C280" t="str">
            <v>Cafetera 12 tazas switch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 t="str">
            <v>Unidad</v>
          </cell>
          <cell r="J280">
            <v>149900</v>
          </cell>
          <cell r="K280">
            <v>0</v>
          </cell>
          <cell r="L280" t="str">
            <v>Homcenter</v>
          </cell>
          <cell r="M280">
            <v>0</v>
          </cell>
          <cell r="N280">
            <v>125966.38655462186</v>
          </cell>
          <cell r="O280">
            <v>0</v>
          </cell>
          <cell r="P280">
            <v>149900</v>
          </cell>
          <cell r="Q280">
            <v>0</v>
          </cell>
          <cell r="R280">
            <v>0</v>
          </cell>
        </row>
        <row r="281">
          <cell r="C281" t="str">
            <v>Estufa de sobremesa 57cm 2 puestos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 t="str">
            <v>Unidad</v>
          </cell>
          <cell r="J281">
            <v>90900</v>
          </cell>
          <cell r="K281">
            <v>0</v>
          </cell>
          <cell r="L281" t="str">
            <v>Homcenter</v>
          </cell>
          <cell r="M281">
            <v>0</v>
          </cell>
          <cell r="N281">
            <v>76386.554621848743</v>
          </cell>
          <cell r="O281">
            <v>0</v>
          </cell>
          <cell r="P281">
            <v>90900</v>
          </cell>
          <cell r="Q281">
            <v>0</v>
          </cell>
          <cell r="R281">
            <v>0</v>
          </cell>
        </row>
        <row r="282">
          <cell r="C282" t="str">
            <v>Horno microondas 0.7 1100wats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 t="str">
            <v>Unidad</v>
          </cell>
          <cell r="J282">
            <v>364900</v>
          </cell>
          <cell r="K282">
            <v>0</v>
          </cell>
          <cell r="L282" t="str">
            <v>Homcenter</v>
          </cell>
          <cell r="M282">
            <v>0</v>
          </cell>
          <cell r="N282">
            <v>306638.65546218486</v>
          </cell>
          <cell r="O282">
            <v>0</v>
          </cell>
          <cell r="P282">
            <v>364900</v>
          </cell>
          <cell r="Q282">
            <v>0</v>
          </cell>
          <cell r="R282">
            <v>0</v>
          </cell>
        </row>
        <row r="283">
          <cell r="C283" t="str">
            <v>Ventilador de pared 3 velocidades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 t="str">
            <v>Unidad</v>
          </cell>
          <cell r="J283">
            <v>209900</v>
          </cell>
          <cell r="K283">
            <v>0</v>
          </cell>
          <cell r="L283" t="str">
            <v>Homcenter</v>
          </cell>
          <cell r="M283">
            <v>0</v>
          </cell>
          <cell r="N283">
            <v>176386.55462184874</v>
          </cell>
          <cell r="O283">
            <v>0</v>
          </cell>
          <cell r="P283">
            <v>209900</v>
          </cell>
          <cell r="Q283">
            <v>0</v>
          </cell>
          <cell r="R283">
            <v>0</v>
          </cell>
        </row>
        <row r="284">
          <cell r="C284" t="str">
            <v>Aire acondicionado Inverter 110V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 t="str">
            <v>Unidad</v>
          </cell>
          <cell r="J284">
            <v>1499900</v>
          </cell>
          <cell r="K284">
            <v>0</v>
          </cell>
          <cell r="L284" t="str">
            <v>Homcenter</v>
          </cell>
          <cell r="M284">
            <v>0</v>
          </cell>
          <cell r="N284">
            <v>1260420.1680672269</v>
          </cell>
          <cell r="O284">
            <v>0</v>
          </cell>
          <cell r="P284">
            <v>1499900</v>
          </cell>
          <cell r="Q284">
            <v>0</v>
          </cell>
          <cell r="R284">
            <v>0</v>
          </cell>
        </row>
        <row r="285">
          <cell r="C285" t="str">
            <v>Silla con brazos polipropileno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 t="str">
            <v>Unidad</v>
          </cell>
          <cell r="J285">
            <v>369900</v>
          </cell>
          <cell r="K285">
            <v>0</v>
          </cell>
          <cell r="L285" t="str">
            <v>Homcenter</v>
          </cell>
          <cell r="M285">
            <v>0</v>
          </cell>
          <cell r="N285">
            <v>310840.33613445377</v>
          </cell>
          <cell r="O285">
            <v>0</v>
          </cell>
          <cell r="P285">
            <v>369900</v>
          </cell>
          <cell r="Q285">
            <v>0</v>
          </cell>
          <cell r="R285">
            <v>0</v>
          </cell>
        </row>
        <row r="286">
          <cell r="C286" t="str">
            <v>Nevera Mini bar 93 lts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 t="str">
            <v>Unidad</v>
          </cell>
          <cell r="J286">
            <v>1011381</v>
          </cell>
          <cell r="K286">
            <v>0</v>
          </cell>
          <cell r="L286" t="str">
            <v>Alkosto</v>
          </cell>
          <cell r="M286">
            <v>0</v>
          </cell>
          <cell r="N286">
            <v>849900</v>
          </cell>
          <cell r="O286">
            <v>0</v>
          </cell>
          <cell r="P286">
            <v>1011381</v>
          </cell>
          <cell r="Q286">
            <v>0</v>
          </cell>
          <cell r="R286">
            <v>0</v>
          </cell>
        </row>
        <row r="287">
          <cell r="C287" t="str">
            <v>Computador portatil 16plg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 t="str">
            <v>Unidad</v>
          </cell>
          <cell r="J287">
            <v>4282810</v>
          </cell>
          <cell r="K287">
            <v>0</v>
          </cell>
          <cell r="L287" t="str">
            <v>Alkosto</v>
          </cell>
          <cell r="M287">
            <v>0</v>
          </cell>
          <cell r="N287">
            <v>3599000</v>
          </cell>
          <cell r="O287">
            <v>0</v>
          </cell>
          <cell r="P287">
            <v>4282810</v>
          </cell>
          <cell r="Q287">
            <v>0</v>
          </cell>
          <cell r="R287">
            <v>0</v>
          </cell>
        </row>
        <row r="288">
          <cell r="C288" t="str">
            <v xml:space="preserve">Set x3 de Bombillas LED 3.5w 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 t="str">
            <v>Unidad</v>
          </cell>
          <cell r="J288">
            <v>15351</v>
          </cell>
          <cell r="K288">
            <v>0</v>
          </cell>
          <cell r="L288" t="str">
            <v>Homcenter</v>
          </cell>
          <cell r="M288">
            <v>0</v>
          </cell>
          <cell r="N288">
            <v>12900</v>
          </cell>
          <cell r="O288">
            <v>0</v>
          </cell>
          <cell r="P288">
            <v>15351</v>
          </cell>
          <cell r="Q288">
            <v>0</v>
          </cell>
          <cell r="R288">
            <v>0</v>
          </cell>
        </row>
        <row r="289">
          <cell r="C289" t="str">
            <v>Medidor PH Multiparámetro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 t="str">
            <v>Unidad</v>
          </cell>
          <cell r="J289">
            <v>18901587.529999997</v>
          </cell>
          <cell r="K289">
            <v>0</v>
          </cell>
          <cell r="L289" t="str">
            <v>Viaindustrial.com</v>
          </cell>
          <cell r="M289">
            <v>0</v>
          </cell>
          <cell r="N289">
            <v>15883686.999999998</v>
          </cell>
          <cell r="O289">
            <v>0</v>
          </cell>
          <cell r="P289">
            <v>18901587.529999997</v>
          </cell>
          <cell r="Q289">
            <v>0</v>
          </cell>
          <cell r="R289">
            <v>0</v>
          </cell>
        </row>
        <row r="290">
          <cell r="C290" t="str">
            <v>Bomba dosificadora de químicos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 t="str">
            <v>Unidad</v>
          </cell>
          <cell r="J290">
            <v>29613648.609999999</v>
          </cell>
          <cell r="K290">
            <v>0</v>
          </cell>
          <cell r="L290" t="str">
            <v>Viaindustrial.com</v>
          </cell>
          <cell r="M290">
            <v>0</v>
          </cell>
          <cell r="N290">
            <v>24885419</v>
          </cell>
          <cell r="O290">
            <v>0</v>
          </cell>
          <cell r="P290">
            <v>29613648.609999999</v>
          </cell>
          <cell r="Q290">
            <v>0</v>
          </cell>
          <cell r="R290">
            <v>0</v>
          </cell>
        </row>
        <row r="291">
          <cell r="C291" t="str">
            <v>Floculador horizontal de 4 puestos lineal (test de jarras)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 t="str">
            <v>Unidad</v>
          </cell>
          <cell r="J291">
            <v>7575059.2399999993</v>
          </cell>
          <cell r="K291">
            <v>0</v>
          </cell>
          <cell r="L291" t="str">
            <v>Viaindustrial.com</v>
          </cell>
          <cell r="M291">
            <v>0</v>
          </cell>
          <cell r="N291">
            <v>6365596</v>
          </cell>
          <cell r="O291">
            <v>0</v>
          </cell>
          <cell r="P291">
            <v>7575059.2399999993</v>
          </cell>
          <cell r="Q291">
            <v>0</v>
          </cell>
          <cell r="R291">
            <v>0</v>
          </cell>
        </row>
        <row r="292">
          <cell r="C292" t="str">
            <v>2 Baterias AA recargables con cargador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 t="str">
            <v>Unidad</v>
          </cell>
          <cell r="J292">
            <v>99900</v>
          </cell>
          <cell r="K292">
            <v>0</v>
          </cell>
          <cell r="L292" t="str">
            <v>Homcenter</v>
          </cell>
          <cell r="M292">
            <v>0</v>
          </cell>
          <cell r="N292">
            <v>83949.579831932773</v>
          </cell>
          <cell r="O292">
            <v>0</v>
          </cell>
          <cell r="P292">
            <v>99900</v>
          </cell>
          <cell r="Q292">
            <v>0</v>
          </cell>
          <cell r="R292">
            <v>0</v>
          </cell>
        </row>
        <row r="293">
          <cell r="C293" t="str">
            <v>Geotextil no tejido 2000 o similar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 t="str">
            <v>m2</v>
          </cell>
          <cell r="J293">
            <v>7900</v>
          </cell>
          <cell r="K293">
            <v>0</v>
          </cell>
          <cell r="L293">
            <v>1261.3445378151262</v>
          </cell>
          <cell r="M293">
            <v>0</v>
          </cell>
          <cell r="N293">
            <v>6638.6554621848745</v>
          </cell>
          <cell r="O293">
            <v>0</v>
          </cell>
          <cell r="P293">
            <v>7900</v>
          </cell>
          <cell r="Q293">
            <v>0</v>
          </cell>
          <cell r="R293">
            <v>0</v>
          </cell>
        </row>
        <row r="294">
          <cell r="C294" t="str">
            <v>Válvula flotadora control piloto 4"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 t="str">
            <v>Unidad</v>
          </cell>
          <cell r="J294">
            <v>7270399.0099999998</v>
          </cell>
          <cell r="K294">
            <v>0</v>
          </cell>
          <cell r="L294">
            <v>1160820.01</v>
          </cell>
          <cell r="M294">
            <v>0</v>
          </cell>
          <cell r="N294">
            <v>6109579</v>
          </cell>
          <cell r="O294">
            <v>0</v>
          </cell>
          <cell r="P294">
            <v>7270399.0099999998</v>
          </cell>
          <cell r="Q294">
            <v>0</v>
          </cell>
          <cell r="R294">
            <v>0</v>
          </cell>
        </row>
        <row r="295">
          <cell r="C295" t="str">
            <v>Válvula de pie 4"con canastilla metálica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 t="str">
            <v>Unidad</v>
          </cell>
          <cell r="J295">
            <v>1753981.46</v>
          </cell>
          <cell r="K295">
            <v>0</v>
          </cell>
          <cell r="L295">
            <v>280047.46000000002</v>
          </cell>
          <cell r="M295">
            <v>0</v>
          </cell>
          <cell r="N295">
            <v>1473934</v>
          </cell>
          <cell r="O295">
            <v>0</v>
          </cell>
          <cell r="P295">
            <v>1753981.46</v>
          </cell>
          <cell r="Q295">
            <v>0</v>
          </cell>
          <cell r="R295">
            <v>0</v>
          </cell>
        </row>
        <row r="296">
          <cell r="C296" t="str">
            <v>Tubería PVC 4" con unión mecanica RDE 26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 t="str">
            <v>ml</v>
          </cell>
          <cell r="J296">
            <v>59192.979999999996</v>
          </cell>
          <cell r="K296">
            <v>0</v>
          </cell>
          <cell r="L296">
            <v>9450.98</v>
          </cell>
          <cell r="M296">
            <v>0</v>
          </cell>
          <cell r="N296">
            <v>49742</v>
          </cell>
          <cell r="O296">
            <v>0</v>
          </cell>
          <cell r="P296">
            <v>59192.979999999996</v>
          </cell>
          <cell r="Q296">
            <v>0</v>
          </cell>
          <cell r="R296">
            <v>0</v>
          </cell>
        </row>
        <row r="297">
          <cell r="C297" t="str">
            <v>Codo PVC 6" 11.25°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 t="str">
            <v>Unidad</v>
          </cell>
          <cell r="J297">
            <v>312920.01999999996</v>
          </cell>
          <cell r="K297">
            <v>0</v>
          </cell>
          <cell r="L297">
            <v>49962.020000000004</v>
          </cell>
          <cell r="M297">
            <v>0</v>
          </cell>
          <cell r="N297">
            <v>262958</v>
          </cell>
          <cell r="O297">
            <v>0</v>
          </cell>
          <cell r="P297">
            <v>312920.01999999996</v>
          </cell>
          <cell r="Q297">
            <v>0</v>
          </cell>
          <cell r="R297">
            <v>0</v>
          </cell>
        </row>
        <row r="298">
          <cell r="C298" t="str">
            <v>Codo PVC 6" 22.5°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 t="str">
            <v>Unidad</v>
          </cell>
          <cell r="J298">
            <v>349958.76999999996</v>
          </cell>
          <cell r="K298">
            <v>0</v>
          </cell>
          <cell r="L298">
            <v>55875.770000000004</v>
          </cell>
          <cell r="M298">
            <v>0</v>
          </cell>
          <cell r="N298">
            <v>294083</v>
          </cell>
          <cell r="O298">
            <v>0</v>
          </cell>
          <cell r="P298">
            <v>349958.76999999996</v>
          </cell>
          <cell r="Q298">
            <v>0</v>
          </cell>
          <cell r="R298">
            <v>0</v>
          </cell>
        </row>
        <row r="299">
          <cell r="C299" t="str">
            <v>Codo de Ø6" de 45° en hierro ductil con unión mecánica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 t="str">
            <v>Unidad</v>
          </cell>
          <cell r="J299">
            <v>420000</v>
          </cell>
          <cell r="K299">
            <v>0</v>
          </cell>
          <cell r="L299">
            <v>67058.823529411762</v>
          </cell>
          <cell r="M299">
            <v>0</v>
          </cell>
          <cell r="N299">
            <v>352941.17647058825</v>
          </cell>
          <cell r="O299">
            <v>0</v>
          </cell>
          <cell r="P299">
            <v>420000</v>
          </cell>
          <cell r="Q299">
            <v>0</v>
          </cell>
          <cell r="R299">
            <v>0</v>
          </cell>
        </row>
        <row r="300">
          <cell r="C300" t="str">
            <v>Codo PVC 6" 45°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 t="str">
            <v>Unidad</v>
          </cell>
          <cell r="J300">
            <v>335447.90999999997</v>
          </cell>
          <cell r="K300">
            <v>0</v>
          </cell>
          <cell r="L300">
            <v>53558.91</v>
          </cell>
          <cell r="M300">
            <v>0</v>
          </cell>
          <cell r="N300">
            <v>281889</v>
          </cell>
          <cell r="O300">
            <v>0</v>
          </cell>
          <cell r="P300">
            <v>335447.90999999997</v>
          </cell>
          <cell r="Q300">
            <v>0</v>
          </cell>
          <cell r="R300">
            <v>0</v>
          </cell>
        </row>
        <row r="301">
          <cell r="C301" t="str">
            <v>Codo PVC 6" 90°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 t="str">
            <v>Unidad</v>
          </cell>
          <cell r="J301">
            <v>386466.77999999997</v>
          </cell>
          <cell r="K301">
            <v>0</v>
          </cell>
          <cell r="L301">
            <v>61704.78</v>
          </cell>
          <cell r="M301">
            <v>0</v>
          </cell>
          <cell r="N301">
            <v>324762</v>
          </cell>
          <cell r="O301">
            <v>0</v>
          </cell>
          <cell r="P301">
            <v>386466.77999999997</v>
          </cell>
          <cell r="Q301">
            <v>0</v>
          </cell>
          <cell r="R301">
            <v>0</v>
          </cell>
        </row>
        <row r="302">
          <cell r="C302" t="str">
            <v>Unión universal Ø6" en hierro ductil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 t="str">
            <v>Unidad</v>
          </cell>
          <cell r="J302">
            <v>396270</v>
          </cell>
          <cell r="K302">
            <v>0</v>
          </cell>
          <cell r="L302">
            <v>63270</v>
          </cell>
          <cell r="M302">
            <v>0</v>
          </cell>
          <cell r="N302">
            <v>333000</v>
          </cell>
          <cell r="O302">
            <v>0</v>
          </cell>
          <cell r="P302">
            <v>396270</v>
          </cell>
          <cell r="Q302">
            <v>0</v>
          </cell>
          <cell r="R302">
            <v>0</v>
          </cell>
        </row>
        <row r="303">
          <cell r="C303" t="str">
            <v>Niple pasamuro EBxEB de Ø6" L=0,87 m en hierro ductil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 t="str">
            <v>Unidad</v>
          </cell>
          <cell r="J303">
            <v>1507730</v>
          </cell>
          <cell r="K303">
            <v>0</v>
          </cell>
          <cell r="L303">
            <v>240730</v>
          </cell>
          <cell r="M303">
            <v>0</v>
          </cell>
          <cell r="N303">
            <v>1267000</v>
          </cell>
          <cell r="O303">
            <v>0</v>
          </cell>
          <cell r="P303">
            <v>1507730</v>
          </cell>
          <cell r="Q303">
            <v>0</v>
          </cell>
          <cell r="R303">
            <v>0</v>
          </cell>
        </row>
        <row r="304">
          <cell r="C304" t="str">
            <v>Niple pasamuro EBxEB de Ø6" L=0,73 m en hierro ductil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 t="str">
            <v>Unidad</v>
          </cell>
          <cell r="J304">
            <v>1416100</v>
          </cell>
          <cell r="K304">
            <v>0</v>
          </cell>
          <cell r="L304">
            <v>226100</v>
          </cell>
          <cell r="M304">
            <v>0</v>
          </cell>
          <cell r="N304">
            <v>1190000</v>
          </cell>
          <cell r="O304">
            <v>0</v>
          </cell>
          <cell r="P304">
            <v>1416100</v>
          </cell>
          <cell r="Q304">
            <v>0</v>
          </cell>
          <cell r="R304">
            <v>0</v>
          </cell>
        </row>
        <row r="305">
          <cell r="C305" t="str">
            <v>Válvula ventosa triple acción Ø6" en hierro ductil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 t="str">
            <v>Unidad</v>
          </cell>
          <cell r="J305">
            <v>4377380.966</v>
          </cell>
          <cell r="K305">
            <v>0</v>
          </cell>
          <cell r="L305">
            <v>698909.56600000011</v>
          </cell>
          <cell r="M305">
            <v>0</v>
          </cell>
          <cell r="N305">
            <v>3678471.4000000004</v>
          </cell>
          <cell r="O305">
            <v>0</v>
          </cell>
          <cell r="P305">
            <v>4377380.966</v>
          </cell>
          <cell r="Q305">
            <v>0</v>
          </cell>
          <cell r="R305">
            <v>0</v>
          </cell>
        </row>
        <row r="306">
          <cell r="C306" t="str">
            <v>Niple EBxEB de Ø6" L=0,15 m en hierro ductil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 t="str">
            <v>Unidad</v>
          </cell>
          <cell r="J306">
            <v>1116220</v>
          </cell>
          <cell r="K306">
            <v>0</v>
          </cell>
          <cell r="L306">
            <v>178220</v>
          </cell>
          <cell r="M306">
            <v>0</v>
          </cell>
          <cell r="N306">
            <v>938000</v>
          </cell>
          <cell r="O306">
            <v>0</v>
          </cell>
          <cell r="P306">
            <v>1116220</v>
          </cell>
          <cell r="Q306">
            <v>0</v>
          </cell>
          <cell r="R306">
            <v>0</v>
          </cell>
        </row>
        <row r="307">
          <cell r="C307" t="str">
            <v>Tee Ø6" en hierro ductil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 t="str">
            <v>Unidad</v>
          </cell>
          <cell r="J307">
            <v>1844500</v>
          </cell>
          <cell r="K307">
            <v>0</v>
          </cell>
          <cell r="L307">
            <v>294500</v>
          </cell>
          <cell r="M307">
            <v>0</v>
          </cell>
          <cell r="N307">
            <v>1550000</v>
          </cell>
          <cell r="O307">
            <v>0</v>
          </cell>
          <cell r="P307">
            <v>1844500</v>
          </cell>
          <cell r="Q307">
            <v>0</v>
          </cell>
          <cell r="R307">
            <v>0</v>
          </cell>
        </row>
        <row r="308">
          <cell r="C308" t="str">
            <v>Tubería PVC Ø4" RDE 13.5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 t="str">
            <v>ml</v>
          </cell>
          <cell r="J308">
            <v>121578.33333333333</v>
          </cell>
          <cell r="K308">
            <v>0</v>
          </cell>
          <cell r="L308">
            <v>19411.666666666668</v>
          </cell>
          <cell r="M308">
            <v>0</v>
          </cell>
          <cell r="N308">
            <v>102166.66666666667</v>
          </cell>
          <cell r="O308">
            <v>0</v>
          </cell>
          <cell r="P308">
            <v>121578.33333333333</v>
          </cell>
          <cell r="Q308">
            <v>0</v>
          </cell>
          <cell r="R308">
            <v>0</v>
          </cell>
        </row>
        <row r="309">
          <cell r="C309" t="str">
            <v>Tubería HD Ø4" C40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 t="str">
            <v>ml</v>
          </cell>
          <cell r="J309">
            <v>280624.38389999996</v>
          </cell>
          <cell r="K309">
            <v>0</v>
          </cell>
          <cell r="L309">
            <v>44805.573899999996</v>
          </cell>
          <cell r="M309">
            <v>0</v>
          </cell>
          <cell r="N309">
            <v>235818.80999999997</v>
          </cell>
          <cell r="O309">
            <v>0</v>
          </cell>
          <cell r="P309">
            <v>280624.38389999996</v>
          </cell>
          <cell r="Q309">
            <v>0</v>
          </cell>
          <cell r="R309">
            <v>0</v>
          </cell>
        </row>
        <row r="310">
          <cell r="C310" t="str">
            <v>Tubería HD Ø3" C40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 t="str">
            <v>ml</v>
          </cell>
          <cell r="J310">
            <v>226468.80480000001</v>
          </cell>
          <cell r="K310">
            <v>0</v>
          </cell>
          <cell r="L310">
            <v>36158.8848</v>
          </cell>
          <cell r="M310">
            <v>0</v>
          </cell>
          <cell r="N310">
            <v>190309.92</v>
          </cell>
          <cell r="O310">
            <v>0</v>
          </cell>
          <cell r="P310">
            <v>226468.80480000001</v>
          </cell>
          <cell r="Q310">
            <v>0</v>
          </cell>
          <cell r="R310">
            <v>0</v>
          </cell>
        </row>
        <row r="311">
          <cell r="C311" t="str">
            <v>Tubería PVC Ø2" RDE 13.5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 t="str">
            <v>ml</v>
          </cell>
          <cell r="J311">
            <v>213010</v>
          </cell>
          <cell r="K311">
            <v>0</v>
          </cell>
          <cell r="L311">
            <v>34010</v>
          </cell>
          <cell r="M311">
            <v>0</v>
          </cell>
          <cell r="N311">
            <v>179000</v>
          </cell>
          <cell r="O311">
            <v>0</v>
          </cell>
          <cell r="P311">
            <v>213010</v>
          </cell>
          <cell r="Q311">
            <v>0</v>
          </cell>
          <cell r="R311">
            <v>0</v>
          </cell>
        </row>
        <row r="312">
          <cell r="C312" t="str">
            <v>Manguera pead PN10 para acometida domiciliaria de 16mm RDE 7.5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 t="str">
            <v>ml</v>
          </cell>
          <cell r="J312">
            <v>2902.41</v>
          </cell>
          <cell r="K312">
            <v>0</v>
          </cell>
          <cell r="L312">
            <v>463.41</v>
          </cell>
          <cell r="M312">
            <v>0</v>
          </cell>
          <cell r="N312">
            <v>2439</v>
          </cell>
          <cell r="O312">
            <v>0</v>
          </cell>
          <cell r="P312">
            <v>2902.41</v>
          </cell>
          <cell r="Q312">
            <v>0</v>
          </cell>
          <cell r="R312">
            <v>0</v>
          </cell>
        </row>
        <row r="313">
          <cell r="C313" t="str">
            <v>Tee PVC 4"x4"x4" unión mecánica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 t="str">
            <v>Unidad</v>
          </cell>
          <cell r="J313">
            <v>284431.42</v>
          </cell>
          <cell r="K313">
            <v>0</v>
          </cell>
          <cell r="L313">
            <v>45413.42</v>
          </cell>
          <cell r="M313">
            <v>0</v>
          </cell>
          <cell r="N313">
            <v>239018</v>
          </cell>
          <cell r="O313">
            <v>0</v>
          </cell>
          <cell r="P313">
            <v>284431.42</v>
          </cell>
          <cell r="Q313">
            <v>0</v>
          </cell>
          <cell r="R313">
            <v>0</v>
          </cell>
        </row>
        <row r="314">
          <cell r="C314" t="str">
            <v>Tee PVC 4"x4"x2" unión mecánica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 t="str">
            <v>Unidad</v>
          </cell>
          <cell r="J314">
            <v>918303.96</v>
          </cell>
          <cell r="K314">
            <v>0</v>
          </cell>
          <cell r="L314">
            <v>146619.96</v>
          </cell>
          <cell r="M314">
            <v>0</v>
          </cell>
          <cell r="N314">
            <v>771684</v>
          </cell>
          <cell r="O314">
            <v>0</v>
          </cell>
          <cell r="P314">
            <v>918303.96</v>
          </cell>
          <cell r="Q314">
            <v>0</v>
          </cell>
          <cell r="R314">
            <v>0</v>
          </cell>
        </row>
        <row r="315">
          <cell r="C315" t="str">
            <v xml:space="preserve">Reducción PVC de presión 4" x 2" 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 t="str">
            <v>Unidad</v>
          </cell>
          <cell r="J315">
            <v>382947.95</v>
          </cell>
          <cell r="K315">
            <v>0</v>
          </cell>
          <cell r="L315">
            <v>61142.95</v>
          </cell>
          <cell r="M315">
            <v>0</v>
          </cell>
          <cell r="N315">
            <v>321805</v>
          </cell>
          <cell r="O315">
            <v>0</v>
          </cell>
          <cell r="P315">
            <v>382947.95</v>
          </cell>
          <cell r="Q315">
            <v>0</v>
          </cell>
          <cell r="R315">
            <v>0</v>
          </cell>
        </row>
        <row r="316">
          <cell r="C316" t="str">
            <v>Tee PVC 2"x2"x2" unión mecánica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 t="str">
            <v>Unidad</v>
          </cell>
          <cell r="J316">
            <v>563722.03999999992</v>
          </cell>
          <cell r="K316">
            <v>0</v>
          </cell>
          <cell r="L316">
            <v>90006.04</v>
          </cell>
          <cell r="M316">
            <v>0</v>
          </cell>
          <cell r="N316">
            <v>473715.99999999994</v>
          </cell>
          <cell r="O316">
            <v>0</v>
          </cell>
          <cell r="P316">
            <v>563722.03999999992</v>
          </cell>
          <cell r="Q316">
            <v>0</v>
          </cell>
          <cell r="R316">
            <v>0</v>
          </cell>
        </row>
        <row r="317">
          <cell r="C317" t="str">
            <v xml:space="preserve">Collarín PVC 4" x 1/2" 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Unidad</v>
          </cell>
          <cell r="J317">
            <v>23919</v>
          </cell>
          <cell r="K317">
            <v>0</v>
          </cell>
          <cell r="L317">
            <v>3819</v>
          </cell>
          <cell r="M317">
            <v>0</v>
          </cell>
          <cell r="N317">
            <v>20100</v>
          </cell>
          <cell r="O317">
            <v>0</v>
          </cell>
          <cell r="P317">
            <v>23919</v>
          </cell>
          <cell r="Q317">
            <v>0</v>
          </cell>
          <cell r="R317">
            <v>0</v>
          </cell>
        </row>
        <row r="318">
          <cell r="C318" t="str">
            <v xml:space="preserve">Collarín PVC 2" x 1/2" 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 t="str">
            <v>Unidad</v>
          </cell>
          <cell r="J318">
            <v>7915.8799999999992</v>
          </cell>
          <cell r="K318">
            <v>0</v>
          </cell>
          <cell r="L318">
            <v>1263.8800000000001</v>
          </cell>
          <cell r="M318">
            <v>0</v>
          </cell>
          <cell r="N318">
            <v>6652</v>
          </cell>
          <cell r="O318">
            <v>0</v>
          </cell>
          <cell r="P318">
            <v>7915.8799999999992</v>
          </cell>
          <cell r="Q318">
            <v>0</v>
          </cell>
          <cell r="R318">
            <v>0</v>
          </cell>
        </row>
        <row r="319">
          <cell r="C319" t="str">
            <v>Tubería HD Ø6" C40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 t="str">
            <v>ml</v>
          </cell>
          <cell r="J319">
            <v>420936.57584999996</v>
          </cell>
          <cell r="K319">
            <v>0</v>
          </cell>
          <cell r="L319">
            <v>67208.360849999997</v>
          </cell>
          <cell r="M319">
            <v>0</v>
          </cell>
          <cell r="N319">
            <v>353728.21499999997</v>
          </cell>
          <cell r="O319">
            <v>0</v>
          </cell>
          <cell r="P319">
            <v>420936.57584999996</v>
          </cell>
          <cell r="Q319">
            <v>0</v>
          </cell>
          <cell r="R319">
            <v>0</v>
          </cell>
        </row>
        <row r="320">
          <cell r="C320" t="str">
            <v>Tubo galvanizado 2 1/2" para cerramiento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ml</v>
          </cell>
          <cell r="J320">
            <v>25478.333333333332</v>
          </cell>
          <cell r="K320">
            <v>0</v>
          </cell>
          <cell r="L320">
            <v>4067.9691876750699</v>
          </cell>
          <cell r="M320">
            <v>0</v>
          </cell>
          <cell r="N320">
            <v>21410.364145658263</v>
          </cell>
          <cell r="O320">
            <v>0</v>
          </cell>
          <cell r="P320">
            <v>25478.333333333332</v>
          </cell>
          <cell r="Q320">
            <v>0</v>
          </cell>
          <cell r="R320">
            <v>0</v>
          </cell>
        </row>
        <row r="321">
          <cell r="C321" t="str">
            <v>Malla eslabonada #10 2"x2"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 t="str">
            <v>m2</v>
          </cell>
          <cell r="J321">
            <v>24395</v>
          </cell>
          <cell r="K321">
            <v>0</v>
          </cell>
          <cell r="L321">
            <v>3895</v>
          </cell>
          <cell r="M321">
            <v>0</v>
          </cell>
          <cell r="N321">
            <v>20500</v>
          </cell>
          <cell r="O321">
            <v>0</v>
          </cell>
          <cell r="P321">
            <v>24395</v>
          </cell>
          <cell r="Q321">
            <v>0</v>
          </cell>
          <cell r="R321">
            <v>0</v>
          </cell>
        </row>
        <row r="322">
          <cell r="C322" t="str">
            <v>Sardinel prefabricado A-40 16x40x100cm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 t="str">
            <v>Unidad</v>
          </cell>
          <cell r="J322">
            <v>38080</v>
          </cell>
          <cell r="K322">
            <v>0</v>
          </cell>
          <cell r="L322">
            <v>6080</v>
          </cell>
          <cell r="M322">
            <v>0</v>
          </cell>
          <cell r="N322">
            <v>32000</v>
          </cell>
          <cell r="O322">
            <v>0</v>
          </cell>
          <cell r="P322">
            <v>38080</v>
          </cell>
          <cell r="Q322">
            <v>0</v>
          </cell>
          <cell r="R322">
            <v>0</v>
          </cell>
        </row>
        <row r="323">
          <cell r="C323" t="str">
            <v>Planta de eucalipto para cerca viva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Unidad</v>
          </cell>
          <cell r="J323">
            <v>175000</v>
          </cell>
          <cell r="K323">
            <v>0</v>
          </cell>
          <cell r="L323">
            <v>27941.176470588238</v>
          </cell>
          <cell r="M323">
            <v>0</v>
          </cell>
          <cell r="N323">
            <v>147058.82352941178</v>
          </cell>
          <cell r="O323">
            <v>0</v>
          </cell>
          <cell r="P323">
            <v>175000</v>
          </cell>
          <cell r="Q323">
            <v>0</v>
          </cell>
          <cell r="R323">
            <v>0</v>
          </cell>
        </row>
        <row r="324">
          <cell r="C324" t="str">
            <v>Tierra vegetal cribada, suministrada a granel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 t="str">
            <v>m3</v>
          </cell>
          <cell r="J324">
            <v>55000</v>
          </cell>
          <cell r="K324">
            <v>0</v>
          </cell>
          <cell r="L324">
            <v>8781.5126050420167</v>
          </cell>
          <cell r="M324">
            <v>0</v>
          </cell>
          <cell r="N324">
            <v>46218.487394957985</v>
          </cell>
          <cell r="O324">
            <v>0</v>
          </cell>
          <cell r="P324">
            <v>55000</v>
          </cell>
          <cell r="Q324">
            <v>0</v>
          </cell>
          <cell r="R324">
            <v>0</v>
          </cell>
        </row>
        <row r="325">
          <cell r="C325" t="str">
            <v>Codo PVC 2" 11.25°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 t="str">
            <v>Unidad</v>
          </cell>
          <cell r="J325">
            <v>51486.54</v>
          </cell>
          <cell r="K325">
            <v>0</v>
          </cell>
          <cell r="L325">
            <v>8220.5400000000009</v>
          </cell>
          <cell r="M325">
            <v>0</v>
          </cell>
          <cell r="N325">
            <v>43266</v>
          </cell>
          <cell r="O325">
            <v>0</v>
          </cell>
          <cell r="P325">
            <v>51486.54</v>
          </cell>
          <cell r="Q325">
            <v>0</v>
          </cell>
          <cell r="R325">
            <v>0</v>
          </cell>
        </row>
        <row r="326">
          <cell r="C326" t="str">
            <v>Codo PVC 4" 11.25°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 t="str">
            <v>Unidad</v>
          </cell>
          <cell r="J326">
            <v>135318.47</v>
          </cell>
          <cell r="K326">
            <v>0</v>
          </cell>
          <cell r="L326">
            <v>21605.47</v>
          </cell>
          <cell r="M326">
            <v>0</v>
          </cell>
          <cell r="N326">
            <v>113713</v>
          </cell>
          <cell r="O326">
            <v>0</v>
          </cell>
          <cell r="P326">
            <v>135318.47</v>
          </cell>
          <cell r="Q326">
            <v>0</v>
          </cell>
          <cell r="R326">
            <v>0</v>
          </cell>
        </row>
        <row r="327">
          <cell r="C327" t="str">
            <v>Codo PVC 2" 22.5°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 t="str">
            <v>Unidad</v>
          </cell>
          <cell r="J327">
            <v>44533.369999999995</v>
          </cell>
          <cell r="K327">
            <v>0</v>
          </cell>
          <cell r="L327">
            <v>7110.37</v>
          </cell>
          <cell r="M327">
            <v>0</v>
          </cell>
          <cell r="N327">
            <v>37423</v>
          </cell>
          <cell r="O327">
            <v>0</v>
          </cell>
          <cell r="P327">
            <v>44533.369999999995</v>
          </cell>
          <cell r="Q327">
            <v>0</v>
          </cell>
          <cell r="R327">
            <v>0</v>
          </cell>
        </row>
        <row r="328">
          <cell r="C328" t="str">
            <v>Codo PVC 4" 22.5°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 t="str">
            <v>Unidad</v>
          </cell>
          <cell r="J328">
            <v>142427.53</v>
          </cell>
          <cell r="K328">
            <v>0</v>
          </cell>
          <cell r="L328">
            <v>22740.53</v>
          </cell>
          <cell r="M328">
            <v>0</v>
          </cell>
          <cell r="N328">
            <v>119687</v>
          </cell>
          <cell r="O328">
            <v>0</v>
          </cell>
          <cell r="P328">
            <v>142427.53</v>
          </cell>
          <cell r="Q328">
            <v>0</v>
          </cell>
          <cell r="R328">
            <v>0</v>
          </cell>
        </row>
        <row r="329">
          <cell r="C329" t="str">
            <v>Codo PVC 2" 45°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 t="str">
            <v>Unidad</v>
          </cell>
          <cell r="J329">
            <v>90923.14</v>
          </cell>
          <cell r="K329">
            <v>0</v>
          </cell>
          <cell r="L329">
            <v>14517.14</v>
          </cell>
          <cell r="M329">
            <v>0</v>
          </cell>
          <cell r="N329">
            <v>76406</v>
          </cell>
          <cell r="O329">
            <v>0</v>
          </cell>
          <cell r="P329">
            <v>90923.14</v>
          </cell>
          <cell r="Q329">
            <v>0</v>
          </cell>
          <cell r="R329">
            <v>0</v>
          </cell>
        </row>
        <row r="330">
          <cell r="C330" t="str">
            <v>Codo PVC 4" 45°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 t="str">
            <v>Unidad</v>
          </cell>
          <cell r="J330">
            <v>178702.3</v>
          </cell>
          <cell r="K330">
            <v>0</v>
          </cell>
          <cell r="L330">
            <v>28532.3</v>
          </cell>
          <cell r="M330">
            <v>0</v>
          </cell>
          <cell r="N330">
            <v>150170</v>
          </cell>
          <cell r="O330">
            <v>0</v>
          </cell>
          <cell r="P330">
            <v>178702.3</v>
          </cell>
          <cell r="Q330">
            <v>0</v>
          </cell>
          <cell r="R330">
            <v>0</v>
          </cell>
        </row>
        <row r="331">
          <cell r="C331" t="str">
            <v>Codo PVC 2" 90°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 t="str">
            <v>Unidad</v>
          </cell>
          <cell r="J331">
            <v>94748.989999999991</v>
          </cell>
          <cell r="K331">
            <v>0</v>
          </cell>
          <cell r="L331">
            <v>15127.99</v>
          </cell>
          <cell r="M331">
            <v>0</v>
          </cell>
          <cell r="N331">
            <v>79621</v>
          </cell>
          <cell r="O331">
            <v>0</v>
          </cell>
          <cell r="P331">
            <v>94748.989999999991</v>
          </cell>
          <cell r="Q331">
            <v>0</v>
          </cell>
          <cell r="R331">
            <v>0</v>
          </cell>
        </row>
        <row r="332">
          <cell r="C332" t="str">
            <v>Codo PVC 4" 90°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 t="str">
            <v>Unidad</v>
          </cell>
          <cell r="J332">
            <v>189000.56</v>
          </cell>
          <cell r="K332">
            <v>0</v>
          </cell>
          <cell r="L332">
            <v>30176.560000000001</v>
          </cell>
          <cell r="M332">
            <v>0</v>
          </cell>
          <cell r="N332">
            <v>158824</v>
          </cell>
          <cell r="O332">
            <v>0</v>
          </cell>
          <cell r="P332">
            <v>189000.56</v>
          </cell>
          <cell r="Q332">
            <v>0</v>
          </cell>
          <cell r="R332">
            <v>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</row>
        <row r="334"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</row>
      </sheetData>
      <sheetData sheetId="10" refreshError="1">
        <row r="5">
          <cell r="C5" t="str">
            <v>MATERIAL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 t="str">
            <v>UNIDAD</v>
          </cell>
          <cell r="J5" t="str">
            <v>COSTO TOTAL</v>
          </cell>
          <cell r="K5">
            <v>0</v>
          </cell>
          <cell r="L5" t="str">
            <v>I.V.A.</v>
          </cell>
          <cell r="M5">
            <v>0</v>
          </cell>
          <cell r="N5" t="str">
            <v>COSTO DIRECTO</v>
          </cell>
          <cell r="O5">
            <v>0</v>
          </cell>
        </row>
        <row r="6">
          <cell r="C6" t="str">
            <v>Herramienta Menor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 t="str">
            <v>% M.O.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C7" t="str">
            <v>Equipo de topografía; (Incluye: estación total, 2 prismas y dos radios, con certificación de calibración máximo de 6 meses)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 t="str">
            <v>Dia</v>
          </cell>
          <cell r="J7">
            <v>237645</v>
          </cell>
          <cell r="K7">
            <v>0</v>
          </cell>
          <cell r="L7">
            <v>37943.319327731093</v>
          </cell>
          <cell r="M7">
            <v>0</v>
          </cell>
          <cell r="N7">
            <v>199701.68067226891</v>
          </cell>
          <cell r="O7">
            <v>0</v>
          </cell>
        </row>
        <row r="8">
          <cell r="C8" t="str">
            <v>Mezcladora Diesel (1.5 - 2.0 BTOS) incluye combustible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 t="str">
            <v>Dia</v>
          </cell>
          <cell r="J8">
            <v>107071</v>
          </cell>
          <cell r="K8">
            <v>0</v>
          </cell>
          <cell r="L8">
            <v>17095.36974789916</v>
          </cell>
          <cell r="M8">
            <v>0</v>
          </cell>
          <cell r="N8">
            <v>89975.630252100847</v>
          </cell>
          <cell r="O8">
            <v>0</v>
          </cell>
        </row>
        <row r="9">
          <cell r="C9" t="str">
            <v>Vibrador de Mezcla (diesel) incluye combustible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 t="str">
            <v>Dia</v>
          </cell>
          <cell r="J9">
            <v>71766</v>
          </cell>
          <cell r="K9">
            <v>0</v>
          </cell>
          <cell r="L9">
            <v>11458.436974789916</v>
          </cell>
          <cell r="M9">
            <v>0</v>
          </cell>
          <cell r="N9">
            <v>60307.563025210089</v>
          </cell>
          <cell r="O9">
            <v>0</v>
          </cell>
        </row>
        <row r="10">
          <cell r="C10" t="str">
            <v>Apisonador tipo canguro, incluye combustible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 t="str">
            <v>Dia</v>
          </cell>
          <cell r="J10">
            <v>87528</v>
          </cell>
          <cell r="K10">
            <v>0</v>
          </cell>
          <cell r="L10">
            <v>13975.058823529413</v>
          </cell>
          <cell r="M10">
            <v>0</v>
          </cell>
          <cell r="N10">
            <v>73552.941176470587</v>
          </cell>
          <cell r="O10">
            <v>0</v>
          </cell>
        </row>
        <row r="11">
          <cell r="C11" t="str">
            <v>Retroexcavadora de llanta, balde estandar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 t="str">
            <v>Hora</v>
          </cell>
          <cell r="J11">
            <v>237500</v>
          </cell>
          <cell r="K11">
            <v>0</v>
          </cell>
          <cell r="L11">
            <v>37920.168067226892</v>
          </cell>
          <cell r="M11">
            <v>0</v>
          </cell>
          <cell r="N11">
            <v>199579.83193277312</v>
          </cell>
          <cell r="O11">
            <v>0</v>
          </cell>
        </row>
        <row r="12">
          <cell r="C12" t="str">
            <v>Retroexcavadora de orugas balde estandar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 t="str">
            <v>Hora</v>
          </cell>
          <cell r="J12">
            <v>237500</v>
          </cell>
          <cell r="K12">
            <v>0</v>
          </cell>
          <cell r="L12">
            <v>37920.168067226892</v>
          </cell>
          <cell r="M12">
            <v>0</v>
          </cell>
          <cell r="N12">
            <v>199579.83193277312</v>
          </cell>
          <cell r="O12">
            <v>0</v>
          </cell>
        </row>
        <row r="13">
          <cell r="C13" t="str">
            <v>Motobomba succion y descargas  (incluye combustible)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 t="str">
            <v>Dia</v>
          </cell>
          <cell r="J13">
            <v>85800</v>
          </cell>
          <cell r="K13">
            <v>0</v>
          </cell>
          <cell r="L13">
            <v>13699.159663865546</v>
          </cell>
          <cell r="M13">
            <v>0</v>
          </cell>
          <cell r="N13">
            <v>72100.840336134454</v>
          </cell>
          <cell r="O13">
            <v>0</v>
          </cell>
        </row>
        <row r="14">
          <cell r="C14" t="str">
            <v>Equipo de soldadura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 t="str">
            <v>Dia</v>
          </cell>
          <cell r="J14">
            <v>50000</v>
          </cell>
          <cell r="K14">
            <v>0</v>
          </cell>
          <cell r="L14">
            <v>7983.1932773109247</v>
          </cell>
          <cell r="M14">
            <v>0</v>
          </cell>
          <cell r="N14">
            <v>42016.806722689078</v>
          </cell>
          <cell r="O14">
            <v>0</v>
          </cell>
        </row>
        <row r="15">
          <cell r="C15" t="str">
            <v>Compresor de pintura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 t="str">
            <v>Dia</v>
          </cell>
          <cell r="J15">
            <v>84000</v>
          </cell>
          <cell r="K15">
            <v>0</v>
          </cell>
          <cell r="L15">
            <v>13411.764705882353</v>
          </cell>
          <cell r="M15">
            <v>0</v>
          </cell>
          <cell r="N15">
            <v>70588.23529411765</v>
          </cell>
          <cell r="O15">
            <v>0</v>
          </cell>
        </row>
        <row r="16">
          <cell r="C16" t="str">
            <v>Martillo demoledor de concreto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 t="str">
            <v>Hora</v>
          </cell>
          <cell r="J16">
            <v>14210</v>
          </cell>
          <cell r="K16">
            <v>0</v>
          </cell>
          <cell r="L16">
            <v>2268.8235294117649</v>
          </cell>
          <cell r="M16">
            <v>0</v>
          </cell>
          <cell r="N16">
            <v>11941.176470588236</v>
          </cell>
          <cell r="O16">
            <v>0</v>
          </cell>
        </row>
        <row r="17">
          <cell r="C17" t="str">
            <v>Compresor para martillo demoledor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 t="str">
            <v>Hora</v>
          </cell>
          <cell r="J17">
            <v>198300</v>
          </cell>
          <cell r="K17">
            <v>0</v>
          </cell>
          <cell r="L17">
            <v>31661.34453781513</v>
          </cell>
          <cell r="M17">
            <v>0</v>
          </cell>
          <cell r="N17">
            <v>166638.65546218489</v>
          </cell>
          <cell r="O17">
            <v>0</v>
          </cell>
        </row>
        <row r="18">
          <cell r="C18" t="str">
            <v>Pistola para pintura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 t="str">
            <v>Dia</v>
          </cell>
          <cell r="J18">
            <v>15100</v>
          </cell>
          <cell r="K18">
            <v>0</v>
          </cell>
          <cell r="L18">
            <v>2410.9243697478996</v>
          </cell>
          <cell r="M18">
            <v>0</v>
          </cell>
          <cell r="N18">
            <v>12689.075630252102</v>
          </cell>
          <cell r="O18">
            <v>0</v>
          </cell>
        </row>
        <row r="19">
          <cell r="C19" t="str">
            <v>Gasolina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 t="str">
            <v>Galón</v>
          </cell>
          <cell r="J19">
            <v>11766</v>
          </cell>
          <cell r="K19">
            <v>0</v>
          </cell>
          <cell r="L19">
            <v>1878.6050420168067</v>
          </cell>
          <cell r="M19">
            <v>0</v>
          </cell>
          <cell r="N19">
            <v>9887.3949579831933</v>
          </cell>
          <cell r="O19">
            <v>0</v>
          </cell>
        </row>
        <row r="20">
          <cell r="C20" t="str">
            <v>Acpm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>Galón</v>
          </cell>
          <cell r="J20">
            <v>9357</v>
          </cell>
          <cell r="K20">
            <v>0</v>
          </cell>
          <cell r="L20">
            <v>1493.9747899159665</v>
          </cell>
          <cell r="M20">
            <v>0</v>
          </cell>
          <cell r="N20">
            <v>7863.0252100840344</v>
          </cell>
          <cell r="O20">
            <v>0</v>
          </cell>
        </row>
        <row r="21">
          <cell r="C21" t="str">
            <v>Alquiler volqueta 6 m3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 t="str">
            <v>Hora</v>
          </cell>
          <cell r="J21">
            <v>120000</v>
          </cell>
          <cell r="K21">
            <v>0</v>
          </cell>
          <cell r="L21">
            <v>19159.663865546219</v>
          </cell>
          <cell r="M21">
            <v>0</v>
          </cell>
          <cell r="N21">
            <v>100840.33613445378</v>
          </cell>
          <cell r="O21">
            <v>0</v>
          </cell>
        </row>
        <row r="22">
          <cell r="C22" t="str">
            <v>Compresor redondo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 t="str">
            <v>Hora</v>
          </cell>
          <cell r="J22">
            <v>40000</v>
          </cell>
          <cell r="K22">
            <v>0</v>
          </cell>
          <cell r="L22">
            <v>6386.5546218487398</v>
          </cell>
          <cell r="M22">
            <v>0</v>
          </cell>
          <cell r="N22">
            <v>33613.445378151264</v>
          </cell>
          <cell r="O22">
            <v>0</v>
          </cell>
        </row>
        <row r="23">
          <cell r="C23" t="str">
            <v>Taladro rotopercutor hasta 1 1/4"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 t="str">
            <v>Día</v>
          </cell>
          <cell r="J23">
            <v>49230</v>
          </cell>
          <cell r="K23">
            <v>0</v>
          </cell>
          <cell r="L23">
            <v>7860.2521008403364</v>
          </cell>
          <cell r="M23">
            <v>0</v>
          </cell>
          <cell r="N23">
            <v>41369.747899159665</v>
          </cell>
          <cell r="O23">
            <v>0</v>
          </cell>
        </row>
        <row r="24">
          <cell r="C24" t="str">
            <v>Perforadora para anclajes y drenes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 t="str">
            <v>Hora</v>
          </cell>
          <cell r="J24">
            <v>186875</v>
          </cell>
          <cell r="K24">
            <v>0</v>
          </cell>
          <cell r="L24">
            <v>29837.184873949584</v>
          </cell>
          <cell r="M24">
            <v>0</v>
          </cell>
          <cell r="N24">
            <v>157037.81512605044</v>
          </cell>
          <cell r="O24">
            <v>0</v>
          </cell>
        </row>
        <row r="25">
          <cell r="C25" t="str">
            <v>Andamio metálico tubular (2 secciones de 1,50 x 1,50 m)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 t="str">
            <v>Día</v>
          </cell>
          <cell r="J25">
            <v>3000</v>
          </cell>
          <cell r="K25">
            <v>0</v>
          </cell>
          <cell r="L25">
            <v>478.99159663865549</v>
          </cell>
          <cell r="M25">
            <v>0</v>
          </cell>
          <cell r="N25">
            <v>2521.0084033613448</v>
          </cell>
          <cell r="O25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3"/>
  <sheetViews>
    <sheetView view="pageBreakPreview" topLeftCell="A11" zoomScaleNormal="100" zoomScaleSheetLayoutView="100" workbookViewId="0">
      <selection activeCell="A21" sqref="A21"/>
    </sheetView>
  </sheetViews>
  <sheetFormatPr baseColWidth="10" defaultRowHeight="15" x14ac:dyDescent="0.25"/>
  <cols>
    <col min="1" max="1" width="8.7109375" customWidth="1"/>
    <col min="2" max="2" width="19.5703125" customWidth="1"/>
    <col min="3" max="3" width="13.42578125" customWidth="1"/>
    <col min="8" max="8" width="11.42578125" style="123"/>
    <col min="9" max="9" width="10" customWidth="1"/>
    <col min="10" max="10" width="10.28515625" customWidth="1"/>
    <col min="11" max="11" width="16.7109375" bestFit="1" customWidth="1"/>
  </cols>
  <sheetData>
    <row r="2" spans="1:11" ht="16.5" x14ac:dyDescent="0.25">
      <c r="A2" s="199"/>
      <c r="B2" s="199"/>
      <c r="C2" s="201" t="s">
        <v>148</v>
      </c>
      <c r="D2" s="201"/>
      <c r="E2" s="201"/>
      <c r="F2" s="201"/>
      <c r="G2" s="200" t="s">
        <v>144</v>
      </c>
      <c r="H2" s="200"/>
      <c r="I2" s="199"/>
      <c r="J2" s="199"/>
    </row>
    <row r="3" spans="1:11" ht="16.5" x14ac:dyDescent="0.25">
      <c r="A3" s="199"/>
      <c r="B3" s="199"/>
      <c r="C3" s="201"/>
      <c r="D3" s="201"/>
      <c r="E3" s="201"/>
      <c r="F3" s="201"/>
      <c r="G3" s="200" t="s">
        <v>145</v>
      </c>
      <c r="H3" s="200"/>
      <c r="I3" s="199"/>
      <c r="J3" s="199"/>
    </row>
    <row r="4" spans="1:11" ht="39" customHeight="1" x14ac:dyDescent="0.25">
      <c r="A4" s="199"/>
      <c r="B4" s="199"/>
      <c r="C4" s="201"/>
      <c r="D4" s="201"/>
      <c r="E4" s="201"/>
      <c r="F4" s="201"/>
      <c r="G4" s="200" t="s">
        <v>146</v>
      </c>
      <c r="H4" s="200"/>
      <c r="I4" s="199"/>
      <c r="J4" s="199"/>
    </row>
    <row r="5" spans="1:11" ht="39" customHeight="1" x14ac:dyDescent="0.25">
      <c r="A5" s="202" t="s">
        <v>250</v>
      </c>
      <c r="B5" s="202"/>
      <c r="C5" s="202"/>
      <c r="D5" s="202"/>
      <c r="E5" s="202"/>
      <c r="F5" s="202"/>
      <c r="G5" s="202"/>
      <c r="H5" s="202"/>
      <c r="I5" s="202"/>
      <c r="J5" s="202"/>
    </row>
    <row r="6" spans="1:11" ht="24" customHeight="1" x14ac:dyDescent="0.25">
      <c r="A6" s="81" t="s">
        <v>1</v>
      </c>
      <c r="B6" s="203" t="s">
        <v>50</v>
      </c>
      <c r="C6" s="204"/>
      <c r="D6" s="204"/>
      <c r="E6" s="204"/>
      <c r="F6" s="204"/>
      <c r="G6" s="204"/>
      <c r="H6" s="204"/>
      <c r="I6" s="204"/>
      <c r="J6" s="204"/>
    </row>
    <row r="7" spans="1:11" x14ac:dyDescent="0.25">
      <c r="A7" s="205" t="s">
        <v>51</v>
      </c>
      <c r="B7" s="191" t="s">
        <v>52</v>
      </c>
      <c r="C7" s="205" t="s">
        <v>149</v>
      </c>
      <c r="D7" s="207" t="s">
        <v>47</v>
      </c>
      <c r="E7" s="205" t="s">
        <v>53</v>
      </c>
      <c r="F7" s="191" t="s">
        <v>54</v>
      </c>
      <c r="G7" s="192"/>
      <c r="H7" s="189" t="s">
        <v>55</v>
      </c>
      <c r="I7" s="191" t="s">
        <v>56</v>
      </c>
      <c r="J7" s="192"/>
    </row>
    <row r="8" spans="1:11" ht="24" customHeight="1" x14ac:dyDescent="0.25">
      <c r="A8" s="206"/>
      <c r="B8" s="193"/>
      <c r="C8" s="206"/>
      <c r="D8" s="206"/>
      <c r="E8" s="206"/>
      <c r="F8" s="193"/>
      <c r="G8" s="194"/>
      <c r="H8" s="190"/>
      <c r="I8" s="193"/>
      <c r="J8" s="194"/>
    </row>
    <row r="9" spans="1:11" ht="40.5" x14ac:dyDescent="0.25">
      <c r="A9" s="181" t="s">
        <v>57</v>
      </c>
      <c r="B9" s="46" t="s">
        <v>90</v>
      </c>
      <c r="C9" s="37" t="s">
        <v>150</v>
      </c>
      <c r="D9" s="37">
        <v>1</v>
      </c>
      <c r="E9" s="38">
        <v>0.2</v>
      </c>
      <c r="F9" s="197">
        <v>7691776</v>
      </c>
      <c r="G9" s="198"/>
      <c r="H9" s="120">
        <f t="shared" ref="H9:H18" si="0">$H$30</f>
        <v>3</v>
      </c>
      <c r="I9" s="197">
        <f>H9*E9*F9*D9</f>
        <v>4615065.6000000006</v>
      </c>
      <c r="J9" s="198"/>
      <c r="K9" s="117"/>
    </row>
    <row r="10" spans="1:11" ht="27" x14ac:dyDescent="0.25">
      <c r="A10" s="181" t="s">
        <v>58</v>
      </c>
      <c r="B10" s="46" t="s">
        <v>59</v>
      </c>
      <c r="C10" s="37" t="s">
        <v>151</v>
      </c>
      <c r="D10" s="37">
        <v>1</v>
      </c>
      <c r="E10" s="38">
        <v>0.2</v>
      </c>
      <c r="F10" s="197">
        <v>6573098</v>
      </c>
      <c r="G10" s="198"/>
      <c r="H10" s="120">
        <f t="shared" si="0"/>
        <v>3</v>
      </c>
      <c r="I10" s="197">
        <f t="shared" ref="I10:I20" si="1">H10*E10*F10*D10</f>
        <v>3943858.8000000007</v>
      </c>
      <c r="J10" s="198"/>
      <c r="K10" s="117"/>
    </row>
    <row r="11" spans="1:11" ht="27" x14ac:dyDescent="0.25">
      <c r="A11" s="181" t="s">
        <v>60</v>
      </c>
      <c r="B11" s="46" t="s">
        <v>61</v>
      </c>
      <c r="C11" s="37" t="s">
        <v>151</v>
      </c>
      <c r="D11" s="37">
        <v>1</v>
      </c>
      <c r="E11" s="38">
        <v>0.2</v>
      </c>
      <c r="F11" s="197">
        <v>6573098</v>
      </c>
      <c r="G11" s="198"/>
      <c r="H11" s="120">
        <f t="shared" si="0"/>
        <v>3</v>
      </c>
      <c r="I11" s="197">
        <f t="shared" si="1"/>
        <v>3943858.8000000007</v>
      </c>
      <c r="J11" s="198"/>
      <c r="K11" s="117"/>
    </row>
    <row r="12" spans="1:11" ht="27" x14ac:dyDescent="0.25">
      <c r="A12" s="181" t="s">
        <v>62</v>
      </c>
      <c r="B12" s="46" t="s">
        <v>63</v>
      </c>
      <c r="C12" s="37" t="s">
        <v>152</v>
      </c>
      <c r="D12" s="37">
        <v>1</v>
      </c>
      <c r="E12" s="38">
        <v>0.2</v>
      </c>
      <c r="F12" s="197">
        <v>6356217</v>
      </c>
      <c r="G12" s="198"/>
      <c r="H12" s="120">
        <f t="shared" si="0"/>
        <v>3</v>
      </c>
      <c r="I12" s="197">
        <f t="shared" si="1"/>
        <v>3813730.2000000007</v>
      </c>
      <c r="J12" s="198"/>
      <c r="K12" s="117"/>
    </row>
    <row r="13" spans="1:11" ht="31.5" customHeight="1" x14ac:dyDescent="0.25">
      <c r="A13" s="181" t="s">
        <v>64</v>
      </c>
      <c r="B13" s="47" t="str">
        <f>APUS!R10</f>
        <v>Ingeniero Electrico</v>
      </c>
      <c r="C13" s="37" t="s">
        <v>152</v>
      </c>
      <c r="D13" s="48">
        <v>1</v>
      </c>
      <c r="E13" s="49">
        <v>0.2</v>
      </c>
      <c r="F13" s="197">
        <v>6356217</v>
      </c>
      <c r="G13" s="198"/>
      <c r="H13" s="120">
        <f t="shared" si="0"/>
        <v>3</v>
      </c>
      <c r="I13" s="197">
        <f t="shared" ref="I13" si="2">H13*E13*F13*D13</f>
        <v>3813730.2000000007</v>
      </c>
      <c r="J13" s="198"/>
      <c r="K13" s="117"/>
    </row>
    <row r="14" spans="1:11" ht="27" x14ac:dyDescent="0.25">
      <c r="A14" s="181" t="s">
        <v>65</v>
      </c>
      <c r="B14" s="47" t="s">
        <v>266</v>
      </c>
      <c r="C14" s="48" t="str">
        <f>C12</f>
        <v>PROFESIONAL 5</v>
      </c>
      <c r="D14" s="48">
        <v>1</v>
      </c>
      <c r="E14" s="49">
        <v>0.5</v>
      </c>
      <c r="F14" s="197">
        <f>F12</f>
        <v>6356217</v>
      </c>
      <c r="G14" s="198"/>
      <c r="H14" s="120">
        <f t="shared" si="0"/>
        <v>3</v>
      </c>
      <c r="I14" s="197">
        <f t="shared" si="1"/>
        <v>9534325.5</v>
      </c>
      <c r="J14" s="198"/>
      <c r="K14" s="117"/>
    </row>
    <row r="15" spans="1:11" ht="27" x14ac:dyDescent="0.25">
      <c r="A15" s="181" t="s">
        <v>67</v>
      </c>
      <c r="B15" s="55" t="s">
        <v>91</v>
      </c>
      <c r="C15" s="56" t="s">
        <v>153</v>
      </c>
      <c r="D15" s="56">
        <v>1</v>
      </c>
      <c r="E15" s="57">
        <v>1</v>
      </c>
      <c r="F15" s="210">
        <v>5582300</v>
      </c>
      <c r="G15" s="211"/>
      <c r="H15" s="120">
        <f t="shared" si="0"/>
        <v>3</v>
      </c>
      <c r="I15" s="197">
        <f t="shared" si="1"/>
        <v>16746900</v>
      </c>
      <c r="J15" s="198"/>
      <c r="K15" s="117"/>
    </row>
    <row r="16" spans="1:11" ht="27" x14ac:dyDescent="0.25">
      <c r="A16" s="181" t="s">
        <v>69</v>
      </c>
      <c r="B16" s="50" t="s">
        <v>265</v>
      </c>
      <c r="C16" s="51" t="s">
        <v>154</v>
      </c>
      <c r="D16" s="51">
        <v>1</v>
      </c>
      <c r="E16" s="52">
        <v>0.3</v>
      </c>
      <c r="F16" s="212">
        <v>4183335</v>
      </c>
      <c r="G16" s="213"/>
      <c r="H16" s="120">
        <f t="shared" si="0"/>
        <v>3</v>
      </c>
      <c r="I16" s="197">
        <f t="shared" si="1"/>
        <v>3765001.4999999995</v>
      </c>
      <c r="J16" s="198"/>
      <c r="K16" s="117"/>
    </row>
    <row r="17" spans="1:11" ht="27" x14ac:dyDescent="0.25">
      <c r="A17" s="181" t="s">
        <v>70</v>
      </c>
      <c r="B17" s="50" t="s">
        <v>68</v>
      </c>
      <c r="C17" s="51" t="s">
        <v>153</v>
      </c>
      <c r="D17" s="51">
        <v>1</v>
      </c>
      <c r="E17" s="52">
        <v>0.3</v>
      </c>
      <c r="F17" s="212">
        <v>5582300</v>
      </c>
      <c r="G17" s="213"/>
      <c r="H17" s="120">
        <f t="shared" si="0"/>
        <v>3</v>
      </c>
      <c r="I17" s="197">
        <f t="shared" si="1"/>
        <v>5024069.9999999991</v>
      </c>
      <c r="J17" s="198"/>
      <c r="K17" s="117"/>
    </row>
    <row r="18" spans="1:11" ht="27" x14ac:dyDescent="0.25">
      <c r="A18" s="181" t="s">
        <v>71</v>
      </c>
      <c r="B18" s="50" t="s">
        <v>251</v>
      </c>
      <c r="C18" s="51" t="s">
        <v>153</v>
      </c>
      <c r="D18" s="51">
        <v>1</v>
      </c>
      <c r="E18" s="52">
        <v>0.45</v>
      </c>
      <c r="F18" s="212">
        <v>5582300</v>
      </c>
      <c r="G18" s="213"/>
      <c r="H18" s="120">
        <f t="shared" si="0"/>
        <v>3</v>
      </c>
      <c r="I18" s="197">
        <f t="shared" si="1"/>
        <v>7536105.0000000009</v>
      </c>
      <c r="J18" s="198"/>
      <c r="K18" s="117"/>
    </row>
    <row r="19" spans="1:11" ht="27" x14ac:dyDescent="0.25">
      <c r="A19" s="181" t="s">
        <v>260</v>
      </c>
      <c r="B19" s="50" t="s">
        <v>94</v>
      </c>
      <c r="C19" s="51" t="s">
        <v>153</v>
      </c>
      <c r="D19" s="51">
        <v>1</v>
      </c>
      <c r="E19" s="52">
        <v>0.2</v>
      </c>
      <c r="F19" s="212">
        <v>5582300</v>
      </c>
      <c r="G19" s="213"/>
      <c r="H19" s="121">
        <f>$H$30/4</f>
        <v>0.75</v>
      </c>
      <c r="I19" s="197">
        <f t="shared" si="1"/>
        <v>837345.00000000012</v>
      </c>
      <c r="J19" s="198"/>
      <c r="K19" s="117"/>
    </row>
    <row r="20" spans="1:11" ht="27" x14ac:dyDescent="0.25">
      <c r="A20" s="182" t="s">
        <v>95</v>
      </c>
      <c r="B20" s="55" t="s">
        <v>96</v>
      </c>
      <c r="C20" s="56" t="s">
        <v>155</v>
      </c>
      <c r="D20" s="56">
        <v>1</v>
      </c>
      <c r="E20" s="57">
        <v>0.4</v>
      </c>
      <c r="F20" s="208">
        <v>2751081</v>
      </c>
      <c r="G20" s="209"/>
      <c r="H20" s="125">
        <f>$H$30/4</f>
        <v>0.75</v>
      </c>
      <c r="I20" s="210">
        <f t="shared" si="1"/>
        <v>825324.30000000016</v>
      </c>
      <c r="J20" s="211"/>
      <c r="K20" s="117"/>
    </row>
    <row r="21" spans="1:11" ht="27" x14ac:dyDescent="0.25">
      <c r="A21" s="180" t="s">
        <v>105</v>
      </c>
      <c r="B21" s="50" t="s">
        <v>104</v>
      </c>
      <c r="C21" s="51" t="s">
        <v>156</v>
      </c>
      <c r="D21" s="51">
        <v>2</v>
      </c>
      <c r="E21" s="52">
        <v>1</v>
      </c>
      <c r="F21" s="212">
        <v>1489011</v>
      </c>
      <c r="G21" s="213"/>
      <c r="H21" s="126">
        <f>$H$30/4</f>
        <v>0.75</v>
      </c>
      <c r="I21" s="212">
        <f t="shared" ref="I21" si="3">H21*E21*F21*D21</f>
        <v>2233516.5</v>
      </c>
      <c r="J21" s="213"/>
      <c r="K21" s="117"/>
    </row>
    <row r="22" spans="1:11" ht="27" x14ac:dyDescent="0.25">
      <c r="A22" s="180" t="s">
        <v>246</v>
      </c>
      <c r="B22" s="50" t="s">
        <v>276</v>
      </c>
      <c r="C22" s="51" t="s">
        <v>153</v>
      </c>
      <c r="D22" s="51">
        <v>1</v>
      </c>
      <c r="E22" s="52">
        <v>0.1</v>
      </c>
      <c r="F22" s="212">
        <v>5582300</v>
      </c>
      <c r="G22" s="212"/>
      <c r="H22" s="126">
        <f>$H$30/3</f>
        <v>1</v>
      </c>
      <c r="I22" s="212">
        <f t="shared" ref="I22" si="4">H22*E22*F22*D22</f>
        <v>558230</v>
      </c>
      <c r="J22" s="213"/>
      <c r="K22" s="117"/>
    </row>
    <row r="23" spans="1:11" ht="26.25" customHeight="1" x14ac:dyDescent="0.25">
      <c r="A23" s="39"/>
      <c r="B23" s="39"/>
      <c r="C23" s="39"/>
      <c r="D23" s="214" t="s">
        <v>72</v>
      </c>
      <c r="E23" s="215"/>
      <c r="F23" s="215"/>
      <c r="G23" s="215"/>
      <c r="H23" s="215"/>
      <c r="I23" s="216">
        <f>SUM(I9:I22)</f>
        <v>67191061.400000006</v>
      </c>
      <c r="J23" s="217"/>
    </row>
    <row r="24" spans="1:11" x14ac:dyDescent="0.25">
      <c r="A24" s="39"/>
      <c r="B24" s="39"/>
      <c r="C24" s="39"/>
      <c r="D24" s="218" t="s">
        <v>73</v>
      </c>
      <c r="E24" s="219"/>
      <c r="F24" s="219"/>
      <c r="G24" s="219"/>
      <c r="H24" s="219"/>
      <c r="I24" s="220">
        <v>2</v>
      </c>
      <c r="J24" s="198"/>
    </row>
    <row r="25" spans="1:11" ht="30.75" customHeight="1" x14ac:dyDescent="0.25">
      <c r="A25" s="39"/>
      <c r="B25" s="39"/>
      <c r="C25" s="39"/>
      <c r="D25" s="221" t="s">
        <v>74</v>
      </c>
      <c r="E25" s="222"/>
      <c r="F25" s="222"/>
      <c r="G25" s="222"/>
      <c r="H25" s="222"/>
      <c r="I25" s="197">
        <f>+I23*I24</f>
        <v>134382122.80000001</v>
      </c>
      <c r="J25" s="198"/>
    </row>
    <row r="26" spans="1:11" x14ac:dyDescent="0.25">
      <c r="A26" s="40"/>
      <c r="B26" s="41"/>
      <c r="C26" s="42"/>
      <c r="D26" s="42"/>
      <c r="E26" s="42"/>
      <c r="F26" s="42"/>
      <c r="G26" s="42"/>
      <c r="H26" s="122"/>
      <c r="I26" s="42"/>
      <c r="J26" s="42"/>
    </row>
    <row r="27" spans="1:11" x14ac:dyDescent="0.25">
      <c r="A27" s="82" t="s">
        <v>2</v>
      </c>
      <c r="B27" s="224" t="s">
        <v>75</v>
      </c>
      <c r="C27" s="219"/>
      <c r="D27" s="219"/>
      <c r="E27" s="219"/>
      <c r="F27" s="219"/>
      <c r="G27" s="219"/>
      <c r="H27" s="219"/>
      <c r="I27" s="219"/>
      <c r="J27" s="225"/>
    </row>
    <row r="28" spans="1:11" x14ac:dyDescent="0.25">
      <c r="A28" s="205" t="s">
        <v>51</v>
      </c>
      <c r="B28" s="191" t="s">
        <v>76</v>
      </c>
      <c r="C28" s="192"/>
      <c r="D28" s="205" t="s">
        <v>46</v>
      </c>
      <c r="E28" s="205" t="s">
        <v>47</v>
      </c>
      <c r="F28" s="191" t="s">
        <v>54</v>
      </c>
      <c r="G28" s="192"/>
      <c r="H28" s="189" t="s">
        <v>77</v>
      </c>
      <c r="I28" s="191" t="s">
        <v>56</v>
      </c>
      <c r="J28" s="192"/>
    </row>
    <row r="29" spans="1:11" x14ac:dyDescent="0.25">
      <c r="A29" s="206"/>
      <c r="B29" s="193"/>
      <c r="C29" s="194"/>
      <c r="D29" s="206"/>
      <c r="E29" s="206"/>
      <c r="F29" s="193"/>
      <c r="G29" s="194"/>
      <c r="H29" s="190"/>
      <c r="I29" s="193"/>
      <c r="J29" s="194"/>
    </row>
    <row r="30" spans="1:11" x14ac:dyDescent="0.25">
      <c r="A30" s="43" t="s">
        <v>78</v>
      </c>
      <c r="B30" s="223" t="s">
        <v>79</v>
      </c>
      <c r="C30" s="198"/>
      <c r="D30" s="44" t="s">
        <v>80</v>
      </c>
      <c r="E30" s="45">
        <v>1</v>
      </c>
      <c r="F30" s="197">
        <v>500000</v>
      </c>
      <c r="G30" s="198"/>
      <c r="H30" s="120">
        <v>3</v>
      </c>
      <c r="I30" s="197">
        <f>F30*E30*H30</f>
        <v>1500000</v>
      </c>
      <c r="J30" s="198"/>
    </row>
    <row r="31" spans="1:11" x14ac:dyDescent="0.25">
      <c r="A31" s="43" t="s">
        <v>81</v>
      </c>
      <c r="B31" s="223" t="s">
        <v>82</v>
      </c>
      <c r="C31" s="198"/>
      <c r="D31" s="44" t="s">
        <v>80</v>
      </c>
      <c r="E31" s="45">
        <v>1</v>
      </c>
      <c r="F31" s="197">
        <v>300000</v>
      </c>
      <c r="G31" s="198"/>
      <c r="H31" s="120">
        <f>H30</f>
        <v>3</v>
      </c>
      <c r="I31" s="197">
        <f>F31*E31*H31</f>
        <v>900000</v>
      </c>
      <c r="J31" s="198"/>
    </row>
    <row r="32" spans="1:11" ht="63.75" customHeight="1" x14ac:dyDescent="0.25">
      <c r="A32" s="43" t="s">
        <v>83</v>
      </c>
      <c r="B32" s="223" t="s">
        <v>241</v>
      </c>
      <c r="C32" s="198"/>
      <c r="D32" s="44" t="s">
        <v>239</v>
      </c>
      <c r="E32" s="45">
        <v>3</v>
      </c>
      <c r="F32" s="197">
        <v>1500000</v>
      </c>
      <c r="G32" s="198"/>
      <c r="H32" s="120">
        <v>1</v>
      </c>
      <c r="I32" s="197">
        <f>F32*E32*H32</f>
        <v>4500000</v>
      </c>
      <c r="J32" s="198"/>
    </row>
    <row r="33" spans="1:13" ht="39" customHeight="1" x14ac:dyDescent="0.25">
      <c r="A33" s="43" t="s">
        <v>84</v>
      </c>
      <c r="B33" s="223" t="s">
        <v>85</v>
      </c>
      <c r="C33" s="198"/>
      <c r="D33" s="44" t="s">
        <v>80</v>
      </c>
      <c r="E33" s="45">
        <v>1</v>
      </c>
      <c r="F33" s="197">
        <v>5800000</v>
      </c>
      <c r="G33" s="198"/>
      <c r="H33" s="120">
        <f>H30/3</f>
        <v>1</v>
      </c>
      <c r="I33" s="197">
        <f>F33*E33*H33</f>
        <v>5800000</v>
      </c>
      <c r="J33" s="198"/>
      <c r="L33" s="118">
        <v>3</v>
      </c>
      <c r="M33" t="s">
        <v>238</v>
      </c>
    </row>
    <row r="34" spans="1:13" ht="42.75" customHeight="1" x14ac:dyDescent="0.25">
      <c r="A34" s="43" t="s">
        <v>86</v>
      </c>
      <c r="B34" s="223" t="s">
        <v>98</v>
      </c>
      <c r="C34" s="198"/>
      <c r="D34" s="44" t="s">
        <v>46</v>
      </c>
      <c r="E34" s="45">
        <v>6</v>
      </c>
      <c r="F34" s="197">
        <v>950000</v>
      </c>
      <c r="G34" s="198"/>
      <c r="H34" s="120">
        <v>1</v>
      </c>
      <c r="I34" s="197">
        <f>F34*E34</f>
        <v>5700000</v>
      </c>
      <c r="J34" s="198"/>
      <c r="L34" s="127">
        <v>2</v>
      </c>
      <c r="M34" s="128" t="s">
        <v>252</v>
      </c>
    </row>
    <row r="35" spans="1:13" ht="42.75" customHeight="1" x14ac:dyDescent="0.25">
      <c r="A35" s="43" t="s">
        <v>102</v>
      </c>
      <c r="B35" s="223" t="s">
        <v>99</v>
      </c>
      <c r="C35" s="198"/>
      <c r="D35" s="44" t="s">
        <v>46</v>
      </c>
      <c r="E35" s="45">
        <v>3</v>
      </c>
      <c r="F35" s="197">
        <v>750000</v>
      </c>
      <c r="G35" s="198"/>
      <c r="H35" s="120">
        <v>1</v>
      </c>
      <c r="I35" s="197">
        <f>F35*E35</f>
        <v>2250000</v>
      </c>
      <c r="J35" s="198"/>
    </row>
    <row r="36" spans="1:13" ht="49.5" customHeight="1" x14ac:dyDescent="0.25">
      <c r="A36" s="43" t="s">
        <v>87</v>
      </c>
      <c r="B36" s="223" t="s">
        <v>103</v>
      </c>
      <c r="C36" s="198"/>
      <c r="D36" s="44" t="s">
        <v>46</v>
      </c>
      <c r="E36" s="45">
        <v>3</v>
      </c>
      <c r="F36" s="197">
        <v>900000</v>
      </c>
      <c r="G36" s="198"/>
      <c r="H36" s="120">
        <v>1</v>
      </c>
      <c r="I36" s="197">
        <f>F36*H36*E36</f>
        <v>2700000</v>
      </c>
      <c r="J36" s="198"/>
    </row>
    <row r="37" spans="1:13" ht="37.5" customHeight="1" x14ac:dyDescent="0.25">
      <c r="A37" s="43" t="s">
        <v>254</v>
      </c>
      <c r="B37" s="223" t="s">
        <v>240</v>
      </c>
      <c r="C37" s="198"/>
      <c r="D37" s="44" t="s">
        <v>80</v>
      </c>
      <c r="E37" s="45">
        <v>1</v>
      </c>
      <c r="F37" s="197">
        <v>6250000</v>
      </c>
      <c r="G37" s="198"/>
      <c r="H37" s="120">
        <f>H30/4</f>
        <v>0.75</v>
      </c>
      <c r="I37" s="197">
        <f>F37*H37*E37</f>
        <v>4687500</v>
      </c>
      <c r="J37" s="198"/>
    </row>
    <row r="38" spans="1:13" ht="37.5" customHeight="1" x14ac:dyDescent="0.25">
      <c r="A38" s="43" t="s">
        <v>88</v>
      </c>
      <c r="B38" s="223" t="s">
        <v>97</v>
      </c>
      <c r="C38" s="198"/>
      <c r="D38" s="53" t="s">
        <v>46</v>
      </c>
      <c r="E38" s="54">
        <v>3</v>
      </c>
      <c r="F38" s="197">
        <v>1500000</v>
      </c>
      <c r="G38" s="198"/>
      <c r="H38" s="120">
        <v>1</v>
      </c>
      <c r="I38" s="197">
        <f>F38*H38*E38</f>
        <v>4500000</v>
      </c>
      <c r="J38" s="198"/>
    </row>
    <row r="39" spans="1:13" x14ac:dyDescent="0.25">
      <c r="A39" s="39"/>
      <c r="B39" s="39"/>
      <c r="C39" s="39"/>
      <c r="D39" s="218" t="s">
        <v>89</v>
      </c>
      <c r="E39" s="219"/>
      <c r="F39" s="219"/>
      <c r="G39" s="219"/>
      <c r="H39" s="219"/>
      <c r="I39" s="197">
        <f>SUM(I30:I38)</f>
        <v>32537500</v>
      </c>
      <c r="J39" s="198"/>
    </row>
    <row r="41" spans="1:13" x14ac:dyDescent="0.25">
      <c r="D41" s="218" t="s">
        <v>101</v>
      </c>
      <c r="E41" s="219"/>
      <c r="F41" s="219"/>
      <c r="G41" s="219"/>
      <c r="H41" s="219"/>
      <c r="I41" s="197">
        <f>I39+I25</f>
        <v>166919622.80000001</v>
      </c>
      <c r="J41" s="198"/>
    </row>
    <row r="42" spans="1:13" x14ac:dyDescent="0.25">
      <c r="D42" s="218" t="s">
        <v>100</v>
      </c>
      <c r="E42" s="219"/>
      <c r="F42" s="219"/>
      <c r="G42" s="219"/>
      <c r="H42" s="219"/>
      <c r="I42" s="197">
        <f>I41*0.19</f>
        <v>31714728.332000002</v>
      </c>
      <c r="J42" s="198"/>
    </row>
    <row r="43" spans="1:13" x14ac:dyDescent="0.25">
      <c r="D43" s="218" t="s">
        <v>89</v>
      </c>
      <c r="E43" s="219"/>
      <c r="F43" s="219"/>
      <c r="G43" s="219"/>
      <c r="H43" s="219"/>
      <c r="I43" s="197">
        <f>I42+I41</f>
        <v>198634351.13200003</v>
      </c>
      <c r="J43" s="198"/>
    </row>
    <row r="45" spans="1:13" x14ac:dyDescent="0.25">
      <c r="K45" s="124"/>
    </row>
    <row r="47" spans="1:13" x14ac:dyDescent="0.25">
      <c r="B47" s="195" t="s">
        <v>269</v>
      </c>
      <c r="C47" s="195"/>
      <c r="D47" s="195"/>
      <c r="G47" s="195" t="s">
        <v>268</v>
      </c>
      <c r="H47" s="195"/>
      <c r="I47" s="195"/>
    </row>
    <row r="48" spans="1:13" x14ac:dyDescent="0.25">
      <c r="B48" s="196" t="s">
        <v>248</v>
      </c>
      <c r="C48" s="196"/>
      <c r="D48" s="196"/>
      <c r="G48" s="196" t="s">
        <v>248</v>
      </c>
      <c r="H48" s="196"/>
      <c r="I48" s="196"/>
    </row>
    <row r="52" spans="4:7" x14ac:dyDescent="0.25">
      <c r="D52" s="195" t="s">
        <v>270</v>
      </c>
      <c r="E52" s="195"/>
      <c r="F52" s="195"/>
      <c r="G52" s="195"/>
    </row>
    <row r="53" spans="4:7" x14ac:dyDescent="0.25">
      <c r="D53" s="196" t="s">
        <v>271</v>
      </c>
      <c r="E53" s="196"/>
      <c r="F53" s="196"/>
      <c r="G53" s="196"/>
    </row>
  </sheetData>
  <mergeCells count="99">
    <mergeCell ref="I42:J42"/>
    <mergeCell ref="I33:J33"/>
    <mergeCell ref="B37:C37"/>
    <mergeCell ref="D43:H43"/>
    <mergeCell ref="I43:J43"/>
    <mergeCell ref="D41:H41"/>
    <mergeCell ref="I41:J41"/>
    <mergeCell ref="D39:H39"/>
    <mergeCell ref="I39:J39"/>
    <mergeCell ref="D42:H42"/>
    <mergeCell ref="B36:C36"/>
    <mergeCell ref="F36:G36"/>
    <mergeCell ref="I36:J36"/>
    <mergeCell ref="B27:J27"/>
    <mergeCell ref="H28:H29"/>
    <mergeCell ref="I28:J29"/>
    <mergeCell ref="B38:C38"/>
    <mergeCell ref="F38:G38"/>
    <mergeCell ref="I38:J38"/>
    <mergeCell ref="B35:C35"/>
    <mergeCell ref="F35:G35"/>
    <mergeCell ref="I35:J35"/>
    <mergeCell ref="B30:C30"/>
    <mergeCell ref="F30:G30"/>
    <mergeCell ref="I30:J30"/>
    <mergeCell ref="B31:C31"/>
    <mergeCell ref="F31:G31"/>
    <mergeCell ref="B32:C32"/>
    <mergeCell ref="F32:G32"/>
    <mergeCell ref="I32:J32"/>
    <mergeCell ref="B33:C33"/>
    <mergeCell ref="F33:G33"/>
    <mergeCell ref="B34:C34"/>
    <mergeCell ref="F34:G34"/>
    <mergeCell ref="I34:J34"/>
    <mergeCell ref="F13:G13"/>
    <mergeCell ref="I13:J13"/>
    <mergeCell ref="F37:G37"/>
    <mergeCell ref="I37:J37"/>
    <mergeCell ref="F19:G19"/>
    <mergeCell ref="I19:J19"/>
    <mergeCell ref="F21:G21"/>
    <mergeCell ref="I21:J21"/>
    <mergeCell ref="D23:H23"/>
    <mergeCell ref="I23:J23"/>
    <mergeCell ref="F22:G22"/>
    <mergeCell ref="I22:J22"/>
    <mergeCell ref="I31:J31"/>
    <mergeCell ref="D24:H24"/>
    <mergeCell ref="I24:J24"/>
    <mergeCell ref="D25:H25"/>
    <mergeCell ref="I25:J25"/>
    <mergeCell ref="F20:G20"/>
    <mergeCell ref="I20:J20"/>
    <mergeCell ref="I14:J14"/>
    <mergeCell ref="F17:G17"/>
    <mergeCell ref="I17:J17"/>
    <mergeCell ref="F18:G18"/>
    <mergeCell ref="I18:J18"/>
    <mergeCell ref="F15:G15"/>
    <mergeCell ref="I15:J15"/>
    <mergeCell ref="F16:G16"/>
    <mergeCell ref="I16:J16"/>
    <mergeCell ref="F14:G14"/>
    <mergeCell ref="A28:A29"/>
    <mergeCell ref="B28:C29"/>
    <mergeCell ref="D28:D29"/>
    <mergeCell ref="E28:E29"/>
    <mergeCell ref="F28:G29"/>
    <mergeCell ref="A5:J5"/>
    <mergeCell ref="B6:J6"/>
    <mergeCell ref="A7:A8"/>
    <mergeCell ref="B7:B8"/>
    <mergeCell ref="C7:C8"/>
    <mergeCell ref="D7:D8"/>
    <mergeCell ref="E7:E8"/>
    <mergeCell ref="F7:G8"/>
    <mergeCell ref="A2:B4"/>
    <mergeCell ref="G2:H2"/>
    <mergeCell ref="G3:H3"/>
    <mergeCell ref="G4:H4"/>
    <mergeCell ref="I2:J4"/>
    <mergeCell ref="C2:F4"/>
    <mergeCell ref="H7:H8"/>
    <mergeCell ref="I7:J8"/>
    <mergeCell ref="D52:G52"/>
    <mergeCell ref="D53:G53"/>
    <mergeCell ref="B47:D47"/>
    <mergeCell ref="B48:D48"/>
    <mergeCell ref="G47:I47"/>
    <mergeCell ref="G48:I48"/>
    <mergeCell ref="F9:G9"/>
    <mergeCell ref="I9:J9"/>
    <mergeCell ref="F10:G10"/>
    <mergeCell ref="I10:J10"/>
    <mergeCell ref="F11:G11"/>
    <mergeCell ref="I11:J11"/>
    <mergeCell ref="F12:G12"/>
    <mergeCell ref="I12:J12"/>
  </mergeCells>
  <phoneticPr fontId="21" type="noConversion"/>
  <pageMargins left="0.7" right="0.7" top="0.75" bottom="0.75" header="0.3" footer="0.3"/>
  <pageSetup scale="75" orientation="portrait" r:id="rId1"/>
  <rowBreaks count="1" manualBreakCount="1">
    <brk id="2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view="pageBreakPreview" topLeftCell="A4" zoomScaleNormal="100" zoomScaleSheetLayoutView="100" workbookViewId="0">
      <selection activeCell="E16" sqref="E16"/>
    </sheetView>
  </sheetViews>
  <sheetFormatPr baseColWidth="10" defaultRowHeight="15" x14ac:dyDescent="0.25"/>
  <cols>
    <col min="1" max="1" width="16.140625" style="58" customWidth="1"/>
    <col min="2" max="2" width="38.85546875" customWidth="1"/>
    <col min="4" max="4" width="25" customWidth="1"/>
    <col min="5" max="5" width="19.5703125" bestFit="1" customWidth="1"/>
    <col min="7" max="7" width="25.7109375" bestFit="1" customWidth="1"/>
    <col min="8" max="8" width="14.5703125" bestFit="1" customWidth="1"/>
  </cols>
  <sheetData>
    <row r="1" spans="1:5" ht="16.5" x14ac:dyDescent="0.25">
      <c r="A1" s="229"/>
      <c r="B1" s="201" t="s">
        <v>147</v>
      </c>
      <c r="C1" s="201"/>
      <c r="D1" s="80" t="s">
        <v>144</v>
      </c>
      <c r="E1" s="199"/>
    </row>
    <row r="2" spans="1:5" ht="16.5" x14ac:dyDescent="0.25">
      <c r="A2" s="229"/>
      <c r="B2" s="201"/>
      <c r="C2" s="201"/>
      <c r="D2" s="80" t="s">
        <v>145</v>
      </c>
      <c r="E2" s="199"/>
    </row>
    <row r="3" spans="1:5" ht="31.5" customHeight="1" x14ac:dyDescent="0.25">
      <c r="A3" s="229"/>
      <c r="B3" s="201"/>
      <c r="C3" s="201"/>
      <c r="D3" s="80" t="s">
        <v>146</v>
      </c>
      <c r="E3" s="199"/>
    </row>
    <row r="4" spans="1:5" ht="31.5" customHeight="1" x14ac:dyDescent="0.25">
      <c r="A4" s="226" t="s">
        <v>250</v>
      </c>
      <c r="B4" s="227"/>
      <c r="C4" s="227"/>
      <c r="D4" s="227"/>
      <c r="E4" s="228"/>
    </row>
    <row r="5" spans="1:5" x14ac:dyDescent="0.25">
      <c r="A5" s="83" t="s">
        <v>1</v>
      </c>
      <c r="B5" s="230" t="s">
        <v>112</v>
      </c>
      <c r="C5" s="231"/>
      <c r="D5" s="231"/>
      <c r="E5" s="231"/>
    </row>
    <row r="6" spans="1:5" x14ac:dyDescent="0.25">
      <c r="A6" s="232" t="s">
        <v>51</v>
      </c>
      <c r="B6" s="234" t="s">
        <v>106</v>
      </c>
      <c r="C6" s="235" t="s">
        <v>47</v>
      </c>
      <c r="D6" s="234" t="s">
        <v>107</v>
      </c>
      <c r="E6" s="234" t="s">
        <v>56</v>
      </c>
    </row>
    <row r="7" spans="1:5" x14ac:dyDescent="0.25">
      <c r="A7" s="233"/>
      <c r="B7" s="231"/>
      <c r="C7" s="231"/>
      <c r="D7" s="231"/>
      <c r="E7" s="231"/>
    </row>
    <row r="8" spans="1:5" x14ac:dyDescent="0.25">
      <c r="A8" s="183" t="s">
        <v>130</v>
      </c>
      <c r="B8" s="76" t="s">
        <v>253</v>
      </c>
      <c r="C8" s="75">
        <v>1</v>
      </c>
      <c r="D8" s="77"/>
      <c r="E8" s="77"/>
    </row>
    <row r="9" spans="1:5" x14ac:dyDescent="0.25">
      <c r="A9" s="183" t="s">
        <v>131</v>
      </c>
      <c r="B9" s="76" t="s">
        <v>255</v>
      </c>
      <c r="C9" s="75">
        <v>1</v>
      </c>
      <c r="D9" s="77"/>
      <c r="E9" s="77"/>
    </row>
    <row r="10" spans="1:5" ht="45" x14ac:dyDescent="0.25">
      <c r="A10" s="183" t="s">
        <v>132</v>
      </c>
      <c r="B10" s="76" t="s">
        <v>278</v>
      </c>
      <c r="C10" s="75">
        <v>1</v>
      </c>
      <c r="D10" s="77"/>
      <c r="E10" s="77"/>
    </row>
    <row r="11" spans="1:5" ht="30" x14ac:dyDescent="0.25">
      <c r="A11" s="183" t="s">
        <v>133</v>
      </c>
      <c r="B11" s="76" t="s">
        <v>267</v>
      </c>
      <c r="C11" s="75">
        <v>1</v>
      </c>
      <c r="D11" s="77"/>
      <c r="E11" s="77"/>
    </row>
    <row r="12" spans="1:5" x14ac:dyDescent="0.25">
      <c r="A12" s="183" t="s">
        <v>134</v>
      </c>
      <c r="B12" s="76" t="s">
        <v>109</v>
      </c>
      <c r="C12" s="75">
        <v>1</v>
      </c>
      <c r="D12" s="141"/>
      <c r="E12" s="141"/>
    </row>
    <row r="13" spans="1:5" x14ac:dyDescent="0.25">
      <c r="A13" s="183" t="s">
        <v>135</v>
      </c>
      <c r="B13" s="76" t="s">
        <v>256</v>
      </c>
      <c r="C13" s="75">
        <v>1</v>
      </c>
      <c r="D13" s="77"/>
      <c r="E13" s="77"/>
    </row>
    <row r="14" spans="1:5" ht="30" x14ac:dyDescent="0.25">
      <c r="A14" s="183" t="s">
        <v>136</v>
      </c>
      <c r="B14" s="76" t="s">
        <v>129</v>
      </c>
      <c r="C14" s="75">
        <v>1</v>
      </c>
      <c r="D14" s="77"/>
      <c r="E14" s="77"/>
    </row>
    <row r="15" spans="1:5" ht="45" x14ac:dyDescent="0.25">
      <c r="A15" s="183" t="s">
        <v>137</v>
      </c>
      <c r="B15" s="76" t="s">
        <v>111</v>
      </c>
      <c r="C15" s="75">
        <v>1</v>
      </c>
      <c r="D15" s="141"/>
      <c r="E15" s="77"/>
    </row>
    <row r="16" spans="1:5" x14ac:dyDescent="0.25">
      <c r="A16" s="183" t="s">
        <v>138</v>
      </c>
      <c r="B16" s="76" t="s">
        <v>110</v>
      </c>
      <c r="C16" s="75">
        <v>1</v>
      </c>
      <c r="D16" s="77"/>
      <c r="E16" s="77"/>
    </row>
    <row r="17" spans="1:8" x14ac:dyDescent="0.25">
      <c r="A17" s="183" t="s">
        <v>139</v>
      </c>
      <c r="B17" s="76" t="s">
        <v>257</v>
      </c>
      <c r="C17" s="75">
        <v>1</v>
      </c>
      <c r="D17" s="77"/>
      <c r="E17" s="77"/>
    </row>
    <row r="18" spans="1:8" ht="105" x14ac:dyDescent="0.25">
      <c r="A18" s="183" t="s">
        <v>140</v>
      </c>
      <c r="B18" s="188" t="s">
        <v>279</v>
      </c>
      <c r="C18" s="75">
        <v>1</v>
      </c>
      <c r="D18" s="77"/>
      <c r="E18" s="77"/>
    </row>
    <row r="19" spans="1:8" ht="105" x14ac:dyDescent="0.25">
      <c r="A19" s="183" t="s">
        <v>141</v>
      </c>
      <c r="B19" s="76" t="s">
        <v>277</v>
      </c>
      <c r="C19" s="75">
        <v>1</v>
      </c>
      <c r="D19" s="77"/>
      <c r="E19" s="77"/>
    </row>
    <row r="20" spans="1:8" ht="30" x14ac:dyDescent="0.25">
      <c r="A20" s="183" t="s">
        <v>142</v>
      </c>
      <c r="B20" s="76" t="s">
        <v>258</v>
      </c>
      <c r="C20" s="75">
        <v>1</v>
      </c>
      <c r="D20" s="77"/>
      <c r="E20" s="77"/>
    </row>
    <row r="21" spans="1:8" ht="30" x14ac:dyDescent="0.25">
      <c r="A21" s="183" t="s">
        <v>143</v>
      </c>
      <c r="B21" s="76" t="s">
        <v>272</v>
      </c>
      <c r="C21" s="75">
        <v>1</v>
      </c>
      <c r="D21" s="77"/>
      <c r="E21" s="77"/>
    </row>
    <row r="22" spans="1:8" ht="75" x14ac:dyDescent="0.25">
      <c r="A22" s="183" t="s">
        <v>244</v>
      </c>
      <c r="B22" s="129" t="s">
        <v>259</v>
      </c>
      <c r="C22" s="75">
        <v>1</v>
      </c>
      <c r="D22" s="77"/>
      <c r="E22" s="77"/>
      <c r="G22" s="179"/>
    </row>
    <row r="23" spans="1:8" ht="45" x14ac:dyDescent="0.25">
      <c r="A23" s="183" t="s">
        <v>261</v>
      </c>
      <c r="B23" s="129" t="s">
        <v>262</v>
      </c>
      <c r="C23" s="75">
        <v>1</v>
      </c>
      <c r="D23" s="77"/>
      <c r="E23" s="77"/>
    </row>
    <row r="24" spans="1:8" x14ac:dyDescent="0.25">
      <c r="A24" s="183" t="s">
        <v>264</v>
      </c>
      <c r="B24" s="129" t="s">
        <v>263</v>
      </c>
      <c r="C24" s="75">
        <v>1</v>
      </c>
      <c r="D24" s="77"/>
      <c r="E24" s="77"/>
      <c r="G24" s="177"/>
    </row>
    <row r="25" spans="1:8" x14ac:dyDescent="0.25">
      <c r="D25" s="78" t="s">
        <v>122</v>
      </c>
      <c r="E25" s="79"/>
      <c r="G25" s="176"/>
    </row>
    <row r="26" spans="1:8" x14ac:dyDescent="0.25">
      <c r="D26" s="78" t="s">
        <v>100</v>
      </c>
      <c r="E26" s="79"/>
    </row>
    <row r="27" spans="1:8" x14ac:dyDescent="0.25">
      <c r="D27" s="78" t="s">
        <v>114</v>
      </c>
      <c r="E27" s="79"/>
      <c r="G27" s="175"/>
      <c r="H27" s="108"/>
    </row>
    <row r="28" spans="1:8" x14ac:dyDescent="0.25">
      <c r="G28" s="124"/>
    </row>
    <row r="30" spans="1:8" x14ac:dyDescent="0.25">
      <c r="E30" s="108"/>
    </row>
    <row r="32" spans="1:8" x14ac:dyDescent="0.25">
      <c r="A32" s="195" t="s">
        <v>269</v>
      </c>
      <c r="B32" s="195"/>
      <c r="D32" s="195" t="s">
        <v>268</v>
      </c>
      <c r="E32" s="195"/>
    </row>
    <row r="33" spans="1:7" x14ac:dyDescent="0.25">
      <c r="A33" s="196" t="s">
        <v>248</v>
      </c>
      <c r="B33" s="196"/>
      <c r="D33" s="196" t="s">
        <v>248</v>
      </c>
      <c r="E33" s="196"/>
    </row>
    <row r="34" spans="1:7" x14ac:dyDescent="0.25">
      <c r="A34"/>
    </row>
    <row r="35" spans="1:7" x14ac:dyDescent="0.25">
      <c r="A35"/>
      <c r="E35" s="196"/>
      <c r="F35" s="196"/>
      <c r="G35" s="196"/>
    </row>
    <row r="36" spans="1:7" x14ac:dyDescent="0.25">
      <c r="A36"/>
      <c r="E36" s="119"/>
      <c r="F36" s="119"/>
      <c r="G36" s="119"/>
    </row>
    <row r="37" spans="1:7" x14ac:dyDescent="0.25">
      <c r="A37" s="195" t="s">
        <v>270</v>
      </c>
      <c r="B37" s="195"/>
      <c r="E37" s="119"/>
      <c r="F37" s="119"/>
      <c r="G37" s="119"/>
    </row>
    <row r="38" spans="1:7" x14ac:dyDescent="0.25">
      <c r="A38" s="196" t="s">
        <v>271</v>
      </c>
      <c r="B38" s="196"/>
    </row>
    <row r="39" spans="1:7" x14ac:dyDescent="0.25">
      <c r="A39"/>
    </row>
    <row r="40" spans="1:7" x14ac:dyDescent="0.25">
      <c r="A40"/>
    </row>
  </sheetData>
  <mergeCells count="17">
    <mergeCell ref="E1:E3"/>
    <mergeCell ref="A32:B32"/>
    <mergeCell ref="A33:B33"/>
    <mergeCell ref="D32:E32"/>
    <mergeCell ref="A1:A3"/>
    <mergeCell ref="B1:C3"/>
    <mergeCell ref="B5:E5"/>
    <mergeCell ref="A6:A7"/>
    <mergeCell ref="B6:B7"/>
    <mergeCell ref="C6:C7"/>
    <mergeCell ref="D6:D7"/>
    <mergeCell ref="E6:E7"/>
    <mergeCell ref="A37:B37"/>
    <mergeCell ref="A38:B38"/>
    <mergeCell ref="A4:E4"/>
    <mergeCell ref="D33:E33"/>
    <mergeCell ref="E35:G35"/>
  </mergeCells>
  <phoneticPr fontId="21" type="noConversion"/>
  <pageMargins left="0.7" right="0.7" top="0.75" bottom="0.75" header="0.3" footer="0.3"/>
  <pageSetup scale="69" orientation="portrait" r:id="rId1"/>
  <rowBreaks count="1" manualBreakCount="1">
    <brk id="39" max="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719"/>
  <sheetViews>
    <sheetView view="pageBreakPreview" topLeftCell="A700" zoomScale="80" zoomScaleNormal="100" zoomScaleSheetLayoutView="80" workbookViewId="0">
      <selection activeCell="F719" sqref="F719:I719"/>
    </sheetView>
  </sheetViews>
  <sheetFormatPr baseColWidth="10" defaultRowHeight="15" x14ac:dyDescent="0.25"/>
  <cols>
    <col min="4" max="4" width="12.5703125" customWidth="1"/>
    <col min="6" max="6" width="24.85546875" bestFit="1" customWidth="1"/>
    <col min="7" max="7" width="10.5703125" customWidth="1"/>
    <col min="8" max="8" width="16.5703125" customWidth="1"/>
    <col min="10" max="10" width="16.7109375" customWidth="1"/>
    <col min="12" max="12" width="17.7109375" customWidth="1"/>
    <col min="14" max="14" width="17.140625" customWidth="1"/>
    <col min="15" max="15" width="23.7109375" customWidth="1"/>
    <col min="16" max="16" width="13" customWidth="1"/>
    <col min="17" max="17" width="11.42578125" hidden="1" customWidth="1"/>
    <col min="18" max="18" width="6.7109375" hidden="1" customWidth="1"/>
    <col min="19" max="19" width="7.5703125" hidden="1" customWidth="1"/>
    <col min="20" max="20" width="11.5703125" customWidth="1"/>
    <col min="21" max="21" width="9.7109375" customWidth="1"/>
    <col min="22" max="22" width="7.140625" customWidth="1"/>
    <col min="23" max="23" width="4.7109375" customWidth="1"/>
    <col min="24" max="24" width="6.28515625" customWidth="1"/>
    <col min="25" max="25" width="7.85546875" customWidth="1"/>
    <col min="26" max="26" width="7.28515625" customWidth="1"/>
    <col min="27" max="27" width="8.28515625" customWidth="1"/>
    <col min="28" max="28" width="9.85546875" customWidth="1"/>
    <col min="29" max="29" width="9.42578125" customWidth="1"/>
    <col min="30" max="30" width="8.42578125" customWidth="1"/>
    <col min="31" max="31" width="7.42578125" customWidth="1"/>
    <col min="32" max="32" width="8.42578125" customWidth="1"/>
    <col min="33" max="33" width="8" customWidth="1"/>
    <col min="34" max="34" width="5.5703125" customWidth="1"/>
    <col min="35" max="36" width="6.28515625" customWidth="1"/>
    <col min="37" max="37" width="8.5703125" customWidth="1"/>
    <col min="38" max="38" width="7.85546875" customWidth="1"/>
    <col min="39" max="39" width="8" customWidth="1"/>
    <col min="40" max="40" width="4.85546875" customWidth="1"/>
    <col min="41" max="41" width="2.28515625" customWidth="1"/>
    <col min="42" max="42" width="4.5703125" customWidth="1"/>
    <col min="43" max="43" width="4.28515625" customWidth="1"/>
    <col min="44" max="44" width="6.28515625" customWidth="1"/>
    <col min="45" max="45" width="5.140625" customWidth="1"/>
    <col min="46" max="46" width="5.7109375" customWidth="1"/>
    <col min="47" max="47" width="3.28515625" customWidth="1"/>
    <col min="48" max="48" width="3.7109375" customWidth="1"/>
    <col min="49" max="49" width="4.7109375" customWidth="1"/>
    <col min="50" max="50" width="4.140625" customWidth="1"/>
    <col min="51" max="53" width="11.42578125" customWidth="1"/>
  </cols>
  <sheetData>
    <row r="1" spans="1:64" x14ac:dyDescent="0.25">
      <c r="A1" s="262" t="s">
        <v>249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</row>
    <row r="2" spans="1:64" x14ac:dyDescent="0.25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</row>
    <row r="3" spans="1:64" x14ac:dyDescent="0.25">
      <c r="A3" s="241" t="str">
        <f>Productos!B8</f>
        <v>Diagnostico y Perfil del proyecto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3"/>
    </row>
    <row r="4" spans="1:64" ht="15" customHeight="1" x14ac:dyDescent="0.25">
      <c r="A4" s="244"/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6"/>
      <c r="R4" s="191" t="s">
        <v>52</v>
      </c>
      <c r="S4" s="207" t="s">
        <v>47</v>
      </c>
      <c r="T4" s="205" t="s">
        <v>53</v>
      </c>
      <c r="U4" s="205" t="s">
        <v>55</v>
      </c>
      <c r="V4" s="205" t="s">
        <v>242</v>
      </c>
    </row>
    <row r="5" spans="1:64" x14ac:dyDescent="0.25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  <c r="G5" s="39">
        <v>7</v>
      </c>
      <c r="H5" s="39">
        <v>8</v>
      </c>
      <c r="I5" s="39">
        <v>9</v>
      </c>
      <c r="J5" s="39">
        <v>10</v>
      </c>
      <c r="K5" s="39">
        <v>11</v>
      </c>
      <c r="L5" s="39">
        <v>12</v>
      </c>
      <c r="M5" s="39">
        <v>13</v>
      </c>
      <c r="N5" s="39">
        <v>14</v>
      </c>
      <c r="R5" s="193"/>
      <c r="S5" s="206"/>
      <c r="T5" s="206"/>
      <c r="U5" s="206"/>
      <c r="V5" s="206"/>
      <c r="W5" s="58" t="s">
        <v>130</v>
      </c>
      <c r="X5" s="58" t="s">
        <v>131</v>
      </c>
      <c r="Y5" s="58" t="s">
        <v>132</v>
      </c>
      <c r="Z5" s="58" t="s">
        <v>133</v>
      </c>
      <c r="AA5" s="58" t="s">
        <v>134</v>
      </c>
      <c r="AB5" s="58" t="s">
        <v>135</v>
      </c>
      <c r="AC5" s="58" t="s">
        <v>136</v>
      </c>
      <c r="AD5" s="58" t="s">
        <v>137</v>
      </c>
      <c r="AE5" s="58" t="s">
        <v>138</v>
      </c>
      <c r="AF5" s="58" t="s">
        <v>247</v>
      </c>
      <c r="AG5" s="58" t="s">
        <v>140</v>
      </c>
      <c r="AH5" s="58" t="s">
        <v>141</v>
      </c>
      <c r="AI5" s="58" t="s">
        <v>142</v>
      </c>
      <c r="AJ5" s="58" t="s">
        <v>143</v>
      </c>
      <c r="AK5" s="58" t="s">
        <v>244</v>
      </c>
      <c r="AL5" s="58" t="s">
        <v>261</v>
      </c>
      <c r="AM5" s="58"/>
      <c r="AO5" s="58" t="str">
        <f>Productos!A8</f>
        <v>A001</v>
      </c>
      <c r="AP5" s="58" t="str">
        <f>Productos!B8</f>
        <v>Diagnostico y Perfil del proyecto</v>
      </c>
    </row>
    <row r="6" spans="1:64" ht="15.75" x14ac:dyDescent="0.3">
      <c r="A6" s="84" t="s">
        <v>130</v>
      </c>
      <c r="B6" s="59" t="str">
        <f>A3</f>
        <v>Diagnostico y Perfil del proyecto</v>
      </c>
      <c r="C6" s="85" t="s">
        <v>113</v>
      </c>
      <c r="D6" s="60" t="s">
        <v>127</v>
      </c>
      <c r="E6" s="86" t="s">
        <v>114</v>
      </c>
      <c r="F6" s="61">
        <f>H6+J6+L6+N6</f>
        <v>9865048.3198851794</v>
      </c>
      <c r="G6" s="86" t="s">
        <v>115</v>
      </c>
      <c r="H6" s="62">
        <f>M23</f>
        <v>52941.176470588238</v>
      </c>
      <c r="I6" s="86" t="s">
        <v>116</v>
      </c>
      <c r="J6" s="63">
        <f>M15</f>
        <v>352941.17647058825</v>
      </c>
      <c r="K6" s="86" t="s">
        <v>117</v>
      </c>
      <c r="L6" s="62">
        <f>M32</f>
        <v>2950000</v>
      </c>
      <c r="M6" s="86" t="s">
        <v>118</v>
      </c>
      <c r="N6" s="64">
        <f>M42</f>
        <v>6509165.9669440025</v>
      </c>
      <c r="R6" s="131" t="s">
        <v>90</v>
      </c>
      <c r="S6" s="37">
        <v>1</v>
      </c>
      <c r="T6" s="38">
        <f>PROFESIONALES!E9</f>
        <v>0.2</v>
      </c>
      <c r="U6" s="37">
        <f>PROFESIONALES!H9</f>
        <v>3</v>
      </c>
      <c r="V6">
        <f>U6*T6*S6</f>
        <v>0.60000000000000009</v>
      </c>
      <c r="W6" s="109">
        <f>1/$Z$22</f>
        <v>5.8823529411764705E-2</v>
      </c>
      <c r="X6" s="109">
        <f t="shared" ref="X6:AL6" si="0">1/$Z$22</f>
        <v>5.8823529411764705E-2</v>
      </c>
      <c r="Y6" s="109">
        <f t="shared" si="0"/>
        <v>5.8823529411764705E-2</v>
      </c>
      <c r="Z6" s="109">
        <f t="shared" si="0"/>
        <v>5.8823529411764705E-2</v>
      </c>
      <c r="AA6" s="109">
        <f t="shared" si="0"/>
        <v>5.8823529411764705E-2</v>
      </c>
      <c r="AB6" s="109">
        <f t="shared" si="0"/>
        <v>5.8823529411764705E-2</v>
      </c>
      <c r="AC6" s="109">
        <f t="shared" si="0"/>
        <v>5.8823529411764705E-2</v>
      </c>
      <c r="AD6" s="109">
        <f t="shared" si="0"/>
        <v>5.8823529411764705E-2</v>
      </c>
      <c r="AE6" s="109">
        <f t="shared" si="0"/>
        <v>5.8823529411764705E-2</v>
      </c>
      <c r="AF6" s="109">
        <f t="shared" si="0"/>
        <v>5.8823529411764705E-2</v>
      </c>
      <c r="AG6" s="109">
        <f t="shared" si="0"/>
        <v>5.8823529411764705E-2</v>
      </c>
      <c r="AH6" s="109">
        <f t="shared" si="0"/>
        <v>5.8823529411764705E-2</v>
      </c>
      <c r="AI6" s="109">
        <f t="shared" si="0"/>
        <v>5.8823529411764705E-2</v>
      </c>
      <c r="AJ6" s="109">
        <f t="shared" si="0"/>
        <v>5.8823529411764705E-2</v>
      </c>
      <c r="AK6" s="109">
        <f t="shared" si="0"/>
        <v>5.8823529411764705E-2</v>
      </c>
      <c r="AL6" s="109">
        <f t="shared" si="0"/>
        <v>5.8823529411764705E-2</v>
      </c>
      <c r="AM6" s="115">
        <f>SUM(W6:AL6)</f>
        <v>0.94117647058823539</v>
      </c>
      <c r="AO6" s="58" t="str">
        <f>Productos!A9</f>
        <v>A002</v>
      </c>
      <c r="AP6" s="58" t="str">
        <f>Productos!B9</f>
        <v>Diseño Arquitectonico y Urbanistico.</v>
      </c>
    </row>
    <row r="7" spans="1:64" ht="16.5" customHeight="1" x14ac:dyDescent="0.25">
      <c r="A7" s="65"/>
      <c r="B7" s="65"/>
      <c r="C7" s="65"/>
      <c r="D7" s="65"/>
      <c r="E7" s="65"/>
      <c r="F7" s="172"/>
      <c r="G7" s="65"/>
      <c r="H7" s="66"/>
      <c r="I7" s="66"/>
      <c r="J7" s="65"/>
      <c r="K7" s="65"/>
      <c r="L7" s="65"/>
      <c r="M7" s="65"/>
      <c r="N7" s="65"/>
      <c r="R7" s="46" t="s">
        <v>59</v>
      </c>
      <c r="S7" s="37">
        <v>1</v>
      </c>
      <c r="T7" s="38">
        <f>PROFESIONALES!E10</f>
        <v>0.2</v>
      </c>
      <c r="U7" s="37">
        <f>PROFESIONALES!H10</f>
        <v>3</v>
      </c>
      <c r="V7">
        <f t="shared" ref="V7:V18" si="1">U7*T7*S7</f>
        <v>0.60000000000000009</v>
      </c>
      <c r="X7" s="106">
        <v>0.2</v>
      </c>
      <c r="Z7" s="106">
        <v>0.05</v>
      </c>
      <c r="AC7" s="106">
        <v>0.05</v>
      </c>
      <c r="AE7" s="106">
        <v>0.6</v>
      </c>
      <c r="AG7" s="106">
        <v>0.05</v>
      </c>
      <c r="AH7" s="106">
        <v>0</v>
      </c>
      <c r="AJ7" s="106">
        <v>0.05</v>
      </c>
      <c r="AM7" s="116">
        <f>SUM(W7:AL7)</f>
        <v>1</v>
      </c>
      <c r="AO7" s="58" t="str">
        <f>Productos!A10</f>
        <v>A003</v>
      </c>
      <c r="AP7" s="58" t="str">
        <f>Productos!B10</f>
        <v>Estudio y diseño de la Evaluación ambiental (Plan de Manejo Ambiental y Plan sanitario).</v>
      </c>
    </row>
    <row r="8" spans="1:64" ht="16.5" customHeight="1" x14ac:dyDescent="0.25">
      <c r="A8" s="247" t="s">
        <v>119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8"/>
      <c r="R8" s="46" t="s">
        <v>61</v>
      </c>
      <c r="S8" s="37">
        <v>1</v>
      </c>
      <c r="T8" s="38">
        <f>PROFESIONALES!E11</f>
        <v>0.2</v>
      </c>
      <c r="U8" s="37">
        <f>PROFESIONALES!H11</f>
        <v>3</v>
      </c>
      <c r="V8">
        <f t="shared" si="1"/>
        <v>0.60000000000000009</v>
      </c>
      <c r="W8" s="106">
        <v>0.05</v>
      </c>
      <c r="X8" s="130">
        <v>0.05</v>
      </c>
      <c r="Z8" s="106">
        <v>0</v>
      </c>
      <c r="AC8" s="106">
        <v>0.4</v>
      </c>
      <c r="AE8" s="106">
        <v>0.4</v>
      </c>
      <c r="AG8" s="106">
        <v>0</v>
      </c>
      <c r="AH8" s="106">
        <v>0.05</v>
      </c>
      <c r="AJ8" s="106">
        <v>0.05</v>
      </c>
      <c r="AM8" s="116">
        <f>SUM(W8:AK8)</f>
        <v>1</v>
      </c>
      <c r="AO8" s="58" t="str">
        <f>Productos!A11</f>
        <v>A004</v>
      </c>
      <c r="AP8" s="58" t="str">
        <f>Productos!B11</f>
        <v>Formulación, analisis de  alternativas y escogencia de la más viable</v>
      </c>
    </row>
    <row r="9" spans="1:64" ht="16.5" customHeight="1" x14ac:dyDescent="0.25">
      <c r="A9" s="240" t="s">
        <v>76</v>
      </c>
      <c r="B9" s="237"/>
      <c r="C9" s="237"/>
      <c r="D9" s="237"/>
      <c r="E9" s="237"/>
      <c r="F9" s="237"/>
      <c r="G9" s="238"/>
      <c r="H9" s="67" t="s">
        <v>46</v>
      </c>
      <c r="I9" s="248" t="s">
        <v>120</v>
      </c>
      <c r="J9" s="238"/>
      <c r="K9" s="248" t="s">
        <v>47</v>
      </c>
      <c r="L9" s="238"/>
      <c r="M9" s="248" t="s">
        <v>121</v>
      </c>
      <c r="N9" s="238"/>
      <c r="R9" s="46" t="s">
        <v>63</v>
      </c>
      <c r="S9" s="37">
        <v>1</v>
      </c>
      <c r="T9" s="38">
        <f>PROFESIONALES!E12</f>
        <v>0.2</v>
      </c>
      <c r="U9" s="37">
        <f>PROFESIONALES!H12</f>
        <v>3</v>
      </c>
      <c r="V9">
        <f t="shared" si="1"/>
        <v>0.60000000000000009</v>
      </c>
      <c r="X9" s="107">
        <v>0.15</v>
      </c>
      <c r="Y9" s="107">
        <v>0.25</v>
      </c>
      <c r="Z9" s="107">
        <v>0.2</v>
      </c>
      <c r="AA9" s="107">
        <v>0.05</v>
      </c>
      <c r="AB9" s="107">
        <v>0.05</v>
      </c>
      <c r="AD9" s="107">
        <v>0.2</v>
      </c>
      <c r="AG9" s="107">
        <v>0.05</v>
      </c>
      <c r="AJ9" s="107">
        <v>0.05</v>
      </c>
      <c r="AM9" s="116">
        <f>SUM(W9:AK9)</f>
        <v>1.0000000000000002</v>
      </c>
      <c r="AO9" s="58" t="str">
        <f>Productos!A12</f>
        <v>A005</v>
      </c>
      <c r="AP9" s="58" t="str">
        <f>Productos!B12</f>
        <v>Estudio de topografia</v>
      </c>
    </row>
    <row r="10" spans="1:64" ht="15" customHeight="1" x14ac:dyDescent="0.25">
      <c r="A10" s="249" t="str">
        <f>PROFESIONALES!$B$30</f>
        <v>Alquiler oficina</v>
      </c>
      <c r="B10" s="237"/>
      <c r="C10" s="237"/>
      <c r="D10" s="237"/>
      <c r="E10" s="237"/>
      <c r="F10" s="237"/>
      <c r="G10" s="238"/>
      <c r="H10" s="68" t="str">
        <f>PROFESIONALES!$D$30</f>
        <v>MES</v>
      </c>
      <c r="I10" s="239">
        <f>PROFESIONALES!$F$30</f>
        <v>500000</v>
      </c>
      <c r="J10" s="238"/>
      <c r="K10" s="250">
        <f>PROFESIONALES!H30/APUS!Z22</f>
        <v>0.17647058823529413</v>
      </c>
      <c r="L10" s="238"/>
      <c r="M10" s="239">
        <f>K10*I10</f>
        <v>88235.294117647063</v>
      </c>
      <c r="N10" s="238"/>
      <c r="R10" s="47" t="s">
        <v>245</v>
      </c>
      <c r="S10" s="48">
        <v>1</v>
      </c>
      <c r="T10" s="38">
        <f>PROFESIONALES!E13</f>
        <v>0.2</v>
      </c>
      <c r="U10" s="37">
        <f>PROFESIONALES!H13</f>
        <v>3</v>
      </c>
      <c r="V10">
        <f t="shared" si="1"/>
        <v>0.60000000000000009</v>
      </c>
      <c r="X10" s="107">
        <v>0.05</v>
      </c>
      <c r="Y10" s="107"/>
      <c r="Z10" s="107"/>
      <c r="AA10" s="107"/>
      <c r="AB10" s="107"/>
      <c r="AD10" s="107">
        <v>0.05</v>
      </c>
      <c r="AF10" s="107">
        <v>0.85</v>
      </c>
      <c r="AJ10" s="107"/>
      <c r="AL10" s="130">
        <v>0.05</v>
      </c>
      <c r="AM10" s="116">
        <f>SUM(W10:AL10)</f>
        <v>1</v>
      </c>
      <c r="AO10" s="58" t="str">
        <f>Productos!A13</f>
        <v>A006</v>
      </c>
      <c r="AP10" s="58" t="str">
        <f>Productos!B13</f>
        <v>Estudio hidrologico e hidrogeologico</v>
      </c>
    </row>
    <row r="11" spans="1:64" ht="14.25" customHeight="1" x14ac:dyDescent="0.25">
      <c r="A11" s="249"/>
      <c r="B11" s="237"/>
      <c r="C11" s="237"/>
      <c r="D11" s="237"/>
      <c r="E11" s="237"/>
      <c r="F11" s="237"/>
      <c r="G11" s="238"/>
      <c r="H11" s="68"/>
      <c r="I11" s="239"/>
      <c r="J11" s="238"/>
      <c r="K11" s="250"/>
      <c r="L11" s="238"/>
      <c r="M11" s="239">
        <f t="shared" ref="M11:M12" si="2">K11*I11</f>
        <v>0</v>
      </c>
      <c r="N11" s="238"/>
      <c r="R11" s="47" t="s">
        <v>93</v>
      </c>
      <c r="S11" s="48">
        <v>1</v>
      </c>
      <c r="T11" s="38">
        <f>PROFESIONALES!E14</f>
        <v>0.5</v>
      </c>
      <c r="U11" s="37">
        <f>PROFESIONALES!H14</f>
        <v>3</v>
      </c>
      <c r="V11">
        <f t="shared" si="1"/>
        <v>1.5</v>
      </c>
      <c r="W11" s="107">
        <v>0.1</v>
      </c>
      <c r="X11" s="107">
        <v>0.1</v>
      </c>
      <c r="Z11" s="107">
        <v>0.1</v>
      </c>
      <c r="AB11" s="107">
        <v>0.5</v>
      </c>
      <c r="AD11" s="107">
        <v>0.1</v>
      </c>
      <c r="AG11" s="107">
        <v>0.1</v>
      </c>
      <c r="AM11" s="116">
        <f>SUM(W11:AK11)</f>
        <v>1</v>
      </c>
      <c r="AO11" s="58" t="str">
        <f>Productos!A14</f>
        <v>A007</v>
      </c>
      <c r="AP11" s="58" t="str">
        <f>Productos!B14</f>
        <v>Estudio de suelos y diseño de cimentaciones</v>
      </c>
    </row>
    <row r="12" spans="1:64" ht="14.25" customHeight="1" x14ac:dyDescent="0.25">
      <c r="A12" s="249" t="str">
        <f>PROFESIONALES!$B$32</f>
        <v>Gastos de oficina (Impresión de informes y planos)</v>
      </c>
      <c r="B12" s="237"/>
      <c r="C12" s="237"/>
      <c r="D12" s="237"/>
      <c r="E12" s="237"/>
      <c r="F12" s="237"/>
      <c r="G12" s="238"/>
      <c r="H12" s="68" t="str">
        <f>PROFESIONALES!$D$32</f>
        <v>COPIA</v>
      </c>
      <c r="I12" s="239">
        <f>PROFESIONALES!$F$32</f>
        <v>1500000</v>
      </c>
      <c r="J12" s="238"/>
      <c r="K12" s="250">
        <f>PROFESIONALES!$H$32*PROFESIONALES!E32/Z22</f>
        <v>0.17647058823529413</v>
      </c>
      <c r="L12" s="238"/>
      <c r="M12" s="239">
        <f t="shared" si="2"/>
        <v>264705.8823529412</v>
      </c>
      <c r="N12" s="238"/>
      <c r="R12" s="55" t="s">
        <v>91</v>
      </c>
      <c r="S12" s="56">
        <v>1</v>
      </c>
      <c r="T12" s="38">
        <f>PROFESIONALES!E15</f>
        <v>1</v>
      </c>
      <c r="U12" s="37">
        <f>PROFESIONALES!H15</f>
        <v>3</v>
      </c>
      <c r="V12">
        <f t="shared" si="1"/>
        <v>3</v>
      </c>
      <c r="W12" s="109">
        <f>1/$Z$22</f>
        <v>5.8823529411764705E-2</v>
      </c>
      <c r="X12" s="109">
        <f t="shared" ref="X12:AL12" si="3">1/$Z$22</f>
        <v>5.8823529411764705E-2</v>
      </c>
      <c r="Y12" s="109">
        <f t="shared" si="3"/>
        <v>5.8823529411764705E-2</v>
      </c>
      <c r="Z12" s="109">
        <f t="shared" si="3"/>
        <v>5.8823529411764705E-2</v>
      </c>
      <c r="AA12" s="109">
        <f t="shared" si="3"/>
        <v>5.8823529411764705E-2</v>
      </c>
      <c r="AB12" s="109">
        <f t="shared" si="3"/>
        <v>5.8823529411764705E-2</v>
      </c>
      <c r="AC12" s="109">
        <f t="shared" si="3"/>
        <v>5.8823529411764705E-2</v>
      </c>
      <c r="AD12" s="109">
        <f t="shared" si="3"/>
        <v>5.8823529411764705E-2</v>
      </c>
      <c r="AE12" s="109">
        <f t="shared" si="3"/>
        <v>5.8823529411764705E-2</v>
      </c>
      <c r="AF12" s="109">
        <f t="shared" si="3"/>
        <v>5.8823529411764705E-2</v>
      </c>
      <c r="AG12" s="109">
        <f t="shared" si="3"/>
        <v>5.8823529411764705E-2</v>
      </c>
      <c r="AH12" s="109">
        <f t="shared" si="3"/>
        <v>5.8823529411764705E-2</v>
      </c>
      <c r="AI12" s="109">
        <f t="shared" si="3"/>
        <v>5.8823529411764705E-2</v>
      </c>
      <c r="AJ12" s="109">
        <f t="shared" si="3"/>
        <v>5.8823529411764705E-2</v>
      </c>
      <c r="AK12" s="109">
        <f t="shared" si="3"/>
        <v>5.8823529411764705E-2</v>
      </c>
      <c r="AL12" s="109">
        <f t="shared" si="3"/>
        <v>5.8823529411764705E-2</v>
      </c>
      <c r="AM12" s="115">
        <f>SUM(W12:AL12)</f>
        <v>0.94117647058823539</v>
      </c>
      <c r="AO12" s="58" t="str">
        <f>Productos!A15</f>
        <v>A008</v>
      </c>
      <c r="AP12" s="58" t="str">
        <f>Productos!B15</f>
        <v>Diseños hidraulicos, incluye memorias de calculo y manuelaes de operación y puesta en marcha</v>
      </c>
    </row>
    <row r="13" spans="1:64" ht="12" customHeight="1" x14ac:dyDescent="0.25">
      <c r="A13" s="249"/>
      <c r="B13" s="237"/>
      <c r="C13" s="237"/>
      <c r="D13" s="237"/>
      <c r="E13" s="237"/>
      <c r="F13" s="237"/>
      <c r="G13" s="238"/>
      <c r="H13" s="68" t="str">
        <f>IF(A13="","",VLOOKUP(A13,AA_Materiales,7,FALSE))</f>
        <v/>
      </c>
      <c r="I13" s="239" t="str">
        <f>IF(A13="","",VLOOKUP(A13,AA_Materiales,8,FALSE))</f>
        <v/>
      </c>
      <c r="J13" s="238"/>
      <c r="K13" s="250"/>
      <c r="L13" s="238"/>
      <c r="M13" s="239" t="str">
        <f>IF(A13="","",I13*K13)</f>
        <v/>
      </c>
      <c r="N13" s="254"/>
      <c r="R13" s="50" t="s">
        <v>66</v>
      </c>
      <c r="S13" s="51">
        <v>1</v>
      </c>
      <c r="T13" s="38">
        <f>PROFESIONALES!E16</f>
        <v>0.3</v>
      </c>
      <c r="U13" s="37">
        <f>PROFESIONALES!H16</f>
        <v>3</v>
      </c>
      <c r="V13">
        <f t="shared" si="1"/>
        <v>0.89999999999999991</v>
      </c>
      <c r="X13" s="107">
        <v>0.2</v>
      </c>
      <c r="Z13" s="107">
        <v>0.1</v>
      </c>
      <c r="AA13" s="107">
        <v>0.5</v>
      </c>
      <c r="AB13" s="107">
        <v>0.1</v>
      </c>
      <c r="AD13" s="107">
        <v>0.05</v>
      </c>
      <c r="AG13" s="107">
        <v>0.05</v>
      </c>
      <c r="AM13" s="116">
        <f>SUM(W13:AK13)</f>
        <v>1</v>
      </c>
      <c r="AO13" s="58" t="str">
        <f>Productos!A16</f>
        <v>A009</v>
      </c>
      <c r="AP13" s="58" t="str">
        <f>Productos!B16</f>
        <v>Diseños estructurales</v>
      </c>
    </row>
    <row r="14" spans="1:64" ht="12" customHeight="1" x14ac:dyDescent="0.25">
      <c r="A14" s="249"/>
      <c r="B14" s="237"/>
      <c r="C14" s="237"/>
      <c r="D14" s="237"/>
      <c r="E14" s="237"/>
      <c r="F14" s="237"/>
      <c r="G14" s="238"/>
      <c r="H14" s="68" t="str">
        <f>IF(A14="","",VLOOKUP(A14,AA_Materiales,7,FALSE))</f>
        <v/>
      </c>
      <c r="I14" s="239" t="str">
        <f>IF(A14="","",VLOOKUP(A14,AA_Materiales,8,FALSE))</f>
        <v/>
      </c>
      <c r="J14" s="238"/>
      <c r="K14" s="250"/>
      <c r="L14" s="238"/>
      <c r="M14" s="239" t="str">
        <f>IF(A14="","",I14*K14)</f>
        <v/>
      </c>
      <c r="N14" s="254"/>
      <c r="R14" s="50" t="s">
        <v>68</v>
      </c>
      <c r="S14" s="51">
        <v>1</v>
      </c>
      <c r="T14" s="38">
        <f>PROFESIONALES!E17</f>
        <v>0.3</v>
      </c>
      <c r="U14" s="37">
        <f>PROFESIONALES!H17</f>
        <v>3</v>
      </c>
      <c r="V14">
        <f t="shared" si="1"/>
        <v>0.89999999999999991</v>
      </c>
      <c r="W14" s="107">
        <v>0.2</v>
      </c>
      <c r="X14" s="130">
        <v>0.1</v>
      </c>
      <c r="Y14" s="130">
        <v>0.3</v>
      </c>
      <c r="Z14" s="107">
        <v>0.15</v>
      </c>
      <c r="AF14" s="107"/>
      <c r="AK14" s="107">
        <v>0.25</v>
      </c>
      <c r="AL14" s="107"/>
      <c r="AM14" s="116">
        <f>SUM(W14:AK14)</f>
        <v>1</v>
      </c>
      <c r="AO14" s="58" t="str">
        <f>Productos!A17</f>
        <v>A010</v>
      </c>
      <c r="AP14" s="58" t="str">
        <f>Productos!B17</f>
        <v>Diseños electricos</v>
      </c>
    </row>
    <row r="15" spans="1:64" ht="15" customHeight="1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240" t="s">
        <v>122</v>
      </c>
      <c r="L15" s="238"/>
      <c r="M15" s="239">
        <f>SUM(M10:N14)</f>
        <v>352941.17647058825</v>
      </c>
      <c r="N15" s="238"/>
      <c r="R15" s="50" t="str">
        <f>PROFESIONALES!B18</f>
        <v>Profesional Arquitecto</v>
      </c>
      <c r="S15" s="51">
        <v>1</v>
      </c>
      <c r="T15" s="38">
        <f>PROFESIONALES!E18</f>
        <v>0.45</v>
      </c>
      <c r="U15" s="37">
        <f>PROFESIONALES!H18</f>
        <v>3</v>
      </c>
      <c r="V15">
        <f t="shared" si="1"/>
        <v>1.35</v>
      </c>
      <c r="W15" s="130">
        <v>0.1</v>
      </c>
      <c r="X15" s="130">
        <v>0.6</v>
      </c>
      <c r="Y15" s="130">
        <v>0.05</v>
      </c>
      <c r="Z15" s="107">
        <v>0.05</v>
      </c>
      <c r="AA15" s="107">
        <v>0</v>
      </c>
      <c r="AD15" s="107">
        <v>0</v>
      </c>
      <c r="AF15" s="107"/>
      <c r="AG15" s="107">
        <v>0.1</v>
      </c>
      <c r="AK15" s="107">
        <v>0.1</v>
      </c>
      <c r="AL15" s="107"/>
      <c r="AM15" s="116">
        <f>SUM(W15:AK15)</f>
        <v>1</v>
      </c>
      <c r="AO15" s="58" t="str">
        <f>Productos!A18</f>
        <v>A011</v>
      </c>
      <c r="AP15" s="58" t="str">
        <f>Productos!B18</f>
        <v>Planos de diseño de las diferentes especialidades debidamente firmados (Arquitectónico y Urbanístico – topografía – cimentaciones – hidráulicos – estructurales – eléctricos -  Red contra incendios, datos y todos los que se requieran).</v>
      </c>
    </row>
    <row r="16" spans="1:64" ht="14.25" customHeight="1" x14ac:dyDescent="0.2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R16" s="133" t="s">
        <v>92</v>
      </c>
      <c r="S16" s="134"/>
      <c r="T16" s="135"/>
      <c r="U16" s="136"/>
      <c r="V16" s="137">
        <f t="shared" si="1"/>
        <v>0</v>
      </c>
      <c r="W16" s="137"/>
      <c r="X16" s="138">
        <v>0.1</v>
      </c>
      <c r="Y16" s="137"/>
      <c r="Z16" s="138">
        <v>0.1</v>
      </c>
      <c r="AA16" s="137"/>
      <c r="AB16" s="137"/>
      <c r="AC16" s="137"/>
      <c r="AD16" s="138">
        <v>0.1</v>
      </c>
      <c r="AE16" s="137"/>
      <c r="AF16" s="138"/>
      <c r="AG16" s="137"/>
      <c r="AH16" s="138">
        <v>0.2</v>
      </c>
      <c r="AI16" s="137"/>
      <c r="AJ16" s="137"/>
      <c r="AK16" s="138">
        <v>0.5</v>
      </c>
      <c r="AL16" s="138"/>
      <c r="AM16" s="139">
        <f>SUM(W16:AK16)</f>
        <v>1</v>
      </c>
      <c r="AN16" s="137"/>
      <c r="AO16" s="140" t="str">
        <f>Productos!A19</f>
        <v>A012</v>
      </c>
      <c r="AP16" s="140" t="str">
        <f>Productos!B19</f>
        <v>Presupuesto de obras requeridas, dotación, insumos y equipos necesarios para la puesta en funcionamiento del CENTRO DE BIENESTAR ANIMAL, incluye Memorias de cantidades de obra detalladas por componente, Análisis de precios unitarios, EDT, EDO</v>
      </c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137"/>
      <c r="BD16" s="137"/>
      <c r="BE16" s="137"/>
      <c r="BF16" s="137"/>
      <c r="BG16" s="137"/>
      <c r="BH16" s="137"/>
      <c r="BI16" s="137"/>
      <c r="BJ16" s="137"/>
      <c r="BK16" s="137"/>
      <c r="BL16" s="132"/>
    </row>
    <row r="17" spans="1:42" ht="17.25" customHeight="1" x14ac:dyDescent="0.25">
      <c r="A17" s="247" t="s">
        <v>123</v>
      </c>
      <c r="B17" s="237"/>
      <c r="C17" s="237"/>
      <c r="D17" s="237"/>
      <c r="E17" s="237"/>
      <c r="F17" s="237"/>
      <c r="G17" s="237"/>
      <c r="H17" s="237"/>
      <c r="I17" s="237"/>
      <c r="J17" s="237"/>
      <c r="K17" s="237"/>
      <c r="L17" s="237"/>
      <c r="M17" s="237"/>
      <c r="N17" s="238"/>
      <c r="R17" s="50" t="s">
        <v>94</v>
      </c>
      <c r="S17" s="51">
        <v>1</v>
      </c>
      <c r="T17" s="38">
        <f>PROFESIONALES!E19</f>
        <v>0.2</v>
      </c>
      <c r="U17" s="120">
        <f>PROFESIONALES!H19</f>
        <v>0.75</v>
      </c>
      <c r="V17">
        <f t="shared" si="1"/>
        <v>0.15000000000000002</v>
      </c>
      <c r="Z17" s="107">
        <v>0.2</v>
      </c>
      <c r="AH17" s="107">
        <v>0.7</v>
      </c>
      <c r="AI17" s="107">
        <v>0.05</v>
      </c>
      <c r="AJ17" s="107">
        <v>0.05</v>
      </c>
      <c r="AM17" s="116">
        <f>SUM(W17:AK17)</f>
        <v>1</v>
      </c>
      <c r="AO17" s="58" t="str">
        <f>Productos!A20</f>
        <v>A013</v>
      </c>
      <c r="AP17" s="58" t="str">
        <f>Productos!B20</f>
        <v>Cronograma de ejecución y flujo de fondos de inversión, en PROJECT. .</v>
      </c>
    </row>
    <row r="18" spans="1:42" ht="15" customHeight="1" x14ac:dyDescent="0.25">
      <c r="A18" s="240" t="s">
        <v>76</v>
      </c>
      <c r="B18" s="237"/>
      <c r="C18" s="237"/>
      <c r="D18" s="237"/>
      <c r="E18" s="237"/>
      <c r="F18" s="237"/>
      <c r="G18" s="238"/>
      <c r="H18" s="67" t="s">
        <v>46</v>
      </c>
      <c r="I18" s="248" t="s">
        <v>120</v>
      </c>
      <c r="J18" s="238"/>
      <c r="K18" s="248" t="s">
        <v>47</v>
      </c>
      <c r="L18" s="238"/>
      <c r="M18" s="248" t="s">
        <v>121</v>
      </c>
      <c r="N18" s="238"/>
      <c r="R18" s="50" t="s">
        <v>96</v>
      </c>
      <c r="S18" s="51">
        <v>1</v>
      </c>
      <c r="T18" s="38">
        <f>PROFESIONALES!E20</f>
        <v>0.4</v>
      </c>
      <c r="U18" s="120">
        <f>PROFESIONALES!H20</f>
        <v>0.75</v>
      </c>
      <c r="V18">
        <f t="shared" si="1"/>
        <v>0.30000000000000004</v>
      </c>
      <c r="X18" s="130">
        <v>0.2</v>
      </c>
      <c r="Z18" s="107">
        <v>0</v>
      </c>
      <c r="AA18" s="107">
        <v>0.05</v>
      </c>
      <c r="AC18" s="107">
        <v>0.05</v>
      </c>
      <c r="AD18" s="107">
        <v>0.1</v>
      </c>
      <c r="AE18" s="107">
        <v>0.05</v>
      </c>
      <c r="AF18" s="107">
        <v>0.05</v>
      </c>
      <c r="AG18" s="107">
        <v>0.4</v>
      </c>
      <c r="AL18" s="130">
        <v>0.1</v>
      </c>
      <c r="AM18" s="116">
        <f>SUM(W18:AL18)</f>
        <v>1</v>
      </c>
      <c r="AO18" s="58" t="str">
        <f>Productos!A21</f>
        <v>A014</v>
      </c>
      <c r="AP18" s="58" t="str">
        <f>Productos!B21</f>
        <v>Especificaciones y fichas técnicas de cada uno de los componentes  del proyecto</v>
      </c>
    </row>
    <row r="19" spans="1:42" ht="27" x14ac:dyDescent="0.25">
      <c r="A19" s="252" t="str">
        <f>PROFESIONALES!$B$31</f>
        <v>Servicios Públicos</v>
      </c>
      <c r="B19" s="237"/>
      <c r="C19" s="237"/>
      <c r="D19" s="237"/>
      <c r="E19" s="237"/>
      <c r="F19" s="237"/>
      <c r="G19" s="238"/>
      <c r="H19" s="68" t="str">
        <f>PROFESIONALES!$D$31</f>
        <v>MES</v>
      </c>
      <c r="I19" s="239">
        <f>PROFESIONALES!$F$31</f>
        <v>300000</v>
      </c>
      <c r="J19" s="238"/>
      <c r="K19" s="250">
        <f>PROFESIONALES!$H$9/Z22</f>
        <v>0.17647058823529413</v>
      </c>
      <c r="L19" s="251"/>
      <c r="M19" s="239">
        <f>K19*I19</f>
        <v>52941.176470588238</v>
      </c>
      <c r="N19" s="238"/>
      <c r="R19" s="50" t="s">
        <v>104</v>
      </c>
      <c r="S19" s="51">
        <v>2</v>
      </c>
      <c r="T19" s="49">
        <f>PROFESIONALES!E21</f>
        <v>1</v>
      </c>
      <c r="U19" s="144">
        <f>PROFESIONALES!H21</f>
        <v>0.75</v>
      </c>
      <c r="V19">
        <f>U19*T19*S19</f>
        <v>1.5</v>
      </c>
      <c r="AA19" s="107">
        <v>1</v>
      </c>
      <c r="AM19" s="116">
        <f>SUM(W19:AK19)</f>
        <v>1</v>
      </c>
      <c r="AO19" s="58" t="str">
        <f>Productos!A22</f>
        <v>A015</v>
      </c>
      <c r="AP19" s="58" t="str">
        <f>Productos!B22</f>
        <v>Formulación de proyecto para entrega ante mecanismos de financiación (Asesoria y acompañamiento en formulación de componente Para La Aprobacion)</v>
      </c>
    </row>
    <row r="20" spans="1:42" ht="17.25" customHeight="1" x14ac:dyDescent="0.25">
      <c r="A20" s="249"/>
      <c r="B20" s="237"/>
      <c r="C20" s="237"/>
      <c r="D20" s="237"/>
      <c r="E20" s="237"/>
      <c r="F20" s="237"/>
      <c r="G20" s="238"/>
      <c r="H20" s="68" t="str">
        <f>IF(A20="","",VLOOKUP(A20,AA_Equipos,7,FALSE))</f>
        <v/>
      </c>
      <c r="I20" s="239" t="str">
        <f>IF(A20="","",VLOOKUP(A20,AA_Materiales,8,FALSE))</f>
        <v/>
      </c>
      <c r="J20" s="238"/>
      <c r="K20" s="250"/>
      <c r="L20" s="238"/>
      <c r="M20" s="239" t="str">
        <f>IF(A20="","",I20*K20)</f>
        <v/>
      </c>
      <c r="N20" s="238"/>
      <c r="R20" s="142" t="str">
        <f>PROFESIONALES!B22</f>
        <v>Profesional RCI</v>
      </c>
      <c r="S20" s="51">
        <v>1</v>
      </c>
      <c r="T20" s="143">
        <f>PROFESIONALES!E22</f>
        <v>0.1</v>
      </c>
      <c r="U20" s="145">
        <f>PROFESIONALES!H22</f>
        <v>1</v>
      </c>
      <c r="V20">
        <f>U20*T20*S20</f>
        <v>0.1</v>
      </c>
      <c r="AL20" s="130">
        <v>1</v>
      </c>
      <c r="AM20" s="115">
        <f>SUM(W20:AL20)</f>
        <v>1</v>
      </c>
      <c r="AO20" s="58" t="str">
        <f>Productos!A23</f>
        <v>A016</v>
      </c>
      <c r="AP20" t="str">
        <f>Productos!B23</f>
        <v>Diseño de Red contra incendios y datos. Incluye memorias de cálculos y especificaciones técnicas.</v>
      </c>
    </row>
    <row r="21" spans="1:42" ht="18.75" customHeight="1" x14ac:dyDescent="0.25">
      <c r="A21" s="249"/>
      <c r="B21" s="237"/>
      <c r="C21" s="237"/>
      <c r="D21" s="237"/>
      <c r="E21" s="237"/>
      <c r="F21" s="237"/>
      <c r="G21" s="238"/>
      <c r="H21" s="68" t="str">
        <f>IF(A21="","",VLOOKUP(A21,AA_Equipos,7,FALSE))</f>
        <v/>
      </c>
      <c r="I21" s="239" t="str">
        <f>IF(A21="","",VLOOKUP(A21,AA_Materiales,8,FALSE))</f>
        <v/>
      </c>
      <c r="J21" s="238"/>
      <c r="K21" s="250"/>
      <c r="L21" s="238"/>
      <c r="M21" s="239" t="str">
        <f>IF(A21="","",I21*K21)</f>
        <v/>
      </c>
      <c r="N21" s="238"/>
      <c r="R21" s="142" t="e">
        <f>PROFESIONALES!#REF!</f>
        <v>#REF!</v>
      </c>
      <c r="S21" s="51">
        <v>1</v>
      </c>
      <c r="T21" s="143" t="e">
        <f>PROFESIONALES!#REF!</f>
        <v>#REF!</v>
      </c>
      <c r="U21" s="145" t="e">
        <f>PROFESIONALES!#REF!</f>
        <v>#REF!</v>
      </c>
      <c r="V21" t="e">
        <f>U21*T21*S21</f>
        <v>#REF!</v>
      </c>
      <c r="AL21" s="130"/>
      <c r="AM21" s="115"/>
    </row>
    <row r="22" spans="1:42" x14ac:dyDescent="0.25">
      <c r="A22" s="249"/>
      <c r="B22" s="237"/>
      <c r="C22" s="237"/>
      <c r="D22" s="237"/>
      <c r="E22" s="237"/>
      <c r="F22" s="237"/>
      <c r="G22" s="238"/>
      <c r="H22" s="68" t="str">
        <f>IF(A22="","",VLOOKUP(A22,AA_Equipos,7,FALSE))</f>
        <v/>
      </c>
      <c r="I22" s="239" t="str">
        <f>IF(A22="","",VLOOKUP(A22,AA_Materiales,8,FALSE))</f>
        <v/>
      </c>
      <c r="J22" s="238"/>
      <c r="K22" s="250"/>
      <c r="L22" s="238"/>
      <c r="M22" s="239" t="str">
        <f>IF(A22="","",I22*K22)</f>
        <v/>
      </c>
      <c r="N22" s="238"/>
      <c r="Y22" t="s">
        <v>243</v>
      </c>
      <c r="Z22">
        <v>17</v>
      </c>
    </row>
    <row r="23" spans="1:42" x14ac:dyDescent="0.25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240" t="s">
        <v>122</v>
      </c>
      <c r="L23" s="238"/>
      <c r="M23" s="239">
        <f>SUM(M19:N22)</f>
        <v>52941.176470588238</v>
      </c>
      <c r="N23" s="238"/>
    </row>
    <row r="24" spans="1:42" x14ac:dyDescent="0.25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</row>
    <row r="25" spans="1:42" x14ac:dyDescent="0.25">
      <c r="A25" s="247" t="s">
        <v>124</v>
      </c>
      <c r="B25" s="237"/>
      <c r="C25" s="237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8"/>
    </row>
    <row r="26" spans="1:42" x14ac:dyDescent="0.25">
      <c r="A26" s="240" t="s">
        <v>76</v>
      </c>
      <c r="B26" s="237"/>
      <c r="C26" s="237"/>
      <c r="D26" s="237"/>
      <c r="E26" s="237"/>
      <c r="F26" s="237"/>
      <c r="G26" s="238"/>
      <c r="H26" s="67" t="s">
        <v>46</v>
      </c>
      <c r="I26" s="248" t="s">
        <v>120</v>
      </c>
      <c r="J26" s="238"/>
      <c r="K26" s="248" t="s">
        <v>47</v>
      </c>
      <c r="L26" s="238"/>
      <c r="M26" s="248" t="s">
        <v>121</v>
      </c>
      <c r="N26" s="238"/>
    </row>
    <row r="27" spans="1:42" x14ac:dyDescent="0.25">
      <c r="A27" s="249" t="str">
        <f>PROFESIONALES!$B$33</f>
        <v>Vehículo camionetas pick up  doble cabina</v>
      </c>
      <c r="B27" s="237"/>
      <c r="C27" s="237"/>
      <c r="D27" s="237"/>
      <c r="E27" s="237"/>
      <c r="F27" s="237"/>
      <c r="G27" s="238"/>
      <c r="H27" s="68" t="str">
        <f>PROFESIONALES!$D$33</f>
        <v>MES</v>
      </c>
      <c r="I27" s="239">
        <f>PROFESIONALES!$F$33</f>
        <v>5800000</v>
      </c>
      <c r="J27" s="238"/>
      <c r="K27" s="250">
        <f>PROFESIONALES!$H$33/4</f>
        <v>0.25</v>
      </c>
      <c r="L27" s="251"/>
      <c r="M27" s="239">
        <f>K27*I27</f>
        <v>1450000</v>
      </c>
      <c r="N27" s="238"/>
    </row>
    <row r="28" spans="1:42" x14ac:dyDescent="0.25">
      <c r="A28" s="252" t="str">
        <f>PROFESIONALES!$B$38</f>
        <v>Visitas de inspección</v>
      </c>
      <c r="B28" s="237"/>
      <c r="C28" s="237"/>
      <c r="D28" s="237"/>
      <c r="E28" s="237"/>
      <c r="F28" s="237"/>
      <c r="G28" s="238"/>
      <c r="H28" s="68" t="str">
        <f>PROFESIONALES!$D$38</f>
        <v>UNIDAD</v>
      </c>
      <c r="I28" s="239">
        <f>PROFESIONALES!$F$38</f>
        <v>1500000</v>
      </c>
      <c r="J28" s="238"/>
      <c r="K28" s="250">
        <f>PROFESIONALES!$E$38/3</f>
        <v>1</v>
      </c>
      <c r="L28" s="251"/>
      <c r="M28" s="239">
        <f>K28*I28</f>
        <v>1500000</v>
      </c>
      <c r="N28" s="238"/>
    </row>
    <row r="29" spans="1:42" x14ac:dyDescent="0.25">
      <c r="A29" s="249"/>
      <c r="B29" s="237"/>
      <c r="C29" s="237"/>
      <c r="D29" s="237"/>
      <c r="E29" s="237"/>
      <c r="F29" s="237"/>
      <c r="G29" s="238"/>
      <c r="H29" s="68"/>
      <c r="I29" s="239"/>
      <c r="J29" s="238"/>
      <c r="K29" s="250"/>
      <c r="L29" s="238"/>
      <c r="M29" s="239" t="str">
        <f>IF(A29="","",I29*K29)</f>
        <v/>
      </c>
      <c r="N29" s="238"/>
    </row>
    <row r="30" spans="1:42" x14ac:dyDescent="0.25">
      <c r="A30" s="249"/>
      <c r="B30" s="237"/>
      <c r="C30" s="237"/>
      <c r="D30" s="237"/>
      <c r="E30" s="237"/>
      <c r="F30" s="237"/>
      <c r="G30" s="238"/>
      <c r="H30" s="68"/>
      <c r="I30" s="239"/>
      <c r="J30" s="238"/>
      <c r="K30" s="250"/>
      <c r="L30" s="238"/>
      <c r="M30" s="239" t="str">
        <f>IF(A30="","",I30*K30)</f>
        <v/>
      </c>
      <c r="N30" s="238"/>
    </row>
    <row r="31" spans="1:42" x14ac:dyDescent="0.25">
      <c r="A31" s="249"/>
      <c r="B31" s="237"/>
      <c r="C31" s="237"/>
      <c r="D31" s="237"/>
      <c r="E31" s="237"/>
      <c r="F31" s="237"/>
      <c r="G31" s="238"/>
      <c r="H31" s="68"/>
      <c r="I31" s="239"/>
      <c r="J31" s="238"/>
      <c r="K31" s="250"/>
      <c r="L31" s="238"/>
      <c r="M31" s="239" t="str">
        <f>IF(A31="","",I31*K31)</f>
        <v/>
      </c>
      <c r="N31" s="238"/>
    </row>
    <row r="32" spans="1:42" x14ac:dyDescent="0.25">
      <c r="A32" s="69"/>
      <c r="B32" s="69"/>
      <c r="C32" s="69"/>
      <c r="D32" s="69"/>
      <c r="E32" s="69"/>
      <c r="F32" s="69"/>
      <c r="G32" s="69"/>
      <c r="H32" s="69"/>
      <c r="I32" s="69"/>
      <c r="J32" s="69"/>
      <c r="K32" s="240" t="s">
        <v>122</v>
      </c>
      <c r="L32" s="238"/>
      <c r="M32" s="239">
        <f>SUM(M27:N31)</f>
        <v>2950000</v>
      </c>
      <c r="N32" s="238"/>
    </row>
    <row r="33" spans="1:15" x14ac:dyDescent="0.25">
      <c r="A33" s="69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</row>
    <row r="34" spans="1:15" x14ac:dyDescent="0.25">
      <c r="A34" s="247" t="s">
        <v>125</v>
      </c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8"/>
    </row>
    <row r="35" spans="1:15" x14ac:dyDescent="0.25">
      <c r="A35" s="240" t="s">
        <v>76</v>
      </c>
      <c r="B35" s="237"/>
      <c r="C35" s="237"/>
      <c r="D35" s="237"/>
      <c r="E35" s="237"/>
      <c r="F35" s="237"/>
      <c r="G35" s="238"/>
      <c r="H35" s="67" t="s">
        <v>46</v>
      </c>
      <c r="I35" s="248" t="s">
        <v>120</v>
      </c>
      <c r="J35" s="238"/>
      <c r="K35" s="70" t="s">
        <v>126</v>
      </c>
      <c r="L35" s="71" t="s">
        <v>128</v>
      </c>
      <c r="M35" s="248" t="s">
        <v>121</v>
      </c>
      <c r="N35" s="238"/>
    </row>
    <row r="36" spans="1:15" x14ac:dyDescent="0.25">
      <c r="A36" s="236" t="str">
        <f>PROFESIONALES!$B$9</f>
        <v>Director de consultoria</v>
      </c>
      <c r="B36" s="237"/>
      <c r="C36" s="237"/>
      <c r="D36" s="237"/>
      <c r="E36" s="237"/>
      <c r="F36" s="237"/>
      <c r="G36" s="238"/>
      <c r="H36" s="68" t="s">
        <v>80</v>
      </c>
      <c r="I36" s="239">
        <f>PROFESIONALES!$F$9</f>
        <v>7691776</v>
      </c>
      <c r="J36" s="238"/>
      <c r="K36" s="45">
        <f>PROFESIONALES!I$24</f>
        <v>2</v>
      </c>
      <c r="L36" s="72">
        <f>V6*W6*30</f>
        <v>1.0588235294117649</v>
      </c>
      <c r="M36" s="239">
        <f t="shared" ref="M36:M41" si="4">I36*K36*L36/30</f>
        <v>542948.8941176472</v>
      </c>
      <c r="N36" s="238"/>
    </row>
    <row r="37" spans="1:15" x14ac:dyDescent="0.25">
      <c r="A37" s="236" t="str">
        <f>PROFESIONALES!$B$17</f>
        <v>Profesional Ambiental</v>
      </c>
      <c r="B37" s="237"/>
      <c r="C37" s="237"/>
      <c r="D37" s="237"/>
      <c r="E37" s="237"/>
      <c r="F37" s="237"/>
      <c r="G37" s="238"/>
      <c r="H37" s="68" t="s">
        <v>80</v>
      </c>
      <c r="I37" s="239">
        <f>PROFESIONALES!$F$17</f>
        <v>5582300</v>
      </c>
      <c r="J37" s="238"/>
      <c r="K37" s="45">
        <f>PROFESIONALES!I$24</f>
        <v>2</v>
      </c>
      <c r="L37" s="45">
        <f>V14*W14*30</f>
        <v>5.3999999999999995</v>
      </c>
      <c r="M37" s="239">
        <f t="shared" si="4"/>
        <v>2009627.9999999998</v>
      </c>
      <c r="N37" s="238"/>
    </row>
    <row r="38" spans="1:15" x14ac:dyDescent="0.25">
      <c r="A38" s="236" t="str">
        <f>PROFESIONALES!$B$15</f>
        <v>Profesional de apoyo</v>
      </c>
      <c r="B38" s="237"/>
      <c r="C38" s="237"/>
      <c r="D38" s="237"/>
      <c r="E38" s="237"/>
      <c r="F38" s="237"/>
      <c r="G38" s="238"/>
      <c r="H38" s="68" t="s">
        <v>80</v>
      </c>
      <c r="I38" s="239">
        <f>PROFESIONALES!$F$15</f>
        <v>5582300</v>
      </c>
      <c r="J38" s="238"/>
      <c r="K38" s="45">
        <f>PROFESIONALES!I$24</f>
        <v>2</v>
      </c>
      <c r="L38" s="45">
        <f>W12*30*V12</f>
        <v>5.2941176470588234</v>
      </c>
      <c r="M38" s="239">
        <f t="shared" si="4"/>
        <v>1970223.5294117646</v>
      </c>
      <c r="N38" s="238"/>
    </row>
    <row r="39" spans="1:15" x14ac:dyDescent="0.25">
      <c r="A39" s="236" t="str">
        <f>PROFESIONALES!$B$11</f>
        <v>Especialista en Geotecnia</v>
      </c>
      <c r="B39" s="237"/>
      <c r="C39" s="237"/>
      <c r="D39" s="237"/>
      <c r="E39" s="237"/>
      <c r="F39" s="237"/>
      <c r="G39" s="238"/>
      <c r="H39" s="68" t="s">
        <v>80</v>
      </c>
      <c r="I39" s="239">
        <f>PROFESIONALES!$F$11</f>
        <v>6573098</v>
      </c>
      <c r="J39" s="238"/>
      <c r="K39" s="45">
        <f>PROFESIONALES!I$24</f>
        <v>2</v>
      </c>
      <c r="L39" s="45">
        <f>V8*W8*30</f>
        <v>0.90000000000000013</v>
      </c>
      <c r="M39" s="239">
        <f t="shared" si="4"/>
        <v>394385.88000000006</v>
      </c>
      <c r="N39" s="238"/>
      <c r="O39" s="154"/>
    </row>
    <row r="40" spans="1:15" x14ac:dyDescent="0.25">
      <c r="A40" s="236" t="str">
        <f>PROFESIONALES!B18</f>
        <v>Profesional Arquitecto</v>
      </c>
      <c r="B40" s="260"/>
      <c r="C40" s="260"/>
      <c r="D40" s="260"/>
      <c r="E40" s="260"/>
      <c r="F40" s="260"/>
      <c r="G40" s="261"/>
      <c r="H40" s="68" t="s">
        <v>80</v>
      </c>
      <c r="I40" s="239">
        <f>PROFESIONALES!F18</f>
        <v>5582300</v>
      </c>
      <c r="J40" s="254"/>
      <c r="K40" s="45">
        <f>PROFESIONALES!I$24</f>
        <v>2</v>
      </c>
      <c r="L40" s="45">
        <f>V15*W15*30</f>
        <v>4.0500000000000007</v>
      </c>
      <c r="M40" s="239">
        <f t="shared" si="4"/>
        <v>1507221.0000000002</v>
      </c>
      <c r="N40" s="238"/>
    </row>
    <row r="41" spans="1:15" x14ac:dyDescent="0.25">
      <c r="A41" s="236" t="str">
        <f>PROFESIONALES!B14</f>
        <v xml:space="preserve">Especialista Veterinario </v>
      </c>
      <c r="B41" s="237"/>
      <c r="C41" s="237"/>
      <c r="D41" s="237"/>
      <c r="E41" s="237"/>
      <c r="F41" s="237"/>
      <c r="G41" s="238"/>
      <c r="H41" s="68" t="s">
        <v>80</v>
      </c>
      <c r="I41" s="239">
        <f>PROFESIONALES!F14</f>
        <v>6356217</v>
      </c>
      <c r="J41" s="238"/>
      <c r="K41" s="45">
        <f>PROFESIONALES!I$24</f>
        <v>2</v>
      </c>
      <c r="L41" s="45">
        <v>0.20002148309582116</v>
      </c>
      <c r="M41" s="239">
        <f t="shared" si="4"/>
        <v>84758.663414591414</v>
      </c>
      <c r="N41" s="238"/>
    </row>
    <row r="42" spans="1:15" x14ac:dyDescent="0.25">
      <c r="A42" s="69"/>
      <c r="B42" s="69"/>
      <c r="C42" s="69"/>
      <c r="D42" s="69"/>
      <c r="E42" s="69"/>
      <c r="F42" s="69"/>
      <c r="G42" s="69"/>
      <c r="H42" s="69"/>
      <c r="I42" s="69"/>
      <c r="J42" s="69"/>
      <c r="K42" s="240" t="s">
        <v>122</v>
      </c>
      <c r="L42" s="238"/>
      <c r="M42" s="239">
        <f>SUM(M36:N41)</f>
        <v>6509165.9669440025</v>
      </c>
      <c r="N42" s="238"/>
    </row>
    <row r="43" spans="1:15" x14ac:dyDescent="0.25">
      <c r="A43" s="69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</row>
    <row r="44" spans="1:15" x14ac:dyDescent="0.25">
      <c r="A44" s="241" t="str">
        <f>Productos!B9</f>
        <v>Diseño Arquitectonico y Urbanistico.</v>
      </c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242"/>
      <c r="N44" s="243"/>
    </row>
    <row r="45" spans="1:15" x14ac:dyDescent="0.25">
      <c r="A45" s="244"/>
      <c r="B45" s="245"/>
      <c r="C45" s="245"/>
      <c r="D45" s="245"/>
      <c r="E45" s="245"/>
      <c r="F45" s="245"/>
      <c r="G45" s="245"/>
      <c r="H45" s="245"/>
      <c r="I45" s="245"/>
      <c r="J45" s="245"/>
      <c r="K45" s="245"/>
      <c r="L45" s="245"/>
      <c r="M45" s="245"/>
      <c r="N45" s="246"/>
    </row>
    <row r="46" spans="1:15" x14ac:dyDescent="0.25">
      <c r="A46" s="39">
        <v>1</v>
      </c>
      <c r="B46" s="39">
        <v>2</v>
      </c>
      <c r="C46" s="39">
        <v>3</v>
      </c>
      <c r="D46" s="39">
        <v>4</v>
      </c>
      <c r="E46" s="39">
        <v>5</v>
      </c>
      <c r="F46" s="39">
        <v>6</v>
      </c>
      <c r="G46" s="39">
        <v>7</v>
      </c>
      <c r="H46" s="39">
        <v>8</v>
      </c>
      <c r="I46" s="39">
        <v>9</v>
      </c>
      <c r="J46" s="39">
        <v>10</v>
      </c>
      <c r="K46" s="39">
        <v>11</v>
      </c>
      <c r="L46" s="39">
        <v>12</v>
      </c>
      <c r="M46" s="39">
        <v>13</v>
      </c>
      <c r="N46" s="39">
        <v>14</v>
      </c>
    </row>
    <row r="47" spans="1:15" ht="15.75" x14ac:dyDescent="0.3">
      <c r="A47" s="84" t="s">
        <v>131</v>
      </c>
      <c r="B47" s="59" t="str">
        <f>A44</f>
        <v>Diseño Arquitectonico y Urbanistico.</v>
      </c>
      <c r="C47" s="85" t="s">
        <v>113</v>
      </c>
      <c r="D47" s="60" t="s">
        <v>127</v>
      </c>
      <c r="E47" s="86" t="s">
        <v>114</v>
      </c>
      <c r="F47" s="61">
        <f>H47+J47+L47+N47</f>
        <v>20960496.136470586</v>
      </c>
      <c r="G47" s="86" t="s">
        <v>115</v>
      </c>
      <c r="H47" s="62">
        <f>M65</f>
        <v>52941.176470588238</v>
      </c>
      <c r="I47" s="86" t="s">
        <v>116</v>
      </c>
      <c r="J47" s="63">
        <f>M56</f>
        <v>352941.17647058825</v>
      </c>
      <c r="K47" s="86" t="s">
        <v>117</v>
      </c>
      <c r="L47" s="62">
        <f>M74</f>
        <v>2575000</v>
      </c>
      <c r="M47" s="86" t="s">
        <v>118</v>
      </c>
      <c r="N47" s="64">
        <f>M89</f>
        <v>17979613.783529408</v>
      </c>
    </row>
    <row r="48" spans="1:15" x14ac:dyDescent="0.25">
      <c r="A48" s="65"/>
      <c r="B48" s="65"/>
      <c r="C48" s="65"/>
      <c r="D48" s="65"/>
      <c r="E48" s="65"/>
      <c r="F48" s="65"/>
      <c r="G48" s="65"/>
      <c r="H48" s="66"/>
      <c r="I48" s="66"/>
      <c r="J48" s="65"/>
      <c r="K48" s="65"/>
      <c r="L48" s="65"/>
      <c r="M48" s="65"/>
      <c r="N48" s="65"/>
    </row>
    <row r="49" spans="1:14" x14ac:dyDescent="0.25">
      <c r="A49" s="247" t="s">
        <v>119</v>
      </c>
      <c r="B49" s="237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8"/>
    </row>
    <row r="50" spans="1:14" x14ac:dyDescent="0.25">
      <c r="A50" s="240" t="s">
        <v>76</v>
      </c>
      <c r="B50" s="237"/>
      <c r="C50" s="237"/>
      <c r="D50" s="237"/>
      <c r="E50" s="237"/>
      <c r="F50" s="237"/>
      <c r="G50" s="238"/>
      <c r="H50" s="67" t="s">
        <v>46</v>
      </c>
      <c r="I50" s="248" t="s">
        <v>120</v>
      </c>
      <c r="J50" s="238"/>
      <c r="K50" s="248" t="s">
        <v>47</v>
      </c>
      <c r="L50" s="238"/>
      <c r="M50" s="248" t="s">
        <v>121</v>
      </c>
      <c r="N50" s="238"/>
    </row>
    <row r="51" spans="1:14" x14ac:dyDescent="0.25">
      <c r="A51" s="249" t="str">
        <f>PROFESIONALES!$B$30</f>
        <v>Alquiler oficina</v>
      </c>
      <c r="B51" s="237"/>
      <c r="C51" s="237"/>
      <c r="D51" s="237"/>
      <c r="E51" s="237"/>
      <c r="F51" s="237"/>
      <c r="G51" s="238"/>
      <c r="H51" s="68" t="str">
        <f>PROFESIONALES!$D$30</f>
        <v>MES</v>
      </c>
      <c r="I51" s="239">
        <f>PROFESIONALES!$F$30</f>
        <v>500000</v>
      </c>
      <c r="J51" s="238"/>
      <c r="K51" s="250">
        <f>PROFESIONALES!H30/APUS!Z22</f>
        <v>0.17647058823529413</v>
      </c>
      <c r="L51" s="238"/>
      <c r="M51" s="239">
        <f>K51*I51</f>
        <v>88235.294117647063</v>
      </c>
      <c r="N51" s="238"/>
    </row>
    <row r="52" spans="1:14" x14ac:dyDescent="0.25">
      <c r="A52" s="249"/>
      <c r="B52" s="237"/>
      <c r="C52" s="237"/>
      <c r="D52" s="237"/>
      <c r="E52" s="237"/>
      <c r="F52" s="237"/>
      <c r="G52" s="238"/>
      <c r="H52" s="68"/>
      <c r="I52" s="239"/>
      <c r="J52" s="238"/>
      <c r="K52" s="250"/>
      <c r="L52" s="238"/>
      <c r="M52" s="239">
        <f t="shared" ref="M52:M54" si="5">K52*I52</f>
        <v>0</v>
      </c>
      <c r="N52" s="238"/>
    </row>
    <row r="53" spans="1:14" x14ac:dyDescent="0.25">
      <c r="A53" s="249" t="str">
        <f>PROFESIONALES!$B$32</f>
        <v>Gastos de oficina (Impresión de informes y planos)</v>
      </c>
      <c r="B53" s="237"/>
      <c r="C53" s="237"/>
      <c r="D53" s="237"/>
      <c r="E53" s="237"/>
      <c r="F53" s="237"/>
      <c r="G53" s="238"/>
      <c r="H53" s="68" t="str">
        <f>PROFESIONALES!$D$32</f>
        <v>COPIA</v>
      </c>
      <c r="I53" s="239">
        <f>PROFESIONALES!$F$32</f>
        <v>1500000</v>
      </c>
      <c r="J53" s="238"/>
      <c r="K53" s="250">
        <f>PROFESIONALES!$H$32*PROFESIONALES!E32/Z22</f>
        <v>0.17647058823529413</v>
      </c>
      <c r="L53" s="238"/>
      <c r="M53" s="239">
        <f t="shared" si="5"/>
        <v>264705.8823529412</v>
      </c>
      <c r="N53" s="238"/>
    </row>
    <row r="54" spans="1:14" x14ac:dyDescent="0.25">
      <c r="A54" s="249"/>
      <c r="B54" s="237"/>
      <c r="C54" s="237"/>
      <c r="D54" s="237"/>
      <c r="E54" s="237"/>
      <c r="F54" s="237"/>
      <c r="G54" s="238"/>
      <c r="H54" s="68"/>
      <c r="I54" s="239"/>
      <c r="J54" s="238"/>
      <c r="K54" s="250"/>
      <c r="L54" s="238"/>
      <c r="M54" s="239">
        <f t="shared" si="5"/>
        <v>0</v>
      </c>
      <c r="N54" s="238"/>
    </row>
    <row r="55" spans="1:14" x14ac:dyDescent="0.25">
      <c r="A55" s="249"/>
      <c r="B55" s="237"/>
      <c r="C55" s="237"/>
      <c r="D55" s="237"/>
      <c r="E55" s="237"/>
      <c r="F55" s="237"/>
      <c r="G55" s="238"/>
      <c r="H55" s="68" t="str">
        <f>IF(A55="","",VLOOKUP(A55,AA_Materiales,7,FALSE))</f>
        <v/>
      </c>
      <c r="I55" s="239" t="str">
        <f>IF(A55="","",VLOOKUP(A55,AA_Materiales,8,FALSE))</f>
        <v/>
      </c>
      <c r="J55" s="238"/>
      <c r="K55" s="250"/>
      <c r="L55" s="238"/>
      <c r="M55" s="239" t="str">
        <f>IF(A55="","",I55*K55)</f>
        <v/>
      </c>
      <c r="N55" s="238"/>
    </row>
    <row r="56" spans="1:14" x14ac:dyDescent="0.25">
      <c r="A56" s="69"/>
      <c r="B56" s="69"/>
      <c r="C56" s="69"/>
      <c r="D56" s="69"/>
      <c r="E56" s="69"/>
      <c r="F56" s="69"/>
      <c r="G56" s="69"/>
      <c r="H56" s="69"/>
      <c r="I56" s="69"/>
      <c r="J56" s="69"/>
      <c r="K56" s="240" t="s">
        <v>122</v>
      </c>
      <c r="L56" s="238"/>
      <c r="M56" s="239">
        <f>SUM(M51:N55)</f>
        <v>352941.17647058825</v>
      </c>
      <c r="N56" s="238"/>
    </row>
    <row r="57" spans="1:14" x14ac:dyDescent="0.25">
      <c r="A57" s="69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</row>
    <row r="58" spans="1:14" x14ac:dyDescent="0.25">
      <c r="A58" s="247" t="s">
        <v>123</v>
      </c>
      <c r="B58" s="237"/>
      <c r="C58" s="237"/>
      <c r="D58" s="237"/>
      <c r="E58" s="237"/>
      <c r="F58" s="237"/>
      <c r="G58" s="237"/>
      <c r="H58" s="237"/>
      <c r="I58" s="237"/>
      <c r="J58" s="237"/>
      <c r="K58" s="237"/>
      <c r="L58" s="237"/>
      <c r="M58" s="237"/>
      <c r="N58" s="238"/>
    </row>
    <row r="59" spans="1:14" x14ac:dyDescent="0.25">
      <c r="A59" s="240" t="s">
        <v>76</v>
      </c>
      <c r="B59" s="237"/>
      <c r="C59" s="237"/>
      <c r="D59" s="237"/>
      <c r="E59" s="237"/>
      <c r="F59" s="237"/>
      <c r="G59" s="238"/>
      <c r="H59" s="67" t="s">
        <v>46</v>
      </c>
      <c r="I59" s="248" t="s">
        <v>120</v>
      </c>
      <c r="J59" s="238"/>
      <c r="K59" s="248" t="s">
        <v>47</v>
      </c>
      <c r="L59" s="238"/>
      <c r="M59" s="248" t="s">
        <v>121</v>
      </c>
      <c r="N59" s="238"/>
    </row>
    <row r="60" spans="1:14" x14ac:dyDescent="0.25">
      <c r="A60" s="252" t="str">
        <f>PROFESIONALES!$B$31</f>
        <v>Servicios Públicos</v>
      </c>
      <c r="B60" s="237"/>
      <c r="C60" s="237"/>
      <c r="D60" s="237"/>
      <c r="E60" s="237"/>
      <c r="F60" s="237"/>
      <c r="G60" s="238"/>
      <c r="H60" s="68" t="str">
        <f>PROFESIONALES!$D$31</f>
        <v>MES</v>
      </c>
      <c r="I60" s="239">
        <f>PROFESIONALES!$F$31</f>
        <v>300000</v>
      </c>
      <c r="J60" s="238"/>
      <c r="K60" s="250">
        <f>PROFESIONALES!$H$9/Z22</f>
        <v>0.17647058823529413</v>
      </c>
      <c r="L60" s="251"/>
      <c r="M60" s="239">
        <f>K60*I60</f>
        <v>52941.176470588238</v>
      </c>
      <c r="N60" s="238"/>
    </row>
    <row r="61" spans="1:14" x14ac:dyDescent="0.25">
      <c r="A61" s="252"/>
      <c r="B61" s="237"/>
      <c r="C61" s="237"/>
      <c r="D61" s="237"/>
      <c r="E61" s="237"/>
      <c r="F61" s="237"/>
      <c r="G61" s="238"/>
      <c r="H61" s="68" t="str">
        <f>IF(A61="","",VLOOKUP(A61,AA_Equipos,7,FALSE))</f>
        <v/>
      </c>
      <c r="I61" s="239" t="str">
        <f>IF(A61="","",VLOOKUP(A61,AA_Materiales,8,FALSE))</f>
        <v/>
      </c>
      <c r="J61" s="238"/>
      <c r="K61" s="253"/>
      <c r="L61" s="238"/>
      <c r="M61" s="239" t="str">
        <f>IF(A61="","",I61*K61)</f>
        <v/>
      </c>
      <c r="N61" s="254"/>
    </row>
    <row r="62" spans="1:14" x14ac:dyDescent="0.25">
      <c r="A62" s="249"/>
      <c r="B62" s="237"/>
      <c r="C62" s="237"/>
      <c r="D62" s="237"/>
      <c r="E62" s="237"/>
      <c r="F62" s="237"/>
      <c r="G62" s="238"/>
      <c r="H62" s="68" t="str">
        <f>IF(A62="","",VLOOKUP(A62,AA_Equipos,7,FALSE))</f>
        <v/>
      </c>
      <c r="I62" s="239" t="str">
        <f>IF(A62="","",VLOOKUP(A62,AA_Materiales,8,FALSE))</f>
        <v/>
      </c>
      <c r="J62" s="238"/>
      <c r="K62" s="250"/>
      <c r="L62" s="238"/>
      <c r="M62" s="239" t="str">
        <f>IF(A62="","",I62*K62)</f>
        <v/>
      </c>
      <c r="N62" s="254"/>
    </row>
    <row r="63" spans="1:14" x14ac:dyDescent="0.25">
      <c r="A63" s="249"/>
      <c r="B63" s="237"/>
      <c r="C63" s="237"/>
      <c r="D63" s="237"/>
      <c r="E63" s="237"/>
      <c r="F63" s="237"/>
      <c r="G63" s="238"/>
      <c r="H63" s="68" t="str">
        <f>IF(A63="","",VLOOKUP(A63,AA_Equipos,7,FALSE))</f>
        <v/>
      </c>
      <c r="I63" s="239" t="str">
        <f>IF(A63="","",VLOOKUP(A63,AA_Materiales,8,FALSE))</f>
        <v/>
      </c>
      <c r="J63" s="238"/>
      <c r="K63" s="250"/>
      <c r="L63" s="238"/>
      <c r="M63" s="239" t="str">
        <f>IF(A63="","",I63*K63)</f>
        <v/>
      </c>
      <c r="N63" s="238"/>
    </row>
    <row r="64" spans="1:14" x14ac:dyDescent="0.25">
      <c r="A64" s="249"/>
      <c r="B64" s="237"/>
      <c r="C64" s="237"/>
      <c r="D64" s="237"/>
      <c r="E64" s="237"/>
      <c r="F64" s="237"/>
      <c r="G64" s="238"/>
      <c r="H64" s="68" t="str">
        <f>IF(A64="","",VLOOKUP(A64,AA_Equipos,7,FALSE))</f>
        <v/>
      </c>
      <c r="I64" s="239" t="str">
        <f>IF(A64="","",VLOOKUP(A64,AA_Materiales,8,FALSE))</f>
        <v/>
      </c>
      <c r="J64" s="238"/>
      <c r="K64" s="250"/>
      <c r="L64" s="238"/>
      <c r="M64" s="239" t="str">
        <f>IF(A64="","",I64*K64)</f>
        <v/>
      </c>
      <c r="N64" s="238"/>
    </row>
    <row r="65" spans="1:14" x14ac:dyDescent="0.25">
      <c r="A65" s="69"/>
      <c r="B65" s="69"/>
      <c r="C65" s="69"/>
      <c r="D65" s="69"/>
      <c r="E65" s="69"/>
      <c r="F65" s="69"/>
      <c r="G65" s="69"/>
      <c r="H65" s="69"/>
      <c r="I65" s="69"/>
      <c r="J65" s="69"/>
      <c r="K65" s="240" t="s">
        <v>122</v>
      </c>
      <c r="L65" s="238"/>
      <c r="M65" s="239">
        <f>SUM(M60:N64)</f>
        <v>52941.176470588238</v>
      </c>
      <c r="N65" s="238"/>
    </row>
    <row r="66" spans="1:14" x14ac:dyDescent="0.25">
      <c r="A66" s="69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</row>
    <row r="67" spans="1:14" x14ac:dyDescent="0.25">
      <c r="A67" s="247" t="s">
        <v>124</v>
      </c>
      <c r="B67" s="237"/>
      <c r="C67" s="237"/>
      <c r="D67" s="237"/>
      <c r="E67" s="237"/>
      <c r="F67" s="237"/>
      <c r="G67" s="237"/>
      <c r="H67" s="237"/>
      <c r="I67" s="237"/>
      <c r="J67" s="237"/>
      <c r="K67" s="237"/>
      <c r="L67" s="237"/>
      <c r="M67" s="237"/>
      <c r="N67" s="238"/>
    </row>
    <row r="68" spans="1:14" x14ac:dyDescent="0.25">
      <c r="A68" s="240" t="s">
        <v>76</v>
      </c>
      <c r="B68" s="237"/>
      <c r="C68" s="237"/>
      <c r="D68" s="237"/>
      <c r="E68" s="237"/>
      <c r="F68" s="237"/>
      <c r="G68" s="238"/>
      <c r="H68" s="67" t="s">
        <v>46</v>
      </c>
      <c r="I68" s="248" t="s">
        <v>120</v>
      </c>
      <c r="J68" s="238"/>
      <c r="K68" s="248" t="s">
        <v>47</v>
      </c>
      <c r="L68" s="238"/>
      <c r="M68" s="248" t="s">
        <v>121</v>
      </c>
      <c r="N68" s="238"/>
    </row>
    <row r="69" spans="1:14" x14ac:dyDescent="0.25">
      <c r="A69" s="249" t="str">
        <f>PROFESIONALES!$B$33</f>
        <v>Vehículo camionetas pick up  doble cabina</v>
      </c>
      <c r="B69" s="237"/>
      <c r="C69" s="237"/>
      <c r="D69" s="237"/>
      <c r="E69" s="237"/>
      <c r="F69" s="237"/>
      <c r="G69" s="238"/>
      <c r="H69" s="68" t="str">
        <f>PROFESIONALES!$D$33</f>
        <v>MES</v>
      </c>
      <c r="I69" s="239">
        <f>PROFESIONALES!$F$33</f>
        <v>5800000</v>
      </c>
      <c r="J69" s="238"/>
      <c r="K69" s="250">
        <f>PROFESIONALES!$H$33/4</f>
        <v>0.25</v>
      </c>
      <c r="L69" s="251"/>
      <c r="M69" s="239">
        <f>K69*I69</f>
        <v>1450000</v>
      </c>
      <c r="N69" s="238"/>
    </row>
    <row r="70" spans="1:14" ht="15" customHeight="1" x14ac:dyDescent="0.25">
      <c r="A70" s="252" t="str">
        <f>PROFESIONALES!$B$38</f>
        <v>Visitas de inspección</v>
      </c>
      <c r="B70" s="237"/>
      <c r="C70" s="237"/>
      <c r="D70" s="237"/>
      <c r="E70" s="237"/>
      <c r="F70" s="237"/>
      <c r="G70" s="238"/>
      <c r="H70" s="68" t="str">
        <f>PROFESIONALES!$D$38</f>
        <v>UNIDAD</v>
      </c>
      <c r="I70" s="239">
        <f>PROFESIONALES!$F$38</f>
        <v>1500000</v>
      </c>
      <c r="J70" s="238"/>
      <c r="K70" s="250">
        <f>PROFESIONALES!$E$38/4</f>
        <v>0.75</v>
      </c>
      <c r="L70" s="251"/>
      <c r="M70" s="239">
        <f>K70*I70</f>
        <v>1125000</v>
      </c>
      <c r="N70" s="238"/>
    </row>
    <row r="71" spans="1:14" x14ac:dyDescent="0.25">
      <c r="A71" s="249"/>
      <c r="B71" s="237"/>
      <c r="C71" s="237"/>
      <c r="D71" s="237"/>
      <c r="E71" s="237"/>
      <c r="F71" s="237"/>
      <c r="G71" s="238"/>
      <c r="H71" s="68"/>
      <c r="I71" s="239"/>
      <c r="J71" s="238"/>
      <c r="K71" s="250"/>
      <c r="L71" s="238"/>
      <c r="M71" s="239" t="str">
        <f>IF(A71="","",I71*K71)</f>
        <v/>
      </c>
      <c r="N71" s="238"/>
    </row>
    <row r="72" spans="1:14" x14ac:dyDescent="0.25">
      <c r="A72" s="249"/>
      <c r="B72" s="237"/>
      <c r="C72" s="237"/>
      <c r="D72" s="237"/>
      <c r="E72" s="237"/>
      <c r="F72" s="237"/>
      <c r="G72" s="238"/>
      <c r="H72" s="68"/>
      <c r="I72" s="239"/>
      <c r="J72" s="238"/>
      <c r="K72" s="250"/>
      <c r="L72" s="238"/>
      <c r="M72" s="239" t="str">
        <f>IF(A72="","",I72*K72)</f>
        <v/>
      </c>
      <c r="N72" s="238"/>
    </row>
    <row r="73" spans="1:14" x14ac:dyDescent="0.25">
      <c r="A73" s="249"/>
      <c r="B73" s="237"/>
      <c r="C73" s="237"/>
      <c r="D73" s="237"/>
      <c r="E73" s="237"/>
      <c r="F73" s="237"/>
      <c r="G73" s="238"/>
      <c r="H73" s="68"/>
      <c r="I73" s="239"/>
      <c r="J73" s="238"/>
      <c r="K73" s="250"/>
      <c r="L73" s="238"/>
      <c r="M73" s="239" t="str">
        <f>IF(A73="","",I73*K73)</f>
        <v/>
      </c>
      <c r="N73" s="238"/>
    </row>
    <row r="74" spans="1:14" x14ac:dyDescent="0.25">
      <c r="A74" s="69"/>
      <c r="B74" s="69"/>
      <c r="C74" s="69"/>
      <c r="D74" s="69"/>
      <c r="E74" s="69"/>
      <c r="F74" s="69"/>
      <c r="G74" s="69"/>
      <c r="H74" s="69"/>
      <c r="I74" s="69"/>
      <c r="J74" s="69"/>
      <c r="K74" s="240" t="s">
        <v>122</v>
      </c>
      <c r="L74" s="238"/>
      <c r="M74" s="239">
        <f>SUM(M69:N73)</f>
        <v>2575000</v>
      </c>
      <c r="N74" s="238"/>
    </row>
    <row r="75" spans="1:14" x14ac:dyDescent="0.25">
      <c r="A75" s="69"/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</row>
    <row r="76" spans="1:14" x14ac:dyDescent="0.25">
      <c r="A76" s="247" t="s">
        <v>125</v>
      </c>
      <c r="B76" s="237"/>
      <c r="C76" s="237"/>
      <c r="D76" s="237"/>
      <c r="E76" s="237"/>
      <c r="F76" s="237"/>
      <c r="G76" s="237"/>
      <c r="H76" s="237"/>
      <c r="I76" s="237"/>
      <c r="J76" s="237"/>
      <c r="K76" s="237"/>
      <c r="L76" s="237"/>
      <c r="M76" s="237"/>
      <c r="N76" s="238"/>
    </row>
    <row r="77" spans="1:14" x14ac:dyDescent="0.25">
      <c r="A77" s="240" t="s">
        <v>76</v>
      </c>
      <c r="B77" s="237"/>
      <c r="C77" s="237"/>
      <c r="D77" s="237"/>
      <c r="E77" s="237"/>
      <c r="F77" s="237"/>
      <c r="G77" s="238"/>
      <c r="H77" s="67" t="s">
        <v>46</v>
      </c>
      <c r="I77" s="248" t="s">
        <v>120</v>
      </c>
      <c r="J77" s="238"/>
      <c r="K77" s="70" t="s">
        <v>126</v>
      </c>
      <c r="L77" s="71" t="s">
        <v>128</v>
      </c>
      <c r="M77" s="248" t="s">
        <v>121</v>
      </c>
      <c r="N77" s="238"/>
    </row>
    <row r="78" spans="1:14" x14ac:dyDescent="0.25">
      <c r="A78" s="236" t="str">
        <f>PROFESIONALES!$B$9</f>
        <v>Director de consultoria</v>
      </c>
      <c r="B78" s="237"/>
      <c r="C78" s="237"/>
      <c r="D78" s="237"/>
      <c r="E78" s="237"/>
      <c r="F78" s="237"/>
      <c r="G78" s="238"/>
      <c r="H78" s="68" t="s">
        <v>80</v>
      </c>
      <c r="I78" s="239">
        <f>PROFESIONALES!$F$9</f>
        <v>7691776</v>
      </c>
      <c r="J78" s="238"/>
      <c r="K78" s="45">
        <f>PROFESIONALES!I$24</f>
        <v>2</v>
      </c>
      <c r="L78" s="72">
        <f>V6*X6*30</f>
        <v>1.0588235294117649</v>
      </c>
      <c r="M78" s="239">
        <f t="shared" ref="M78:M83" si="6">I78*K78*L78/30</f>
        <v>542948.8941176472</v>
      </c>
      <c r="N78" s="238"/>
    </row>
    <row r="79" spans="1:14" x14ac:dyDescent="0.25">
      <c r="A79" s="236" t="str">
        <f>PROFESIONALES!B12</f>
        <v>Especialista Hidráulico</v>
      </c>
      <c r="B79" s="237"/>
      <c r="C79" s="237"/>
      <c r="D79" s="237"/>
      <c r="E79" s="237"/>
      <c r="F79" s="237"/>
      <c r="G79" s="238"/>
      <c r="H79" s="68" t="s">
        <v>80</v>
      </c>
      <c r="I79" s="239">
        <f>PROFESIONALES!F12</f>
        <v>6356217</v>
      </c>
      <c r="J79" s="238"/>
      <c r="K79" s="45">
        <f>PROFESIONALES!I$24</f>
        <v>2</v>
      </c>
      <c r="L79" s="45">
        <f>V9*X9*30</f>
        <v>2.7</v>
      </c>
      <c r="M79" s="239">
        <f t="shared" si="6"/>
        <v>1144119.06</v>
      </c>
      <c r="N79" s="238"/>
    </row>
    <row r="80" spans="1:14" x14ac:dyDescent="0.25">
      <c r="A80" s="236" t="str">
        <f>PROFESIONALES!$B$15</f>
        <v>Profesional de apoyo</v>
      </c>
      <c r="B80" s="237"/>
      <c r="C80" s="237"/>
      <c r="D80" s="237"/>
      <c r="E80" s="237"/>
      <c r="F80" s="237"/>
      <c r="G80" s="238"/>
      <c r="H80" s="68" t="s">
        <v>80</v>
      </c>
      <c r="I80" s="239">
        <f>PROFESIONALES!F15</f>
        <v>5582300</v>
      </c>
      <c r="J80" s="238"/>
      <c r="K80" s="45">
        <f>PROFESIONALES!I$24</f>
        <v>2</v>
      </c>
      <c r="L80" s="45">
        <f>V12*X12*30</f>
        <v>5.2941176470588234</v>
      </c>
      <c r="M80" s="239">
        <f t="shared" si="6"/>
        <v>1970223.5294117646</v>
      </c>
      <c r="N80" s="238"/>
    </row>
    <row r="81" spans="1:17" x14ac:dyDescent="0.25">
      <c r="A81" s="236" t="str">
        <f>PROFESIONALES!$B$10</f>
        <v>Especialista Estructural</v>
      </c>
      <c r="B81" s="237"/>
      <c r="C81" s="237"/>
      <c r="D81" s="237"/>
      <c r="E81" s="237"/>
      <c r="F81" s="237"/>
      <c r="G81" s="238"/>
      <c r="H81" s="68" t="s">
        <v>80</v>
      </c>
      <c r="I81" s="239">
        <f>PROFESIONALES!$F$10</f>
        <v>6573098</v>
      </c>
      <c r="J81" s="238"/>
      <c r="K81" s="45">
        <f>PROFESIONALES!I$24</f>
        <v>2</v>
      </c>
      <c r="L81" s="45">
        <f>V7*X7*30</f>
        <v>3.6000000000000005</v>
      </c>
      <c r="M81" s="239">
        <f t="shared" si="6"/>
        <v>1577543.5200000003</v>
      </c>
      <c r="N81" s="238"/>
      <c r="O81" s="154">
        <f>L78+L79+L80+L81+L82+L83+L84+L85+L86+L88</f>
        <v>48.652941176470591</v>
      </c>
    </row>
    <row r="82" spans="1:17" x14ac:dyDescent="0.25">
      <c r="A82" s="236" t="str">
        <f>PROFESIONALES!B20</f>
        <v>Delineante</v>
      </c>
      <c r="B82" s="237"/>
      <c r="C82" s="237"/>
      <c r="D82" s="237"/>
      <c r="E82" s="237"/>
      <c r="F82" s="237"/>
      <c r="G82" s="238"/>
      <c r="H82" s="68" t="s">
        <v>80</v>
      </c>
      <c r="I82" s="239">
        <f>PROFESIONALES!F20</f>
        <v>2751081</v>
      </c>
      <c r="J82" s="238"/>
      <c r="K82" s="45">
        <f>PROFESIONALES!I$24</f>
        <v>2</v>
      </c>
      <c r="L82" s="45">
        <f>V18*X18*30</f>
        <v>1.8000000000000003</v>
      </c>
      <c r="M82" s="239">
        <f t="shared" si="6"/>
        <v>330129.72000000003</v>
      </c>
      <c r="N82" s="238"/>
    </row>
    <row r="83" spans="1:17" x14ac:dyDescent="0.25">
      <c r="A83" s="236" t="str">
        <f>PROFESIONALES!$B$16</f>
        <v>Topógrafo</v>
      </c>
      <c r="B83" s="237"/>
      <c r="C83" s="237"/>
      <c r="D83" s="237"/>
      <c r="E83" s="237"/>
      <c r="F83" s="237"/>
      <c r="G83" s="238"/>
      <c r="H83" s="68" t="s">
        <v>80</v>
      </c>
      <c r="I83" s="239">
        <f>PROFESIONALES!$F$16</f>
        <v>4183335</v>
      </c>
      <c r="J83" s="238"/>
      <c r="K83" s="45">
        <f>PROFESIONALES!I$24</f>
        <v>2</v>
      </c>
      <c r="L83" s="45">
        <f>V13*X13*30</f>
        <v>5.3999999999999995</v>
      </c>
      <c r="M83" s="239">
        <f t="shared" si="6"/>
        <v>1506000.5999999999</v>
      </c>
      <c r="N83" s="238"/>
    </row>
    <row r="84" spans="1:17" x14ac:dyDescent="0.25">
      <c r="A84" s="236" t="str">
        <f>PROFESIONALES!B18</f>
        <v>Profesional Arquitecto</v>
      </c>
      <c r="B84" s="260"/>
      <c r="C84" s="260"/>
      <c r="D84" s="260"/>
      <c r="E84" s="260"/>
      <c r="F84" s="260"/>
      <c r="G84" s="261"/>
      <c r="H84" s="68" t="s">
        <v>80</v>
      </c>
      <c r="I84" s="239">
        <f>PROFESIONALES!F18</f>
        <v>5582300</v>
      </c>
      <c r="J84" s="254"/>
      <c r="K84" s="45">
        <v>2</v>
      </c>
      <c r="L84" s="45">
        <f>V15*X15*30</f>
        <v>24.3</v>
      </c>
      <c r="M84" s="239">
        <f t="shared" ref="M84:M88" si="7">I84*K84*L84/30</f>
        <v>9043326</v>
      </c>
      <c r="N84" s="238"/>
    </row>
    <row r="85" spans="1:17" x14ac:dyDescent="0.25">
      <c r="A85" s="236" t="str">
        <f>PROFESIONALES!B13</f>
        <v>Ingeniero Electrico</v>
      </c>
      <c r="B85" s="260"/>
      <c r="C85" s="260"/>
      <c r="D85" s="260"/>
      <c r="E85" s="260"/>
      <c r="F85" s="260"/>
      <c r="G85" s="261"/>
      <c r="H85" s="68" t="s">
        <v>80</v>
      </c>
      <c r="I85" s="239">
        <f>PROFESIONALES!F13</f>
        <v>6356217</v>
      </c>
      <c r="J85" s="254"/>
      <c r="K85" s="45">
        <v>2</v>
      </c>
      <c r="L85" s="45">
        <f>V10*X10*30</f>
        <v>0.90000000000000013</v>
      </c>
      <c r="M85" s="239">
        <f t="shared" si="7"/>
        <v>381373.02000000008</v>
      </c>
      <c r="N85" s="238"/>
    </row>
    <row r="86" spans="1:17" x14ac:dyDescent="0.25">
      <c r="A86" s="236" t="str">
        <f>PROFESIONALES!B11</f>
        <v>Especialista en Geotecnia</v>
      </c>
      <c r="B86" s="260"/>
      <c r="C86" s="260"/>
      <c r="D86" s="260"/>
      <c r="E86" s="260"/>
      <c r="F86" s="260"/>
      <c r="G86" s="261"/>
      <c r="H86" s="68" t="s">
        <v>80</v>
      </c>
      <c r="I86" s="239">
        <f>PROFESIONALES!F11</f>
        <v>6573098</v>
      </c>
      <c r="J86" s="254"/>
      <c r="K86" s="45">
        <v>2</v>
      </c>
      <c r="L86" s="45">
        <f>V8*X8*30</f>
        <v>0.90000000000000013</v>
      </c>
      <c r="M86" s="239">
        <f t="shared" si="7"/>
        <v>394385.88000000006</v>
      </c>
      <c r="N86" s="238"/>
    </row>
    <row r="87" spans="1:17" x14ac:dyDescent="0.25">
      <c r="A87" s="236" t="str">
        <f>PROFESIONALES!B14</f>
        <v xml:space="preserve">Especialista Veterinario </v>
      </c>
      <c r="B87" s="260"/>
      <c r="C87" s="260"/>
      <c r="D87" s="260"/>
      <c r="E87" s="260"/>
      <c r="F87" s="260"/>
      <c r="G87" s="261"/>
      <c r="H87" s="68" t="s">
        <v>80</v>
      </c>
      <c r="I87" s="239">
        <f>PROFESIONALES!F14</f>
        <v>6356217</v>
      </c>
      <c r="J87" s="254"/>
      <c r="K87" s="45">
        <v>2</v>
      </c>
      <c r="L87" s="45">
        <v>0.2</v>
      </c>
      <c r="M87" s="239">
        <f t="shared" ref="M87" si="8">I87*K87*L87/30</f>
        <v>84749.560000000012</v>
      </c>
      <c r="N87" s="238"/>
    </row>
    <row r="88" spans="1:17" x14ac:dyDescent="0.25">
      <c r="A88" s="236" t="str">
        <f>PROFESIONALES!B17</f>
        <v>Profesional Ambiental</v>
      </c>
      <c r="B88" s="237"/>
      <c r="C88" s="237"/>
      <c r="D88" s="237"/>
      <c r="E88" s="237"/>
      <c r="F88" s="237"/>
      <c r="G88" s="238"/>
      <c r="H88" s="68" t="s">
        <v>80</v>
      </c>
      <c r="I88" s="239">
        <f>PROFESIONALES!F17</f>
        <v>5582300</v>
      </c>
      <c r="J88" s="238"/>
      <c r="K88" s="45">
        <v>2</v>
      </c>
      <c r="L88" s="45">
        <f>V14*X14*30</f>
        <v>2.6999999999999997</v>
      </c>
      <c r="M88" s="239">
        <f t="shared" si="7"/>
        <v>1004813.9999999999</v>
      </c>
      <c r="N88" s="238"/>
    </row>
    <row r="89" spans="1:17" x14ac:dyDescent="0.25">
      <c r="A89" s="69"/>
      <c r="B89" s="69"/>
      <c r="C89" s="69"/>
      <c r="D89" s="69"/>
      <c r="E89" s="69"/>
      <c r="F89" s="69"/>
      <c r="G89" s="69"/>
      <c r="H89" s="69"/>
      <c r="I89" s="69"/>
      <c r="J89" s="69"/>
      <c r="K89" s="240" t="s">
        <v>122</v>
      </c>
      <c r="L89" s="238"/>
      <c r="M89" s="239">
        <f>SUM(M78:N88)</f>
        <v>17979613.783529408</v>
      </c>
      <c r="N89" s="238"/>
    </row>
    <row r="91" spans="1:17" x14ac:dyDescent="0.25">
      <c r="A91" s="241" t="str">
        <f>Productos!B10</f>
        <v>Estudio y diseño de la Evaluación ambiental (Plan de Manejo Ambiental y Plan sanitario).</v>
      </c>
      <c r="B91" s="242"/>
      <c r="C91" s="242"/>
      <c r="D91" s="242"/>
      <c r="E91" s="242"/>
      <c r="F91" s="242"/>
      <c r="G91" s="242"/>
      <c r="H91" s="242"/>
      <c r="I91" s="242"/>
      <c r="J91" s="242"/>
      <c r="K91" s="242"/>
      <c r="L91" s="242"/>
      <c r="M91" s="242"/>
      <c r="N91" s="243"/>
      <c r="Q91" t="s">
        <v>108</v>
      </c>
    </row>
    <row r="92" spans="1:17" x14ac:dyDescent="0.25">
      <c r="A92" s="244"/>
      <c r="B92" s="245"/>
      <c r="C92" s="245"/>
      <c r="D92" s="245"/>
      <c r="E92" s="245"/>
      <c r="F92" s="245"/>
      <c r="G92" s="245"/>
      <c r="H92" s="245"/>
      <c r="I92" s="245"/>
      <c r="J92" s="245"/>
      <c r="K92" s="245"/>
      <c r="L92" s="245"/>
      <c r="M92" s="245"/>
      <c r="N92" s="246"/>
    </row>
    <row r="93" spans="1:17" x14ac:dyDescent="0.25">
      <c r="A93" s="39">
        <v>1</v>
      </c>
      <c r="B93" s="39">
        <v>2</v>
      </c>
      <c r="C93" s="39">
        <v>3</v>
      </c>
      <c r="D93" s="39">
        <v>4</v>
      </c>
      <c r="E93" s="39">
        <v>5</v>
      </c>
      <c r="F93" s="39">
        <v>6</v>
      </c>
      <c r="G93" s="39">
        <v>7</v>
      </c>
      <c r="H93" s="39">
        <v>8</v>
      </c>
      <c r="I93" s="39">
        <v>9</v>
      </c>
      <c r="J93" s="39">
        <v>10</v>
      </c>
      <c r="K93" s="39">
        <v>11</v>
      </c>
      <c r="L93" s="39">
        <v>12</v>
      </c>
      <c r="M93" s="39">
        <v>13</v>
      </c>
      <c r="N93" s="39">
        <v>14</v>
      </c>
    </row>
    <row r="94" spans="1:17" ht="15.75" x14ac:dyDescent="0.3">
      <c r="A94" s="84" t="s">
        <v>132</v>
      </c>
      <c r="B94" s="59" t="str">
        <f>A91</f>
        <v>Estudio y diseño de la Evaluación ambiental (Plan de Manejo Ambiental y Plan sanitario).</v>
      </c>
      <c r="C94" s="85" t="s">
        <v>113</v>
      </c>
      <c r="D94" s="60" t="s">
        <v>127</v>
      </c>
      <c r="E94" s="86" t="s">
        <v>114</v>
      </c>
      <c r="F94" s="61">
        <f>H94+J94+L94+N94</f>
        <v>8593972.3764705881</v>
      </c>
      <c r="G94" s="86" t="s">
        <v>115</v>
      </c>
      <c r="H94" s="62">
        <f>M112</f>
        <v>52941.176470588238</v>
      </c>
      <c r="I94" s="86" t="s">
        <v>116</v>
      </c>
      <c r="J94" s="63">
        <f>M103</f>
        <v>352941.17647058825</v>
      </c>
      <c r="K94" s="86" t="s">
        <v>117</v>
      </c>
      <c r="L94" s="62">
        <f>M121</f>
        <v>0</v>
      </c>
      <c r="M94" s="86" t="s">
        <v>118</v>
      </c>
      <c r="N94" s="64">
        <f>M131</f>
        <v>8188090.0235294122</v>
      </c>
    </row>
    <row r="95" spans="1:17" x14ac:dyDescent="0.25">
      <c r="A95" s="65"/>
      <c r="B95" s="65"/>
      <c r="C95" s="65"/>
      <c r="D95" s="65"/>
      <c r="E95" s="65"/>
      <c r="F95" s="65"/>
      <c r="G95" s="65"/>
      <c r="H95" s="66"/>
      <c r="I95" s="66"/>
      <c r="J95" s="65"/>
      <c r="K95" s="65"/>
      <c r="L95" s="65"/>
      <c r="M95" s="65"/>
      <c r="N95" s="65"/>
    </row>
    <row r="96" spans="1:17" x14ac:dyDescent="0.25">
      <c r="A96" s="247" t="s">
        <v>119</v>
      </c>
      <c r="B96" s="237"/>
      <c r="C96" s="237"/>
      <c r="D96" s="237"/>
      <c r="E96" s="237"/>
      <c r="F96" s="237"/>
      <c r="G96" s="237"/>
      <c r="H96" s="237"/>
      <c r="I96" s="237"/>
      <c r="J96" s="237"/>
      <c r="K96" s="237"/>
      <c r="L96" s="237"/>
      <c r="M96" s="237"/>
      <c r="N96" s="238"/>
    </row>
    <row r="97" spans="1:14" x14ac:dyDescent="0.25">
      <c r="A97" s="240" t="s">
        <v>76</v>
      </c>
      <c r="B97" s="237"/>
      <c r="C97" s="237"/>
      <c r="D97" s="237"/>
      <c r="E97" s="237"/>
      <c r="F97" s="237"/>
      <c r="G97" s="238"/>
      <c r="H97" s="67" t="s">
        <v>46</v>
      </c>
      <c r="I97" s="248" t="s">
        <v>120</v>
      </c>
      <c r="J97" s="238"/>
      <c r="K97" s="248" t="s">
        <v>47</v>
      </c>
      <c r="L97" s="238"/>
      <c r="M97" s="248" t="s">
        <v>121</v>
      </c>
      <c r="N97" s="238"/>
    </row>
    <row r="98" spans="1:14" x14ac:dyDescent="0.25">
      <c r="A98" s="249" t="str">
        <f>PROFESIONALES!$B$30</f>
        <v>Alquiler oficina</v>
      </c>
      <c r="B98" s="237"/>
      <c r="C98" s="237"/>
      <c r="D98" s="237"/>
      <c r="E98" s="237"/>
      <c r="F98" s="237"/>
      <c r="G98" s="238"/>
      <c r="H98" s="68" t="str">
        <f>PROFESIONALES!$D$30</f>
        <v>MES</v>
      </c>
      <c r="I98" s="239">
        <f>PROFESIONALES!$F$30</f>
        <v>500000</v>
      </c>
      <c r="J98" s="238"/>
      <c r="K98" s="250">
        <f>PROFESIONALES!H30/APUS!Z22</f>
        <v>0.17647058823529413</v>
      </c>
      <c r="L98" s="238"/>
      <c r="M98" s="239">
        <f>K98*I98</f>
        <v>88235.294117647063</v>
      </c>
      <c r="N98" s="238"/>
    </row>
    <row r="99" spans="1:14" x14ac:dyDescent="0.25">
      <c r="A99" s="249"/>
      <c r="B99" s="237"/>
      <c r="C99" s="237"/>
      <c r="D99" s="237"/>
      <c r="E99" s="237"/>
      <c r="F99" s="237"/>
      <c r="G99" s="238"/>
      <c r="H99" s="68"/>
      <c r="I99" s="239"/>
      <c r="J99" s="238"/>
      <c r="K99" s="250"/>
      <c r="L99" s="238"/>
      <c r="M99" s="239"/>
      <c r="N99" s="238"/>
    </row>
    <row r="100" spans="1:14" x14ac:dyDescent="0.25">
      <c r="A100" s="249" t="str">
        <f>PROFESIONALES!$B$32</f>
        <v>Gastos de oficina (Impresión de informes y planos)</v>
      </c>
      <c r="B100" s="237"/>
      <c r="C100" s="237"/>
      <c r="D100" s="237"/>
      <c r="E100" s="237"/>
      <c r="F100" s="237"/>
      <c r="G100" s="238"/>
      <c r="H100" s="68" t="str">
        <f>PROFESIONALES!$D$32</f>
        <v>COPIA</v>
      </c>
      <c r="I100" s="239">
        <f>PROFESIONALES!$F$32</f>
        <v>1500000</v>
      </c>
      <c r="J100" s="238"/>
      <c r="K100" s="250">
        <f>PROFESIONALES!$H$32*PROFESIONALES!E32/Z22</f>
        <v>0.17647058823529413</v>
      </c>
      <c r="L100" s="238"/>
      <c r="M100" s="239">
        <f t="shared" ref="M100" si="9">K100*I100</f>
        <v>264705.8823529412</v>
      </c>
      <c r="N100" s="238"/>
    </row>
    <row r="101" spans="1:14" x14ac:dyDescent="0.25">
      <c r="A101" s="255"/>
      <c r="B101" s="256"/>
      <c r="C101" s="256"/>
      <c r="D101" s="256"/>
      <c r="E101" s="256"/>
      <c r="F101" s="256"/>
      <c r="G101" s="257"/>
      <c r="H101" s="73"/>
      <c r="I101" s="258"/>
      <c r="J101" s="257"/>
      <c r="K101" s="259"/>
      <c r="L101" s="257"/>
      <c r="M101" s="258"/>
      <c r="N101" s="257"/>
    </row>
    <row r="102" spans="1:14" x14ac:dyDescent="0.25">
      <c r="A102" s="249"/>
      <c r="B102" s="237"/>
      <c r="C102" s="237"/>
      <c r="D102" s="237"/>
      <c r="E102" s="237"/>
      <c r="F102" s="237"/>
      <c r="G102" s="238"/>
      <c r="H102" s="68" t="str">
        <f>IF(A102="","",VLOOKUP(A102,AA_Materiales,7,FALSE))</f>
        <v/>
      </c>
      <c r="I102" s="239" t="str">
        <f>IF(A102="","",VLOOKUP(A102,AA_Materiales,8,FALSE))</f>
        <v/>
      </c>
      <c r="J102" s="238"/>
      <c r="K102" s="250"/>
      <c r="L102" s="238"/>
      <c r="M102" s="239" t="str">
        <f>IF(A102="","",I102*K102)</f>
        <v/>
      </c>
      <c r="N102" s="238"/>
    </row>
    <row r="103" spans="1:14" x14ac:dyDescent="0.25">
      <c r="A103" s="69"/>
      <c r="B103" s="69"/>
      <c r="C103" s="69"/>
      <c r="D103" s="69"/>
      <c r="E103" s="69"/>
      <c r="F103" s="69"/>
      <c r="G103" s="69"/>
      <c r="H103" s="69"/>
      <c r="I103" s="69"/>
      <c r="J103" s="69"/>
      <c r="K103" s="240" t="s">
        <v>122</v>
      </c>
      <c r="L103" s="238"/>
      <c r="M103" s="239">
        <f>SUM(M98:N102)</f>
        <v>352941.17647058825</v>
      </c>
      <c r="N103" s="238"/>
    </row>
    <row r="104" spans="1:14" x14ac:dyDescent="0.25">
      <c r="A104" s="69"/>
      <c r="B104" s="69"/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</row>
    <row r="105" spans="1:14" x14ac:dyDescent="0.25">
      <c r="A105" s="247" t="s">
        <v>123</v>
      </c>
      <c r="B105" s="237"/>
      <c r="C105" s="237"/>
      <c r="D105" s="237"/>
      <c r="E105" s="237"/>
      <c r="F105" s="237"/>
      <c r="G105" s="237"/>
      <c r="H105" s="237"/>
      <c r="I105" s="237"/>
      <c r="J105" s="237"/>
      <c r="K105" s="237"/>
      <c r="L105" s="237"/>
      <c r="M105" s="237"/>
      <c r="N105" s="238"/>
    </row>
    <row r="106" spans="1:14" x14ac:dyDescent="0.25">
      <c r="A106" s="240" t="s">
        <v>76</v>
      </c>
      <c r="B106" s="237"/>
      <c r="C106" s="237"/>
      <c r="D106" s="237"/>
      <c r="E106" s="237"/>
      <c r="F106" s="237"/>
      <c r="G106" s="238"/>
      <c r="H106" s="67" t="s">
        <v>46</v>
      </c>
      <c r="I106" s="248" t="s">
        <v>120</v>
      </c>
      <c r="J106" s="238"/>
      <c r="K106" s="248" t="s">
        <v>47</v>
      </c>
      <c r="L106" s="238"/>
      <c r="M106" s="248" t="s">
        <v>121</v>
      </c>
      <c r="N106" s="238"/>
    </row>
    <row r="107" spans="1:14" x14ac:dyDescent="0.25">
      <c r="A107" s="252" t="str">
        <f>PROFESIONALES!$B$31</f>
        <v>Servicios Públicos</v>
      </c>
      <c r="B107" s="237"/>
      <c r="C107" s="237"/>
      <c r="D107" s="237"/>
      <c r="E107" s="237"/>
      <c r="F107" s="237"/>
      <c r="G107" s="238"/>
      <c r="H107" s="68" t="str">
        <f>PROFESIONALES!$D$31</f>
        <v>MES</v>
      </c>
      <c r="I107" s="239">
        <f>PROFESIONALES!$F$31</f>
        <v>300000</v>
      </c>
      <c r="J107" s="238"/>
      <c r="K107" s="250">
        <f>PROFESIONALES!$H$9/Z22</f>
        <v>0.17647058823529413</v>
      </c>
      <c r="L107" s="251"/>
      <c r="M107" s="239">
        <f>K107*I107</f>
        <v>52941.176470588238</v>
      </c>
      <c r="N107" s="238"/>
    </row>
    <row r="108" spans="1:14" x14ac:dyDescent="0.25">
      <c r="A108" s="252"/>
      <c r="B108" s="237"/>
      <c r="C108" s="237"/>
      <c r="D108" s="237"/>
      <c r="E108" s="237"/>
      <c r="F108" s="237"/>
      <c r="G108" s="238"/>
      <c r="H108" s="68" t="str">
        <f>IF(A108="","",VLOOKUP(A108,AA_Equipos,7,FALSE))</f>
        <v/>
      </c>
      <c r="I108" s="239" t="str">
        <f>IF(A108="","",VLOOKUP(A108,AA_Materiales,8,FALSE))</f>
        <v/>
      </c>
      <c r="J108" s="238"/>
      <c r="K108" s="253"/>
      <c r="L108" s="238"/>
      <c r="M108" s="239" t="str">
        <f>IF(A108="","",I108*K108)</f>
        <v/>
      </c>
      <c r="N108" s="238"/>
    </row>
    <row r="109" spans="1:14" x14ac:dyDescent="0.25">
      <c r="A109" s="249"/>
      <c r="B109" s="237"/>
      <c r="C109" s="237"/>
      <c r="D109" s="237"/>
      <c r="E109" s="237"/>
      <c r="F109" s="237"/>
      <c r="G109" s="238"/>
      <c r="H109" s="68" t="str">
        <f>IF(A109="","",VLOOKUP(A109,AA_Equipos,7,FALSE))</f>
        <v/>
      </c>
      <c r="I109" s="239" t="str">
        <f>IF(A109="","",VLOOKUP(A109,AA_Materiales,8,FALSE))</f>
        <v/>
      </c>
      <c r="J109" s="238"/>
      <c r="K109" s="250"/>
      <c r="L109" s="238"/>
      <c r="M109" s="239" t="str">
        <f>IF(A109="","",I109*K109)</f>
        <v/>
      </c>
      <c r="N109" s="238"/>
    </row>
    <row r="110" spans="1:14" x14ac:dyDescent="0.25">
      <c r="A110" s="249"/>
      <c r="B110" s="237"/>
      <c r="C110" s="237"/>
      <c r="D110" s="237"/>
      <c r="E110" s="237"/>
      <c r="F110" s="237"/>
      <c r="G110" s="238"/>
      <c r="H110" s="68" t="str">
        <f>IF(A110="","",VLOOKUP(A110,AA_Equipos,7,FALSE))</f>
        <v/>
      </c>
      <c r="I110" s="239" t="str">
        <f>IF(A110="","",VLOOKUP(A110,AA_Materiales,8,FALSE))</f>
        <v/>
      </c>
      <c r="J110" s="238"/>
      <c r="K110" s="250"/>
      <c r="L110" s="238"/>
      <c r="M110" s="239" t="str">
        <f>IF(A110="","",I110*K110)</f>
        <v/>
      </c>
      <c r="N110" s="238"/>
    </row>
    <row r="111" spans="1:14" x14ac:dyDescent="0.25">
      <c r="A111" s="249"/>
      <c r="B111" s="237"/>
      <c r="C111" s="237"/>
      <c r="D111" s="237"/>
      <c r="E111" s="237"/>
      <c r="F111" s="237"/>
      <c r="G111" s="238"/>
      <c r="H111" s="68" t="str">
        <f>IF(A111="","",VLOOKUP(A111,AA_Equipos,7,FALSE))</f>
        <v/>
      </c>
      <c r="I111" s="239" t="str">
        <f>IF(A111="","",VLOOKUP(A111,AA_Materiales,8,FALSE))</f>
        <v/>
      </c>
      <c r="J111" s="238"/>
      <c r="K111" s="250"/>
      <c r="L111" s="238"/>
      <c r="M111" s="239" t="str">
        <f>IF(A111="","",I111*K111)</f>
        <v/>
      </c>
      <c r="N111" s="238"/>
    </row>
    <row r="112" spans="1:14" x14ac:dyDescent="0.25">
      <c r="A112" s="69"/>
      <c r="B112" s="69"/>
      <c r="C112" s="69"/>
      <c r="D112" s="69"/>
      <c r="E112" s="69"/>
      <c r="F112" s="69"/>
      <c r="G112" s="69"/>
      <c r="H112" s="69"/>
      <c r="I112" s="69"/>
      <c r="J112" s="69"/>
      <c r="K112" s="240" t="s">
        <v>122</v>
      </c>
      <c r="L112" s="238"/>
      <c r="M112" s="239">
        <f>SUM(M107:N111)</f>
        <v>52941.176470588238</v>
      </c>
      <c r="N112" s="238"/>
    </row>
    <row r="113" spans="1:15" x14ac:dyDescent="0.25">
      <c r="A113" s="69"/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</row>
    <row r="114" spans="1:15" x14ac:dyDescent="0.25">
      <c r="A114" s="247" t="s">
        <v>124</v>
      </c>
      <c r="B114" s="237"/>
      <c r="C114" s="237"/>
      <c r="D114" s="237"/>
      <c r="E114" s="237"/>
      <c r="F114" s="237"/>
      <c r="G114" s="237"/>
      <c r="H114" s="237"/>
      <c r="I114" s="237"/>
      <c r="J114" s="237"/>
      <c r="K114" s="237"/>
      <c r="L114" s="237"/>
      <c r="M114" s="237"/>
      <c r="N114" s="238"/>
    </row>
    <row r="115" spans="1:15" x14ac:dyDescent="0.25">
      <c r="A115" s="240" t="s">
        <v>76</v>
      </c>
      <c r="B115" s="237"/>
      <c r="C115" s="237"/>
      <c r="D115" s="237"/>
      <c r="E115" s="237"/>
      <c r="F115" s="237"/>
      <c r="G115" s="238"/>
      <c r="H115" s="67" t="s">
        <v>46</v>
      </c>
      <c r="I115" s="248" t="s">
        <v>120</v>
      </c>
      <c r="J115" s="238"/>
      <c r="K115" s="248" t="s">
        <v>47</v>
      </c>
      <c r="L115" s="238"/>
      <c r="M115" s="248" t="s">
        <v>121</v>
      </c>
      <c r="N115" s="238"/>
    </row>
    <row r="116" spans="1:15" x14ac:dyDescent="0.25">
      <c r="A116" s="249"/>
      <c r="B116" s="237"/>
      <c r="C116" s="237"/>
      <c r="D116" s="237"/>
      <c r="E116" s="237"/>
      <c r="F116" s="237"/>
      <c r="G116" s="238"/>
      <c r="H116" s="68"/>
      <c r="I116" s="239"/>
      <c r="J116" s="238"/>
      <c r="K116" s="250"/>
      <c r="L116" s="251"/>
      <c r="M116" s="239"/>
      <c r="N116" s="238"/>
    </row>
    <row r="117" spans="1:15" x14ac:dyDescent="0.25">
      <c r="A117" s="252"/>
      <c r="B117" s="237"/>
      <c r="C117" s="237"/>
      <c r="D117" s="237"/>
      <c r="E117" s="237"/>
      <c r="F117" s="237"/>
      <c r="G117" s="238"/>
      <c r="H117" s="68"/>
      <c r="I117" s="239"/>
      <c r="J117" s="238"/>
      <c r="K117" s="253"/>
      <c r="L117" s="238"/>
      <c r="M117" s="239"/>
      <c r="N117" s="238"/>
    </row>
    <row r="118" spans="1:15" x14ac:dyDescent="0.25">
      <c r="A118" s="249"/>
      <c r="B118" s="237"/>
      <c r="C118" s="237"/>
      <c r="D118" s="237"/>
      <c r="E118" s="237"/>
      <c r="F118" s="237"/>
      <c r="G118" s="238"/>
      <c r="H118" s="68"/>
      <c r="I118" s="239"/>
      <c r="J118" s="238"/>
      <c r="K118" s="250"/>
      <c r="L118" s="238"/>
      <c r="M118" s="239" t="str">
        <f>IF(A118="","",I118*K118)</f>
        <v/>
      </c>
      <c r="N118" s="238"/>
    </row>
    <row r="119" spans="1:15" x14ac:dyDescent="0.25">
      <c r="A119" s="249"/>
      <c r="B119" s="237"/>
      <c r="C119" s="237"/>
      <c r="D119" s="237"/>
      <c r="E119" s="237"/>
      <c r="F119" s="237"/>
      <c r="G119" s="238"/>
      <c r="H119" s="68"/>
      <c r="I119" s="239"/>
      <c r="J119" s="238"/>
      <c r="K119" s="250"/>
      <c r="L119" s="238"/>
      <c r="M119" s="239" t="str">
        <f>IF(A119="","",I119*K119)</f>
        <v/>
      </c>
      <c r="N119" s="238"/>
    </row>
    <row r="120" spans="1:15" x14ac:dyDescent="0.25">
      <c r="A120" s="249"/>
      <c r="B120" s="237"/>
      <c r="C120" s="237"/>
      <c r="D120" s="237"/>
      <c r="E120" s="237"/>
      <c r="F120" s="237"/>
      <c r="G120" s="238"/>
      <c r="H120" s="68"/>
      <c r="I120" s="239"/>
      <c r="J120" s="238"/>
      <c r="K120" s="250"/>
      <c r="L120" s="238"/>
      <c r="M120" s="239" t="str">
        <f>IF(A120="","",I120*K120)</f>
        <v/>
      </c>
      <c r="N120" s="238"/>
    </row>
    <row r="121" spans="1:15" x14ac:dyDescent="0.25">
      <c r="A121" s="69"/>
      <c r="B121" s="69"/>
      <c r="C121" s="69"/>
      <c r="D121" s="69"/>
      <c r="E121" s="69"/>
      <c r="F121" s="69"/>
      <c r="G121" s="69"/>
      <c r="H121" s="69"/>
      <c r="I121" s="69"/>
      <c r="J121" s="69"/>
      <c r="K121" s="240" t="s">
        <v>122</v>
      </c>
      <c r="L121" s="238"/>
      <c r="M121" s="239">
        <f>SUM(M116:N120)</f>
        <v>0</v>
      </c>
      <c r="N121" s="238"/>
    </row>
    <row r="122" spans="1:15" x14ac:dyDescent="0.25">
      <c r="A122" s="69"/>
      <c r="B122" s="69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69"/>
    </row>
    <row r="123" spans="1:15" x14ac:dyDescent="0.25">
      <c r="A123" s="247" t="s">
        <v>125</v>
      </c>
      <c r="B123" s="237"/>
      <c r="C123" s="237"/>
      <c r="D123" s="237"/>
      <c r="E123" s="237"/>
      <c r="F123" s="237"/>
      <c r="G123" s="237"/>
      <c r="H123" s="237"/>
      <c r="I123" s="237"/>
      <c r="J123" s="237"/>
      <c r="K123" s="237"/>
      <c r="L123" s="237"/>
      <c r="M123" s="237"/>
      <c r="N123" s="238"/>
    </row>
    <row r="124" spans="1:15" x14ac:dyDescent="0.25">
      <c r="A124" s="240" t="s">
        <v>76</v>
      </c>
      <c r="B124" s="237"/>
      <c r="C124" s="237"/>
      <c r="D124" s="237"/>
      <c r="E124" s="237"/>
      <c r="F124" s="237"/>
      <c r="G124" s="238"/>
      <c r="H124" s="67" t="s">
        <v>46</v>
      </c>
      <c r="I124" s="248" t="s">
        <v>120</v>
      </c>
      <c r="J124" s="238"/>
      <c r="K124" s="70" t="s">
        <v>126</v>
      </c>
      <c r="L124" s="71" t="s">
        <v>128</v>
      </c>
      <c r="M124" s="248" t="s">
        <v>121</v>
      </c>
      <c r="N124" s="238"/>
    </row>
    <row r="125" spans="1:15" x14ac:dyDescent="0.25">
      <c r="A125" s="236" t="str">
        <f>PROFESIONALES!$B$9</f>
        <v>Director de consultoria</v>
      </c>
      <c r="B125" s="237"/>
      <c r="C125" s="237"/>
      <c r="D125" s="237"/>
      <c r="E125" s="237"/>
      <c r="F125" s="237"/>
      <c r="G125" s="238"/>
      <c r="H125" s="68" t="s">
        <v>80</v>
      </c>
      <c r="I125" s="239">
        <f>PROFESIONALES!$F$9</f>
        <v>7691776</v>
      </c>
      <c r="J125" s="238"/>
      <c r="K125" s="45">
        <f>PROFESIONALES!I$24</f>
        <v>2</v>
      </c>
      <c r="L125" s="72">
        <f>30*V6*Y6</f>
        <v>1.0588235294117649</v>
      </c>
      <c r="M125" s="239">
        <f>I125*K125*L125/30</f>
        <v>542948.8941176472</v>
      </c>
      <c r="N125" s="254"/>
    </row>
    <row r="126" spans="1:15" x14ac:dyDescent="0.25">
      <c r="A126" s="236" t="str">
        <f>PROFESIONALES!$B$12</f>
        <v>Especialista Hidráulico</v>
      </c>
      <c r="B126" s="237"/>
      <c r="C126" s="237"/>
      <c r="D126" s="237"/>
      <c r="E126" s="237"/>
      <c r="F126" s="237"/>
      <c r="G126" s="238"/>
      <c r="H126" s="68" t="s">
        <v>80</v>
      </c>
      <c r="I126" s="239">
        <f>PROFESIONALES!$F$12</f>
        <v>6356217</v>
      </c>
      <c r="J126" s="238"/>
      <c r="K126" s="45">
        <f>PROFESIONALES!I$24</f>
        <v>2</v>
      </c>
      <c r="L126" s="45">
        <f>V9*Y9*30</f>
        <v>4.5000000000000009</v>
      </c>
      <c r="M126" s="239">
        <f>I126*K126*L126/30</f>
        <v>1906865.1000000006</v>
      </c>
      <c r="N126" s="254"/>
      <c r="O126" s="154">
        <f>L125+L126+L127+L128+L129</f>
        <v>20.977941176470587</v>
      </c>
    </row>
    <row r="127" spans="1:15" x14ac:dyDescent="0.25">
      <c r="A127" s="236" t="str">
        <f>PROFESIONALES!$B$15</f>
        <v>Profesional de apoyo</v>
      </c>
      <c r="B127" s="237"/>
      <c r="C127" s="237"/>
      <c r="D127" s="237"/>
      <c r="E127" s="237"/>
      <c r="F127" s="237"/>
      <c r="G127" s="238"/>
      <c r="H127" s="68" t="s">
        <v>80</v>
      </c>
      <c r="I127" s="239">
        <f>PROFESIONALES!$F$15</f>
        <v>5582300</v>
      </c>
      <c r="J127" s="238"/>
      <c r="K127" s="45">
        <f>PROFESIONALES!I$24</f>
        <v>2</v>
      </c>
      <c r="L127" s="45">
        <f>30*V12*Y12</f>
        <v>5.2941176470588234</v>
      </c>
      <c r="M127" s="239">
        <f>I127*K127*L127/30</f>
        <v>1970223.5294117646</v>
      </c>
      <c r="N127" s="254"/>
    </row>
    <row r="128" spans="1:15" x14ac:dyDescent="0.25">
      <c r="A128" s="236" t="str">
        <f>PROFESIONALES!B17</f>
        <v>Profesional Ambiental</v>
      </c>
      <c r="B128" s="260"/>
      <c r="C128" s="260"/>
      <c r="D128" s="260"/>
      <c r="E128" s="260"/>
      <c r="F128" s="260"/>
      <c r="G128" s="261"/>
      <c r="H128" s="68" t="s">
        <v>80</v>
      </c>
      <c r="I128" s="239">
        <f>PROFESIONALES!F17</f>
        <v>5582300</v>
      </c>
      <c r="J128" s="254"/>
      <c r="K128" s="45">
        <f>PROFESIONALES!I$24</f>
        <v>2</v>
      </c>
      <c r="L128" s="45">
        <f>V14*Y14*30</f>
        <v>8.1</v>
      </c>
      <c r="M128" s="239">
        <f t="shared" ref="M128:M129" si="10">I128*K128*L128/30</f>
        <v>3014442</v>
      </c>
      <c r="N128" s="254"/>
    </row>
    <row r="129" spans="1:14" x14ac:dyDescent="0.25">
      <c r="A129" s="236" t="str">
        <f>PROFESIONALES!B18</f>
        <v>Profesional Arquitecto</v>
      </c>
      <c r="B129" s="237"/>
      <c r="C129" s="237"/>
      <c r="D129" s="237"/>
      <c r="E129" s="237"/>
      <c r="F129" s="237"/>
      <c r="G129" s="238"/>
      <c r="H129" s="68" t="s">
        <v>80</v>
      </c>
      <c r="I129" s="239">
        <f>PROFESIONALES!F18</f>
        <v>5582300</v>
      </c>
      <c r="J129" s="238"/>
      <c r="K129" s="45">
        <f>PROFESIONALES!I$24</f>
        <v>2</v>
      </c>
      <c r="L129" s="72">
        <f>V15*Y15*30</f>
        <v>2.0250000000000004</v>
      </c>
      <c r="M129" s="239">
        <f t="shared" si="10"/>
        <v>753610.50000000012</v>
      </c>
      <c r="N129" s="254"/>
    </row>
    <row r="130" spans="1:14" x14ac:dyDescent="0.25">
      <c r="A130" s="236" t="str">
        <f>PROFESIONALES!B14</f>
        <v xml:space="preserve">Especialista Veterinario </v>
      </c>
      <c r="B130" s="237"/>
      <c r="C130" s="237"/>
      <c r="D130" s="237"/>
      <c r="E130" s="237"/>
      <c r="F130" s="237"/>
      <c r="G130" s="238"/>
      <c r="H130" s="68" t="s">
        <v>80</v>
      </c>
      <c r="I130" s="239">
        <f>PROFESIONALES!F14</f>
        <v>6356217</v>
      </c>
      <c r="J130" s="238"/>
      <c r="K130" s="45">
        <f>PROFESIONALES!I$24</f>
        <v>2</v>
      </c>
      <c r="L130" s="45">
        <v>0.2</v>
      </c>
      <c r="M130" s="239">
        <f t="shared" ref="M130" si="11">I130*K130*L130/30</f>
        <v>84749.560000000012</v>
      </c>
      <c r="N130" s="254"/>
    </row>
    <row r="131" spans="1:14" x14ac:dyDescent="0.25">
      <c r="A131" s="69"/>
      <c r="B131" s="69"/>
      <c r="C131" s="69"/>
      <c r="D131" s="69"/>
      <c r="E131" s="69"/>
      <c r="F131" s="69"/>
      <c r="G131" s="69"/>
      <c r="H131" s="69"/>
      <c r="I131" s="69"/>
      <c r="J131" s="69"/>
      <c r="K131" s="240" t="s">
        <v>122</v>
      </c>
      <c r="L131" s="238"/>
      <c r="M131" s="239">
        <f>SUM(M125:N129)</f>
        <v>8188090.0235294122</v>
      </c>
      <c r="N131" s="238"/>
    </row>
    <row r="132" spans="1:14" x14ac:dyDescent="0.25">
      <c r="A132" s="69"/>
      <c r="B132" s="69"/>
      <c r="C132" s="69"/>
      <c r="D132" s="69"/>
      <c r="E132" s="69"/>
      <c r="F132" s="69"/>
      <c r="G132" s="69"/>
      <c r="H132" s="69"/>
      <c r="I132" s="69"/>
      <c r="J132" s="69"/>
      <c r="K132" s="110"/>
      <c r="L132" s="111"/>
      <c r="M132" s="112"/>
      <c r="N132" s="113"/>
    </row>
    <row r="133" spans="1:14" x14ac:dyDescent="0.25">
      <c r="A133" s="241" t="str">
        <f>Productos!B11</f>
        <v>Formulación, analisis de  alternativas y escogencia de la más viable</v>
      </c>
      <c r="B133" s="242"/>
      <c r="C133" s="242"/>
      <c r="D133" s="242"/>
      <c r="E133" s="242"/>
      <c r="F133" s="242"/>
      <c r="G133" s="242"/>
      <c r="H133" s="242"/>
      <c r="I133" s="242"/>
      <c r="J133" s="242"/>
      <c r="K133" s="242"/>
      <c r="L133" s="242"/>
      <c r="M133" s="242"/>
      <c r="N133" s="243"/>
    </row>
    <row r="134" spans="1:14" x14ac:dyDescent="0.25">
      <c r="A134" s="244"/>
      <c r="B134" s="245"/>
      <c r="C134" s="245"/>
      <c r="D134" s="245"/>
      <c r="E134" s="245"/>
      <c r="F134" s="245"/>
      <c r="G134" s="245"/>
      <c r="H134" s="245"/>
      <c r="I134" s="245"/>
      <c r="J134" s="245"/>
      <c r="K134" s="245"/>
      <c r="L134" s="245"/>
      <c r="M134" s="245"/>
      <c r="N134" s="246"/>
    </row>
    <row r="135" spans="1:14" x14ac:dyDescent="0.25">
      <c r="A135" s="39">
        <v>1</v>
      </c>
      <c r="B135" s="39">
        <v>2</v>
      </c>
      <c r="C135" s="39">
        <v>3</v>
      </c>
      <c r="D135" s="39">
        <v>4</v>
      </c>
      <c r="E135" s="39">
        <v>5</v>
      </c>
      <c r="F135" s="39">
        <v>6</v>
      </c>
      <c r="G135" s="39">
        <v>7</v>
      </c>
      <c r="H135" s="39">
        <v>8</v>
      </c>
      <c r="I135" s="39">
        <v>9</v>
      </c>
      <c r="J135" s="39">
        <v>10</v>
      </c>
      <c r="K135" s="39">
        <v>11</v>
      </c>
      <c r="L135" s="39">
        <v>12</v>
      </c>
      <c r="M135" s="39">
        <v>13</v>
      </c>
      <c r="N135" s="39">
        <v>14</v>
      </c>
    </row>
    <row r="136" spans="1:14" ht="15.75" x14ac:dyDescent="0.3">
      <c r="A136" s="84" t="s">
        <v>133</v>
      </c>
      <c r="B136" s="59" t="str">
        <f>A133</f>
        <v>Formulación, analisis de  alternativas y escogencia de la más viable</v>
      </c>
      <c r="C136" s="85" t="s">
        <v>113</v>
      </c>
      <c r="D136" s="60" t="s">
        <v>127</v>
      </c>
      <c r="E136" s="86" t="s">
        <v>114</v>
      </c>
      <c r="F136" s="61">
        <f>H136+J136+L136+N136</f>
        <v>10179316.1235057</v>
      </c>
      <c r="G136" s="86" t="s">
        <v>115</v>
      </c>
      <c r="H136" s="62">
        <f>M154</f>
        <v>52941.176470588238</v>
      </c>
      <c r="I136" s="86" t="s">
        <v>116</v>
      </c>
      <c r="J136" s="63">
        <f>M145</f>
        <v>352941.17647058825</v>
      </c>
      <c r="K136" s="86" t="s">
        <v>117</v>
      </c>
      <c r="L136" s="62">
        <f>M163</f>
        <v>0</v>
      </c>
      <c r="M136" s="86" t="s">
        <v>118</v>
      </c>
      <c r="N136" s="64">
        <f>M177</f>
        <v>9773433.7705645245</v>
      </c>
    </row>
    <row r="137" spans="1:14" x14ac:dyDescent="0.25">
      <c r="A137" s="65"/>
      <c r="B137" s="65"/>
      <c r="C137" s="65"/>
      <c r="D137" s="65"/>
      <c r="E137" s="65"/>
      <c r="F137" s="170"/>
      <c r="G137" s="65"/>
      <c r="H137" s="66"/>
      <c r="I137" s="66"/>
      <c r="J137" s="65"/>
      <c r="K137" s="65"/>
      <c r="L137" s="65"/>
      <c r="M137" s="65"/>
      <c r="N137" s="65"/>
    </row>
    <row r="138" spans="1:14" x14ac:dyDescent="0.25">
      <c r="A138" s="247" t="s">
        <v>119</v>
      </c>
      <c r="B138" s="237"/>
      <c r="C138" s="237"/>
      <c r="D138" s="237"/>
      <c r="E138" s="237"/>
      <c r="F138" s="237"/>
      <c r="G138" s="237"/>
      <c r="H138" s="237"/>
      <c r="I138" s="237"/>
      <c r="J138" s="237"/>
      <c r="K138" s="237"/>
      <c r="L138" s="237"/>
      <c r="M138" s="237"/>
      <c r="N138" s="238"/>
    </row>
    <row r="139" spans="1:14" x14ac:dyDescent="0.25">
      <c r="A139" s="240" t="s">
        <v>76</v>
      </c>
      <c r="B139" s="237"/>
      <c r="C139" s="237"/>
      <c r="D139" s="237"/>
      <c r="E139" s="237"/>
      <c r="F139" s="237"/>
      <c r="G139" s="238"/>
      <c r="H139" s="67" t="s">
        <v>46</v>
      </c>
      <c r="I139" s="248" t="s">
        <v>120</v>
      </c>
      <c r="J139" s="238"/>
      <c r="K139" s="248" t="s">
        <v>47</v>
      </c>
      <c r="L139" s="238"/>
      <c r="M139" s="248" t="s">
        <v>121</v>
      </c>
      <c r="N139" s="238"/>
    </row>
    <row r="140" spans="1:14" x14ac:dyDescent="0.25">
      <c r="A140" s="249" t="str">
        <f>PROFESIONALES!$B$30</f>
        <v>Alquiler oficina</v>
      </c>
      <c r="B140" s="237"/>
      <c r="C140" s="237"/>
      <c r="D140" s="237"/>
      <c r="E140" s="237"/>
      <c r="F140" s="237"/>
      <c r="G140" s="238"/>
      <c r="H140" s="68" t="str">
        <f>PROFESIONALES!$D$30</f>
        <v>MES</v>
      </c>
      <c r="I140" s="239">
        <f>PROFESIONALES!$F$30</f>
        <v>500000</v>
      </c>
      <c r="J140" s="238"/>
      <c r="K140" s="250">
        <f>PROFESIONALES!H30/APUS!Z22</f>
        <v>0.17647058823529413</v>
      </c>
      <c r="L140" s="238"/>
      <c r="M140" s="239">
        <f>K140*I140</f>
        <v>88235.294117647063</v>
      </c>
      <c r="N140" s="238"/>
    </row>
    <row r="141" spans="1:14" x14ac:dyDescent="0.25">
      <c r="A141" s="249"/>
      <c r="B141" s="237"/>
      <c r="C141" s="237"/>
      <c r="D141" s="237"/>
      <c r="E141" s="237"/>
      <c r="F141" s="237"/>
      <c r="G141" s="238"/>
      <c r="H141" s="68"/>
      <c r="I141" s="239"/>
      <c r="J141" s="238"/>
      <c r="K141" s="250"/>
      <c r="L141" s="238"/>
      <c r="M141" s="239">
        <f t="shared" ref="M141:M142" si="12">K141*I141</f>
        <v>0</v>
      </c>
      <c r="N141" s="238"/>
    </row>
    <row r="142" spans="1:14" x14ac:dyDescent="0.25">
      <c r="A142" s="249" t="str">
        <f>PROFESIONALES!$B$32</f>
        <v>Gastos de oficina (Impresión de informes y planos)</v>
      </c>
      <c r="B142" s="237"/>
      <c r="C142" s="237"/>
      <c r="D142" s="237"/>
      <c r="E142" s="237"/>
      <c r="F142" s="237"/>
      <c r="G142" s="238"/>
      <c r="H142" s="68" t="str">
        <f>PROFESIONALES!$D$32</f>
        <v>COPIA</v>
      </c>
      <c r="I142" s="239">
        <f>PROFESIONALES!$F$32</f>
        <v>1500000</v>
      </c>
      <c r="J142" s="238"/>
      <c r="K142" s="250">
        <f>PROFESIONALES!$H$32*PROFESIONALES!E32/Z22</f>
        <v>0.17647058823529413</v>
      </c>
      <c r="L142" s="238"/>
      <c r="M142" s="239">
        <f t="shared" si="12"/>
        <v>264705.8823529412</v>
      </c>
      <c r="N142" s="238"/>
    </row>
    <row r="143" spans="1:14" x14ac:dyDescent="0.25">
      <c r="A143" s="255"/>
      <c r="B143" s="256"/>
      <c r="C143" s="256"/>
      <c r="D143" s="256"/>
      <c r="E143" s="256"/>
      <c r="F143" s="256"/>
      <c r="G143" s="257"/>
      <c r="H143" s="73"/>
      <c r="I143" s="258"/>
      <c r="J143" s="257"/>
      <c r="K143" s="259"/>
      <c r="L143" s="257"/>
      <c r="M143" s="258"/>
      <c r="N143" s="257"/>
    </row>
    <row r="144" spans="1:14" x14ac:dyDescent="0.25">
      <c r="A144" s="249"/>
      <c r="B144" s="237"/>
      <c r="C144" s="237"/>
      <c r="D144" s="237"/>
      <c r="E144" s="237"/>
      <c r="F144" s="237"/>
      <c r="G144" s="238"/>
      <c r="H144" s="68" t="str">
        <f>IF(A144="","",VLOOKUP(A144,AA_Materiales,7,FALSE))</f>
        <v/>
      </c>
      <c r="I144" s="239" t="str">
        <f>IF(A144="","",VLOOKUP(A144,AA_Materiales,8,FALSE))</f>
        <v/>
      </c>
      <c r="J144" s="238"/>
      <c r="K144" s="250"/>
      <c r="L144" s="238"/>
      <c r="M144" s="239" t="str">
        <f>IF(A144="","",I144*K144)</f>
        <v/>
      </c>
      <c r="N144" s="238"/>
    </row>
    <row r="145" spans="1:14" x14ac:dyDescent="0.25">
      <c r="A145" s="69"/>
      <c r="B145" s="69"/>
      <c r="C145" s="69"/>
      <c r="D145" s="69"/>
      <c r="E145" s="69"/>
      <c r="F145" s="69"/>
      <c r="G145" s="69"/>
      <c r="H145" s="69"/>
      <c r="I145" s="69"/>
      <c r="J145" s="69"/>
      <c r="K145" s="240" t="s">
        <v>122</v>
      </c>
      <c r="L145" s="238"/>
      <c r="M145" s="239">
        <f>SUM(M140:N144)</f>
        <v>352941.17647058825</v>
      </c>
      <c r="N145" s="238"/>
    </row>
    <row r="146" spans="1:14" x14ac:dyDescent="0.25">
      <c r="A146" s="69"/>
      <c r="B146" s="69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</row>
    <row r="147" spans="1:14" x14ac:dyDescent="0.25">
      <c r="A147" s="247" t="s">
        <v>123</v>
      </c>
      <c r="B147" s="237"/>
      <c r="C147" s="237"/>
      <c r="D147" s="237"/>
      <c r="E147" s="237"/>
      <c r="F147" s="237"/>
      <c r="G147" s="237"/>
      <c r="H147" s="237"/>
      <c r="I147" s="237"/>
      <c r="J147" s="237"/>
      <c r="K147" s="237"/>
      <c r="L147" s="237"/>
      <c r="M147" s="237"/>
      <c r="N147" s="238"/>
    </row>
    <row r="148" spans="1:14" x14ac:dyDescent="0.25">
      <c r="A148" s="240" t="s">
        <v>76</v>
      </c>
      <c r="B148" s="237"/>
      <c r="C148" s="237"/>
      <c r="D148" s="237"/>
      <c r="E148" s="237"/>
      <c r="F148" s="237"/>
      <c r="G148" s="238"/>
      <c r="H148" s="67" t="s">
        <v>46</v>
      </c>
      <c r="I148" s="248" t="s">
        <v>120</v>
      </c>
      <c r="J148" s="238"/>
      <c r="K148" s="248" t="s">
        <v>47</v>
      </c>
      <c r="L148" s="238"/>
      <c r="M148" s="248" t="s">
        <v>121</v>
      </c>
      <c r="N148" s="238"/>
    </row>
    <row r="149" spans="1:14" x14ac:dyDescent="0.25">
      <c r="A149" s="252" t="str">
        <f>PROFESIONALES!$B$31</f>
        <v>Servicios Públicos</v>
      </c>
      <c r="B149" s="237"/>
      <c r="C149" s="237"/>
      <c r="D149" s="237"/>
      <c r="E149" s="237"/>
      <c r="F149" s="237"/>
      <c r="G149" s="238"/>
      <c r="H149" s="68" t="str">
        <f>PROFESIONALES!$D$31</f>
        <v>MES</v>
      </c>
      <c r="I149" s="239">
        <f>PROFESIONALES!$F$31</f>
        <v>300000</v>
      </c>
      <c r="J149" s="238"/>
      <c r="K149" s="250">
        <f>PROFESIONALES!$H$9/Z22</f>
        <v>0.17647058823529413</v>
      </c>
      <c r="L149" s="251"/>
      <c r="M149" s="239">
        <f>K149*I149</f>
        <v>52941.176470588238</v>
      </c>
      <c r="N149" s="238"/>
    </row>
    <row r="150" spans="1:14" x14ac:dyDescent="0.25">
      <c r="A150" s="252"/>
      <c r="B150" s="237"/>
      <c r="C150" s="237"/>
      <c r="D150" s="237"/>
      <c r="E150" s="237"/>
      <c r="F150" s="237"/>
      <c r="G150" s="238"/>
      <c r="H150" s="68" t="str">
        <f>IF(A150="","",VLOOKUP(A150,AA_Equipos,7,FALSE))</f>
        <v/>
      </c>
      <c r="I150" s="239" t="str">
        <f>IF(A150="","",VLOOKUP(A150,AA_Materiales,8,FALSE))</f>
        <v/>
      </c>
      <c r="J150" s="238"/>
      <c r="K150" s="253"/>
      <c r="L150" s="238"/>
      <c r="M150" s="239" t="str">
        <f>IF(A150="","",I150*K150)</f>
        <v/>
      </c>
      <c r="N150" s="238"/>
    </row>
    <row r="151" spans="1:14" x14ac:dyDescent="0.25">
      <c r="A151" s="249"/>
      <c r="B151" s="237"/>
      <c r="C151" s="237"/>
      <c r="D151" s="237"/>
      <c r="E151" s="237"/>
      <c r="F151" s="237"/>
      <c r="G151" s="238"/>
      <c r="H151" s="68" t="str">
        <f>IF(A151="","",VLOOKUP(A151,AA_Equipos,7,FALSE))</f>
        <v/>
      </c>
      <c r="I151" s="239" t="str">
        <f>IF(A151="","",VLOOKUP(A151,AA_Materiales,8,FALSE))</f>
        <v/>
      </c>
      <c r="J151" s="238"/>
      <c r="K151" s="250"/>
      <c r="L151" s="238"/>
      <c r="M151" s="239" t="str">
        <f>IF(A151="","",I151*K151)</f>
        <v/>
      </c>
      <c r="N151" s="238"/>
    </row>
    <row r="152" spans="1:14" x14ac:dyDescent="0.25">
      <c r="A152" s="249"/>
      <c r="B152" s="237"/>
      <c r="C152" s="237"/>
      <c r="D152" s="237"/>
      <c r="E152" s="237"/>
      <c r="F152" s="237"/>
      <c r="G152" s="238"/>
      <c r="H152" s="68" t="str">
        <f>IF(A152="","",VLOOKUP(A152,AA_Equipos,7,FALSE))</f>
        <v/>
      </c>
      <c r="I152" s="239" t="str">
        <f>IF(A152="","",VLOOKUP(A152,AA_Materiales,8,FALSE))</f>
        <v/>
      </c>
      <c r="J152" s="238"/>
      <c r="K152" s="250"/>
      <c r="L152" s="238"/>
      <c r="M152" s="239" t="str">
        <f>IF(A152="","",I152*K152)</f>
        <v/>
      </c>
      <c r="N152" s="238"/>
    </row>
    <row r="153" spans="1:14" x14ac:dyDescent="0.25">
      <c r="A153" s="249"/>
      <c r="B153" s="237"/>
      <c r="C153" s="237"/>
      <c r="D153" s="237"/>
      <c r="E153" s="237"/>
      <c r="F153" s="237"/>
      <c r="G153" s="238"/>
      <c r="H153" s="68" t="str">
        <f>IF(A153="","",VLOOKUP(A153,AA_Equipos,7,FALSE))</f>
        <v/>
      </c>
      <c r="I153" s="239" t="str">
        <f>IF(A153="","",VLOOKUP(A153,AA_Materiales,8,FALSE))</f>
        <v/>
      </c>
      <c r="J153" s="238"/>
      <c r="K153" s="250"/>
      <c r="L153" s="238"/>
      <c r="M153" s="239" t="str">
        <f>IF(A153="","",I153*K153)</f>
        <v/>
      </c>
      <c r="N153" s="238"/>
    </row>
    <row r="154" spans="1:14" x14ac:dyDescent="0.25">
      <c r="A154" s="69"/>
      <c r="B154" s="69"/>
      <c r="C154" s="69"/>
      <c r="D154" s="69"/>
      <c r="E154" s="69"/>
      <c r="F154" s="69"/>
      <c r="G154" s="69"/>
      <c r="H154" s="69"/>
      <c r="I154" s="69"/>
      <c r="J154" s="69"/>
      <c r="K154" s="240" t="s">
        <v>122</v>
      </c>
      <c r="L154" s="238"/>
      <c r="M154" s="239">
        <f>SUM(M149:N153)</f>
        <v>52941.176470588238</v>
      </c>
      <c r="N154" s="238"/>
    </row>
    <row r="155" spans="1:14" x14ac:dyDescent="0.25">
      <c r="A155" s="69"/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</row>
    <row r="156" spans="1:14" x14ac:dyDescent="0.25">
      <c r="A156" s="247" t="s">
        <v>124</v>
      </c>
      <c r="B156" s="237"/>
      <c r="C156" s="237"/>
      <c r="D156" s="237"/>
      <c r="E156" s="237"/>
      <c r="F156" s="237"/>
      <c r="G156" s="237"/>
      <c r="H156" s="237"/>
      <c r="I156" s="237"/>
      <c r="J156" s="237"/>
      <c r="K156" s="237"/>
      <c r="L156" s="237"/>
      <c r="M156" s="237"/>
      <c r="N156" s="238"/>
    </row>
    <row r="157" spans="1:14" x14ac:dyDescent="0.25">
      <c r="A157" s="240" t="s">
        <v>76</v>
      </c>
      <c r="B157" s="237"/>
      <c r="C157" s="237"/>
      <c r="D157" s="237"/>
      <c r="E157" s="237"/>
      <c r="F157" s="237"/>
      <c r="G157" s="238"/>
      <c r="H157" s="67" t="s">
        <v>46</v>
      </c>
      <c r="I157" s="248" t="s">
        <v>120</v>
      </c>
      <c r="J157" s="238"/>
      <c r="K157" s="248" t="s">
        <v>47</v>
      </c>
      <c r="L157" s="238"/>
      <c r="M157" s="248" t="s">
        <v>121</v>
      </c>
      <c r="N157" s="238"/>
    </row>
    <row r="158" spans="1:14" x14ac:dyDescent="0.25">
      <c r="A158" s="249"/>
      <c r="B158" s="237"/>
      <c r="C158" s="237"/>
      <c r="D158" s="237"/>
      <c r="E158" s="237"/>
      <c r="F158" s="237"/>
      <c r="G158" s="238"/>
      <c r="H158" s="68"/>
      <c r="I158" s="239"/>
      <c r="J158" s="238"/>
      <c r="K158" s="250"/>
      <c r="L158" s="251"/>
      <c r="M158" s="239"/>
      <c r="N158" s="238"/>
    </row>
    <row r="159" spans="1:14" x14ac:dyDescent="0.25">
      <c r="A159" s="252"/>
      <c r="B159" s="237"/>
      <c r="C159" s="237"/>
      <c r="D159" s="237"/>
      <c r="E159" s="237"/>
      <c r="F159" s="237"/>
      <c r="G159" s="238"/>
      <c r="H159" s="68"/>
      <c r="I159" s="239"/>
      <c r="J159" s="238"/>
      <c r="K159" s="253"/>
      <c r="L159" s="238"/>
      <c r="M159" s="239"/>
      <c r="N159" s="238"/>
    </row>
    <row r="160" spans="1:14" x14ac:dyDescent="0.25">
      <c r="A160" s="249"/>
      <c r="B160" s="237"/>
      <c r="C160" s="237"/>
      <c r="D160" s="237"/>
      <c r="E160" s="237"/>
      <c r="F160" s="237"/>
      <c r="G160" s="238"/>
      <c r="H160" s="68"/>
      <c r="I160" s="239"/>
      <c r="J160" s="238"/>
      <c r="K160" s="250"/>
      <c r="L160" s="238"/>
      <c r="M160" s="239" t="str">
        <f>IF(A160="","",I160*K160)</f>
        <v/>
      </c>
      <c r="N160" s="238"/>
    </row>
    <row r="161" spans="1:15" x14ac:dyDescent="0.25">
      <c r="A161" s="249"/>
      <c r="B161" s="237"/>
      <c r="C161" s="237"/>
      <c r="D161" s="237"/>
      <c r="E161" s="237"/>
      <c r="F161" s="237"/>
      <c r="G161" s="238"/>
      <c r="H161" s="68"/>
      <c r="I161" s="239"/>
      <c r="J161" s="238"/>
      <c r="K161" s="250"/>
      <c r="L161" s="238"/>
      <c r="M161" s="239" t="str">
        <f>IF(A161="","",I161*K161)</f>
        <v/>
      </c>
      <c r="N161" s="238"/>
    </row>
    <row r="162" spans="1:15" x14ac:dyDescent="0.25">
      <c r="A162" s="249"/>
      <c r="B162" s="237"/>
      <c r="C162" s="237"/>
      <c r="D162" s="237"/>
      <c r="E162" s="237"/>
      <c r="F162" s="237"/>
      <c r="G162" s="238"/>
      <c r="H162" s="68"/>
      <c r="I162" s="239"/>
      <c r="J162" s="238"/>
      <c r="K162" s="250"/>
      <c r="L162" s="238"/>
      <c r="M162" s="239" t="str">
        <f>IF(A162="","",I162*K162)</f>
        <v/>
      </c>
      <c r="N162" s="238"/>
    </row>
    <row r="163" spans="1:15" x14ac:dyDescent="0.25">
      <c r="A163" s="69"/>
      <c r="B163" s="69"/>
      <c r="C163" s="69"/>
      <c r="D163" s="69"/>
      <c r="E163" s="69"/>
      <c r="F163" s="69"/>
      <c r="G163" s="69"/>
      <c r="H163" s="69"/>
      <c r="I163" s="69"/>
      <c r="J163" s="69"/>
      <c r="K163" s="240" t="s">
        <v>122</v>
      </c>
      <c r="L163" s="238"/>
      <c r="M163" s="239">
        <f>SUM(M158:N162)</f>
        <v>0</v>
      </c>
      <c r="N163" s="238"/>
    </row>
    <row r="164" spans="1:15" x14ac:dyDescent="0.25">
      <c r="A164" s="69"/>
      <c r="B164" s="69"/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</row>
    <row r="165" spans="1:15" x14ac:dyDescent="0.25">
      <c r="A165" s="247" t="s">
        <v>125</v>
      </c>
      <c r="B165" s="237"/>
      <c r="C165" s="237"/>
      <c r="D165" s="237"/>
      <c r="E165" s="237"/>
      <c r="F165" s="237"/>
      <c r="G165" s="237"/>
      <c r="H165" s="237"/>
      <c r="I165" s="237"/>
      <c r="J165" s="237"/>
      <c r="K165" s="237"/>
      <c r="L165" s="237"/>
      <c r="M165" s="237"/>
      <c r="N165" s="238"/>
    </row>
    <row r="166" spans="1:15" x14ac:dyDescent="0.25">
      <c r="A166" s="240" t="s">
        <v>76</v>
      </c>
      <c r="B166" s="237"/>
      <c r="C166" s="237"/>
      <c r="D166" s="237"/>
      <c r="E166" s="237"/>
      <c r="F166" s="237"/>
      <c r="G166" s="238"/>
      <c r="H166" s="67" t="s">
        <v>46</v>
      </c>
      <c r="I166" s="248" t="s">
        <v>120</v>
      </c>
      <c r="J166" s="238"/>
      <c r="K166" s="70" t="s">
        <v>126</v>
      </c>
      <c r="L166" s="71" t="s">
        <v>128</v>
      </c>
      <c r="M166" s="248" t="s">
        <v>121</v>
      </c>
      <c r="N166" s="238"/>
    </row>
    <row r="167" spans="1:15" x14ac:dyDescent="0.25">
      <c r="A167" s="236" t="str">
        <f>PROFESIONALES!$B$9</f>
        <v>Director de consultoria</v>
      </c>
      <c r="B167" s="237"/>
      <c r="C167" s="237"/>
      <c r="D167" s="237"/>
      <c r="E167" s="237"/>
      <c r="F167" s="237"/>
      <c r="G167" s="238"/>
      <c r="H167" s="68" t="s">
        <v>80</v>
      </c>
      <c r="I167" s="239">
        <f>PROFESIONALES!$F$9</f>
        <v>7691776</v>
      </c>
      <c r="J167" s="238"/>
      <c r="K167" s="45">
        <f>PROFESIONALES!I$24</f>
        <v>2</v>
      </c>
      <c r="L167" s="72">
        <f>V6*Z6*30</f>
        <v>1.0588235294117649</v>
      </c>
      <c r="M167" s="239">
        <f t="shared" ref="M167:M176" si="13">I167*K167*L167/30</f>
        <v>542948.8941176472</v>
      </c>
      <c r="N167" s="238"/>
    </row>
    <row r="168" spans="1:15" x14ac:dyDescent="0.25">
      <c r="A168" s="236" t="str">
        <f>PROFESIONALES!$B$12</f>
        <v>Especialista Hidráulico</v>
      </c>
      <c r="B168" s="237"/>
      <c r="C168" s="237"/>
      <c r="D168" s="237"/>
      <c r="E168" s="237"/>
      <c r="F168" s="237"/>
      <c r="G168" s="238"/>
      <c r="H168" s="68" t="s">
        <v>80</v>
      </c>
      <c r="I168" s="239">
        <f>PROFESIONALES!$F$12</f>
        <v>6356217</v>
      </c>
      <c r="J168" s="238"/>
      <c r="K168" s="45">
        <f>PROFESIONALES!I$24</f>
        <v>2</v>
      </c>
      <c r="L168" s="45">
        <f>V9*Z9*30</f>
        <v>3.6000000000000005</v>
      </c>
      <c r="M168" s="239">
        <f t="shared" si="13"/>
        <v>1525492.0800000003</v>
      </c>
      <c r="N168" s="238"/>
    </row>
    <row r="169" spans="1:15" x14ac:dyDescent="0.25">
      <c r="A169" s="236" t="str">
        <f>PROFESIONALES!$B$15</f>
        <v>Profesional de apoyo</v>
      </c>
      <c r="B169" s="237"/>
      <c r="C169" s="237"/>
      <c r="D169" s="237"/>
      <c r="E169" s="237"/>
      <c r="F169" s="237"/>
      <c r="G169" s="238"/>
      <c r="H169" s="68" t="s">
        <v>80</v>
      </c>
      <c r="I169" s="239">
        <f>PROFESIONALES!$F$15</f>
        <v>5582300</v>
      </c>
      <c r="J169" s="238"/>
      <c r="K169" s="45">
        <f>PROFESIONALES!I$24</f>
        <v>2</v>
      </c>
      <c r="L169" s="45">
        <f>V12*Z12*30</f>
        <v>5.2941176470588234</v>
      </c>
      <c r="M169" s="239">
        <f t="shared" si="13"/>
        <v>1970223.5294117646</v>
      </c>
      <c r="N169" s="238"/>
    </row>
    <row r="170" spans="1:15" x14ac:dyDescent="0.25">
      <c r="A170" s="236" t="str">
        <f>PROFESIONALES!$B$10</f>
        <v>Especialista Estructural</v>
      </c>
      <c r="B170" s="237"/>
      <c r="C170" s="237"/>
      <c r="D170" s="237"/>
      <c r="E170" s="237"/>
      <c r="F170" s="237"/>
      <c r="G170" s="238"/>
      <c r="H170" s="68" t="s">
        <v>80</v>
      </c>
      <c r="I170" s="239">
        <f>PROFESIONALES!$F$10</f>
        <v>6573098</v>
      </c>
      <c r="J170" s="238"/>
      <c r="K170" s="45">
        <f>PROFESIONALES!I$24</f>
        <v>2</v>
      </c>
      <c r="L170" s="45">
        <f>V7*Z7*30</f>
        <v>0.90000000000000013</v>
      </c>
      <c r="M170" s="239">
        <f t="shared" si="13"/>
        <v>394385.88000000006</v>
      </c>
      <c r="N170" s="238"/>
    </row>
    <row r="171" spans="1:15" x14ac:dyDescent="0.25">
      <c r="A171" s="236" t="str">
        <f>PROFESIONALES!$B$14</f>
        <v xml:space="preserve">Especialista Veterinario </v>
      </c>
      <c r="B171" s="237"/>
      <c r="C171" s="237"/>
      <c r="D171" s="237"/>
      <c r="E171" s="237"/>
      <c r="F171" s="237"/>
      <c r="G171" s="238"/>
      <c r="H171" s="68" t="s">
        <v>80</v>
      </c>
      <c r="I171" s="239">
        <f>PROFESIONALES!$F$14</f>
        <v>6356217</v>
      </c>
      <c r="J171" s="238"/>
      <c r="K171" s="45">
        <f>PROFESIONALES!I$24</f>
        <v>2</v>
      </c>
      <c r="L171" s="45">
        <f>V11*Z11*30</f>
        <v>4.5000000000000009</v>
      </c>
      <c r="M171" s="239">
        <f t="shared" si="13"/>
        <v>1906865.1000000006</v>
      </c>
      <c r="N171" s="238"/>
      <c r="O171" s="154"/>
    </row>
    <row r="172" spans="1:15" x14ac:dyDescent="0.25">
      <c r="A172" s="236" t="str">
        <f>PROFESIONALES!$B$16</f>
        <v>Topógrafo</v>
      </c>
      <c r="B172" s="237"/>
      <c r="C172" s="237"/>
      <c r="D172" s="237"/>
      <c r="E172" s="237"/>
      <c r="F172" s="237"/>
      <c r="G172" s="238"/>
      <c r="H172" s="68" t="s">
        <v>80</v>
      </c>
      <c r="I172" s="239">
        <f>PROFESIONALES!$F$16</f>
        <v>4183335</v>
      </c>
      <c r="J172" s="238"/>
      <c r="K172" s="45">
        <f>PROFESIONALES!I$24</f>
        <v>2</v>
      </c>
      <c r="L172" s="45">
        <f>V13*Z13*30</f>
        <v>2.6999999999999997</v>
      </c>
      <c r="M172" s="239">
        <f t="shared" si="13"/>
        <v>753000.29999999993</v>
      </c>
      <c r="N172" s="238"/>
    </row>
    <row r="173" spans="1:15" x14ac:dyDescent="0.25">
      <c r="A173" s="236" t="str">
        <f>PROFESIONALES!$B$17</f>
        <v>Profesional Ambiental</v>
      </c>
      <c r="B173" s="237"/>
      <c r="C173" s="237"/>
      <c r="D173" s="237"/>
      <c r="E173" s="237"/>
      <c r="F173" s="237"/>
      <c r="G173" s="238"/>
      <c r="H173" s="68" t="s">
        <v>80</v>
      </c>
      <c r="I173" s="239">
        <f>PROFESIONALES!$F$17</f>
        <v>5582300</v>
      </c>
      <c r="J173" s="238"/>
      <c r="K173" s="45">
        <f>PROFESIONALES!I$24</f>
        <v>2</v>
      </c>
      <c r="L173" s="45">
        <f>V14*Z14*30</f>
        <v>4.05</v>
      </c>
      <c r="M173" s="239">
        <f t="shared" si="13"/>
        <v>1507221</v>
      </c>
      <c r="N173" s="238"/>
    </row>
    <row r="174" spans="1:15" x14ac:dyDescent="0.25">
      <c r="A174" s="236" t="str">
        <f>PROFESIONALES!$B$18</f>
        <v>Profesional Arquitecto</v>
      </c>
      <c r="B174" s="237"/>
      <c r="C174" s="237"/>
      <c r="D174" s="237"/>
      <c r="E174" s="237"/>
      <c r="F174" s="237"/>
      <c r="G174" s="238"/>
      <c r="H174" s="68" t="s">
        <v>80</v>
      </c>
      <c r="I174" s="239">
        <f>PROFESIONALES!$F$18</f>
        <v>5582300</v>
      </c>
      <c r="J174" s="238"/>
      <c r="K174" s="45">
        <f>PROFESIONALES!I$24</f>
        <v>2</v>
      </c>
      <c r="L174" s="45">
        <f>V15*Z15*30</f>
        <v>2.0250000000000004</v>
      </c>
      <c r="M174" s="239">
        <f t="shared" si="13"/>
        <v>753610.50000000012</v>
      </c>
      <c r="N174" s="238"/>
    </row>
    <row r="175" spans="1:15" x14ac:dyDescent="0.25">
      <c r="A175" s="236" t="str">
        <f>PROFESIONALES!$B$19</f>
        <v>Profesional de presupuestos</v>
      </c>
      <c r="B175" s="237"/>
      <c r="C175" s="237"/>
      <c r="D175" s="237"/>
      <c r="E175" s="237"/>
      <c r="F175" s="237"/>
      <c r="G175" s="238"/>
      <c r="H175" s="68" t="s">
        <v>80</v>
      </c>
      <c r="I175" s="239">
        <f>PROFESIONALES!$F$19</f>
        <v>5582300</v>
      </c>
      <c r="J175" s="238"/>
      <c r="K175" s="45">
        <f>PROFESIONALES!I$24</f>
        <v>2</v>
      </c>
      <c r="L175" s="45">
        <f>V17*Z17*30</f>
        <v>0.90000000000000013</v>
      </c>
      <c r="M175" s="239">
        <f t="shared" si="13"/>
        <v>334938.00000000006</v>
      </c>
      <c r="N175" s="238"/>
    </row>
    <row r="176" spans="1:15" x14ac:dyDescent="0.25">
      <c r="A176" s="278" t="str">
        <f>PROFESIONALES!B14</f>
        <v xml:space="preserve">Especialista Veterinario </v>
      </c>
      <c r="B176" s="279"/>
      <c r="C176" s="279"/>
      <c r="D176" s="279"/>
      <c r="E176" s="279"/>
      <c r="F176" s="279"/>
      <c r="G176" s="280"/>
      <c r="H176" s="68" t="s">
        <v>80</v>
      </c>
      <c r="I176" s="239">
        <f>PROFESIONALES!F14</f>
        <v>6356217</v>
      </c>
      <c r="J176" s="238"/>
      <c r="K176" s="45">
        <f>PROFESIONALES!I$24</f>
        <v>2</v>
      </c>
      <c r="L176" s="45">
        <v>0.19999746791632178</v>
      </c>
      <c r="M176" s="239">
        <f t="shared" si="13"/>
        <v>84748.487035111946</v>
      </c>
      <c r="N176" s="238"/>
    </row>
    <row r="177" spans="1:14" x14ac:dyDescent="0.25">
      <c r="A177" s="69"/>
      <c r="B177" s="69"/>
      <c r="C177" s="69"/>
      <c r="D177" s="69"/>
      <c r="E177" s="69"/>
      <c r="F177" s="69"/>
      <c r="G177" s="69"/>
      <c r="H177" s="69"/>
      <c r="I177" s="69"/>
      <c r="J177" s="69"/>
      <c r="K177" s="240" t="s">
        <v>122</v>
      </c>
      <c r="L177" s="238"/>
      <c r="M177" s="239">
        <f>SUM(M167:N176)</f>
        <v>9773433.7705645245</v>
      </c>
      <c r="N177" s="238"/>
    </row>
    <row r="179" spans="1:14" x14ac:dyDescent="0.25">
      <c r="A179" s="268" t="str">
        <f>Productos!$B$12</f>
        <v>Estudio de topografia</v>
      </c>
      <c r="B179" s="242"/>
      <c r="C179" s="242"/>
      <c r="D179" s="242"/>
      <c r="E179" s="242"/>
      <c r="F179" s="242"/>
      <c r="G179" s="242"/>
      <c r="H179" s="242"/>
      <c r="I179" s="242"/>
      <c r="J179" s="242"/>
      <c r="K179" s="242"/>
      <c r="L179" s="242"/>
      <c r="M179" s="242"/>
      <c r="N179" s="243"/>
    </row>
    <row r="180" spans="1:14" x14ac:dyDescent="0.25">
      <c r="A180" s="244"/>
      <c r="B180" s="245"/>
      <c r="C180" s="245"/>
      <c r="D180" s="245"/>
      <c r="E180" s="245"/>
      <c r="F180" s="245"/>
      <c r="G180" s="245"/>
      <c r="H180" s="245"/>
      <c r="I180" s="245"/>
      <c r="J180" s="245"/>
      <c r="K180" s="245"/>
      <c r="L180" s="245"/>
      <c r="M180" s="245"/>
      <c r="N180" s="246"/>
    </row>
    <row r="181" spans="1:14" x14ac:dyDescent="0.25">
      <c r="A181" s="39">
        <v>1</v>
      </c>
      <c r="B181" s="39">
        <v>2</v>
      </c>
      <c r="C181" s="39">
        <v>3</v>
      </c>
      <c r="D181" s="39">
        <v>4</v>
      </c>
      <c r="E181" s="39">
        <v>5</v>
      </c>
      <c r="F181" s="39">
        <v>6</v>
      </c>
      <c r="G181" s="39">
        <v>7</v>
      </c>
      <c r="H181" s="39">
        <v>8</v>
      </c>
      <c r="I181" s="39">
        <v>9</v>
      </c>
      <c r="J181" s="39">
        <v>10</v>
      </c>
      <c r="K181" s="39">
        <v>11</v>
      </c>
      <c r="L181" s="39">
        <v>12</v>
      </c>
      <c r="M181" s="39">
        <v>13</v>
      </c>
      <c r="N181" s="39">
        <v>14</v>
      </c>
    </row>
    <row r="182" spans="1:14" ht="15.75" x14ac:dyDescent="0.3">
      <c r="A182" s="84" t="s">
        <v>134</v>
      </c>
      <c r="B182" s="59" t="str">
        <f>A179</f>
        <v>Estudio de topografia</v>
      </c>
      <c r="C182" s="85" t="s">
        <v>113</v>
      </c>
      <c r="D182" s="60" t="s">
        <v>127</v>
      </c>
      <c r="E182" s="86" t="s">
        <v>114</v>
      </c>
      <c r="F182" s="61">
        <f>H182+J182+L182+N182</f>
        <v>15875623.427058823</v>
      </c>
      <c r="G182" s="86" t="s">
        <v>115</v>
      </c>
      <c r="H182" s="62">
        <f>M199</f>
        <v>4740441.176470588</v>
      </c>
      <c r="I182" s="86" t="s">
        <v>116</v>
      </c>
      <c r="J182" s="63">
        <f>M190</f>
        <v>3052941.1764705884</v>
      </c>
      <c r="K182" s="86" t="s">
        <v>117</v>
      </c>
      <c r="L182" s="62">
        <f>M208</f>
        <v>2575000</v>
      </c>
      <c r="M182" s="86" t="s">
        <v>118</v>
      </c>
      <c r="N182" s="64">
        <f>M217</f>
        <v>5507241.0741176466</v>
      </c>
    </row>
    <row r="183" spans="1:14" x14ac:dyDescent="0.25">
      <c r="A183" s="65"/>
      <c r="B183" s="65"/>
      <c r="C183" s="65"/>
      <c r="D183" s="65"/>
      <c r="E183" s="65"/>
      <c r="F183" s="65"/>
      <c r="G183" s="65"/>
      <c r="H183" s="66"/>
      <c r="I183" s="66"/>
      <c r="J183" s="65"/>
      <c r="K183" s="65"/>
      <c r="L183" s="65"/>
      <c r="M183" s="65"/>
      <c r="N183" s="65"/>
    </row>
    <row r="184" spans="1:14" x14ac:dyDescent="0.25">
      <c r="A184" s="247" t="s">
        <v>119</v>
      </c>
      <c r="B184" s="237"/>
      <c r="C184" s="237"/>
      <c r="D184" s="237"/>
      <c r="E184" s="237"/>
      <c r="F184" s="237"/>
      <c r="G184" s="237"/>
      <c r="H184" s="237"/>
      <c r="I184" s="237"/>
      <c r="J184" s="237"/>
      <c r="K184" s="237"/>
      <c r="L184" s="237"/>
      <c r="M184" s="237"/>
      <c r="N184" s="238"/>
    </row>
    <row r="185" spans="1:14" x14ac:dyDescent="0.25">
      <c r="A185" s="240" t="s">
        <v>76</v>
      </c>
      <c r="B185" s="237"/>
      <c r="C185" s="237"/>
      <c r="D185" s="237"/>
      <c r="E185" s="237"/>
      <c r="F185" s="237"/>
      <c r="G185" s="238"/>
      <c r="H185" s="67" t="s">
        <v>46</v>
      </c>
      <c r="I185" s="248" t="s">
        <v>120</v>
      </c>
      <c r="J185" s="238"/>
      <c r="K185" s="248" t="s">
        <v>47</v>
      </c>
      <c r="L185" s="238"/>
      <c r="M185" s="248" t="s">
        <v>121</v>
      </c>
      <c r="N185" s="238"/>
    </row>
    <row r="186" spans="1:14" x14ac:dyDescent="0.25">
      <c r="A186" s="249" t="str">
        <f>PROFESIONALES!$B$30</f>
        <v>Alquiler oficina</v>
      </c>
      <c r="B186" s="237"/>
      <c r="C186" s="237"/>
      <c r="D186" s="237"/>
      <c r="E186" s="237"/>
      <c r="F186" s="237"/>
      <c r="G186" s="238"/>
      <c r="H186" s="68" t="str">
        <f>PROFESIONALES!$D$30</f>
        <v>MES</v>
      </c>
      <c r="I186" s="239">
        <f>PROFESIONALES!$F$30</f>
        <v>500000</v>
      </c>
      <c r="J186" s="238"/>
      <c r="K186" s="250">
        <f>PROFESIONALES!H30/APUS!Z22</f>
        <v>0.17647058823529413</v>
      </c>
      <c r="L186" s="238"/>
      <c r="M186" s="239">
        <f>K186*I186</f>
        <v>88235.294117647063</v>
      </c>
      <c r="N186" s="238"/>
    </row>
    <row r="187" spans="1:14" x14ac:dyDescent="0.25">
      <c r="A187" s="249" t="str">
        <f>PROFESIONALES!$B$32</f>
        <v>Gastos de oficina (Impresión de informes y planos)</v>
      </c>
      <c r="B187" s="237"/>
      <c r="C187" s="237"/>
      <c r="D187" s="237"/>
      <c r="E187" s="237"/>
      <c r="F187" s="237"/>
      <c r="G187" s="238"/>
      <c r="H187" s="68" t="str">
        <f>PROFESIONALES!$D$32</f>
        <v>COPIA</v>
      </c>
      <c r="I187" s="239">
        <f>PROFESIONALES!$F$32</f>
        <v>1500000</v>
      </c>
      <c r="J187" s="238"/>
      <c r="K187" s="250">
        <f>PROFESIONALES!$H$32*PROFESIONALES!E32/Z22</f>
        <v>0.17647058823529413</v>
      </c>
      <c r="L187" s="238"/>
      <c r="M187" s="239">
        <f t="shared" ref="M187:M188" si="14">K187*I187</f>
        <v>264705.8823529412</v>
      </c>
      <c r="N187" s="238"/>
    </row>
    <row r="188" spans="1:14" x14ac:dyDescent="0.25">
      <c r="A188" s="264" t="str">
        <f>PROFESIONALES!B36</f>
        <v>Materialziacion y pocisionamiento de punto geodesico en zona rural</v>
      </c>
      <c r="B188" s="265"/>
      <c r="C188" s="265"/>
      <c r="D188" s="265"/>
      <c r="E188" s="265"/>
      <c r="F188" s="265"/>
      <c r="G188" s="265"/>
      <c r="H188" s="74" t="str">
        <f>PROFESIONALES!$D$36</f>
        <v>UNIDAD</v>
      </c>
      <c r="I188" s="266">
        <f>PROFESIONALES!$F$36</f>
        <v>900000</v>
      </c>
      <c r="J188" s="265"/>
      <c r="K188" s="267">
        <f>PROFESIONALES!$E$36</f>
        <v>3</v>
      </c>
      <c r="L188" s="265"/>
      <c r="M188" s="239">
        <f t="shared" si="14"/>
        <v>2700000</v>
      </c>
      <c r="N188" s="238"/>
    </row>
    <row r="189" spans="1:14" x14ac:dyDescent="0.25">
      <c r="A189" s="249"/>
      <c r="B189" s="237"/>
      <c r="C189" s="237"/>
      <c r="D189" s="237"/>
      <c r="E189" s="237"/>
      <c r="F189" s="237"/>
      <c r="G189" s="238"/>
      <c r="H189" s="68" t="str">
        <f>IF(A189="","",VLOOKUP(A189,AA_Materiales,7,FALSE))</f>
        <v/>
      </c>
      <c r="I189" s="239" t="str">
        <f>IF(A189="","",VLOOKUP(A189,AA_Materiales,8,FALSE))</f>
        <v/>
      </c>
      <c r="J189" s="238"/>
      <c r="K189" s="250"/>
      <c r="L189" s="238"/>
      <c r="M189" s="239" t="str">
        <f>IF(A189="","",I189*K189)</f>
        <v/>
      </c>
      <c r="N189" s="238"/>
    </row>
    <row r="190" spans="1:14" x14ac:dyDescent="0.25">
      <c r="A190" s="69"/>
      <c r="B190" s="69"/>
      <c r="C190" s="69"/>
      <c r="D190" s="69"/>
      <c r="E190" s="69"/>
      <c r="F190" s="69"/>
      <c r="G190" s="69"/>
      <c r="H190" s="69"/>
      <c r="I190" s="69"/>
      <c r="J190" s="69"/>
      <c r="K190" s="240" t="s">
        <v>122</v>
      </c>
      <c r="L190" s="238"/>
      <c r="M190" s="239">
        <f>SUM(M186:N189)</f>
        <v>3052941.1764705884</v>
      </c>
      <c r="N190" s="238"/>
    </row>
    <row r="191" spans="1:14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</row>
    <row r="192" spans="1:14" x14ac:dyDescent="0.25">
      <c r="A192" s="247" t="s">
        <v>123</v>
      </c>
      <c r="B192" s="237"/>
      <c r="C192" s="237"/>
      <c r="D192" s="237"/>
      <c r="E192" s="237"/>
      <c r="F192" s="237"/>
      <c r="G192" s="237"/>
      <c r="H192" s="237"/>
      <c r="I192" s="237"/>
      <c r="J192" s="237"/>
      <c r="K192" s="237"/>
      <c r="L192" s="237"/>
      <c r="M192" s="237"/>
      <c r="N192" s="238"/>
    </row>
    <row r="193" spans="1:14" x14ac:dyDescent="0.25">
      <c r="A193" s="240" t="s">
        <v>76</v>
      </c>
      <c r="B193" s="237"/>
      <c r="C193" s="237"/>
      <c r="D193" s="237"/>
      <c r="E193" s="237"/>
      <c r="F193" s="237"/>
      <c r="G193" s="238"/>
      <c r="H193" s="67" t="s">
        <v>46</v>
      </c>
      <c r="I193" s="248" t="s">
        <v>120</v>
      </c>
      <c r="J193" s="238"/>
      <c r="K193" s="248" t="s">
        <v>47</v>
      </c>
      <c r="L193" s="238"/>
      <c r="M193" s="248" t="s">
        <v>121</v>
      </c>
      <c r="N193" s="238"/>
    </row>
    <row r="194" spans="1:14" x14ac:dyDescent="0.25">
      <c r="A194" s="252" t="str">
        <f>PROFESIONALES!$B$31</f>
        <v>Servicios Públicos</v>
      </c>
      <c r="B194" s="237"/>
      <c r="C194" s="237"/>
      <c r="D194" s="237"/>
      <c r="E194" s="237"/>
      <c r="F194" s="237"/>
      <c r="G194" s="238"/>
      <c r="H194" s="68" t="str">
        <f>PROFESIONALES!$D$31</f>
        <v>MES</v>
      </c>
      <c r="I194" s="239">
        <f>PROFESIONALES!$F$31</f>
        <v>300000</v>
      </c>
      <c r="J194" s="238"/>
      <c r="K194" s="250">
        <f>PROFESIONALES!$H$9/Z22</f>
        <v>0.17647058823529413</v>
      </c>
      <c r="L194" s="251"/>
      <c r="M194" s="239">
        <f>K194*I194</f>
        <v>52941.176470588238</v>
      </c>
      <c r="N194" s="254"/>
    </row>
    <row r="195" spans="1:14" x14ac:dyDescent="0.25">
      <c r="A195" s="249" t="str">
        <f>PROFESIONALES!B37</f>
        <v>Alquiler de equipo de topografía (RTK, Estación Total y Dron)</v>
      </c>
      <c r="B195" s="237"/>
      <c r="C195" s="237"/>
      <c r="D195" s="237"/>
      <c r="E195" s="237"/>
      <c r="F195" s="237"/>
      <c r="G195" s="238"/>
      <c r="H195" s="68" t="str">
        <f>PROFESIONALES!D37</f>
        <v>MES</v>
      </c>
      <c r="I195" s="239">
        <f>PROFESIONALES!F37</f>
        <v>6250000</v>
      </c>
      <c r="J195" s="238"/>
      <c r="K195" s="250">
        <f>PROFESIONALES!H37</f>
        <v>0.75</v>
      </c>
      <c r="L195" s="238"/>
      <c r="M195" s="239">
        <f>K195*I195</f>
        <v>4687500</v>
      </c>
      <c r="N195" s="254"/>
    </row>
    <row r="196" spans="1:14" x14ac:dyDescent="0.25">
      <c r="A196" s="249"/>
      <c r="B196" s="237"/>
      <c r="C196" s="237"/>
      <c r="D196" s="237"/>
      <c r="E196" s="237"/>
      <c r="F196" s="237"/>
      <c r="G196" s="238"/>
      <c r="H196" s="68" t="str">
        <f>IF(A196="","",VLOOKUP(A196,AA_Equipos,7,FALSE))</f>
        <v/>
      </c>
      <c r="I196" s="239" t="str">
        <f>IF(A196="","",VLOOKUP(A196,AA_Materiales,8,FALSE))</f>
        <v/>
      </c>
      <c r="J196" s="238"/>
      <c r="K196" s="250"/>
      <c r="L196" s="238"/>
      <c r="M196" s="239" t="str">
        <f>IF(A196="","",I196*K196)</f>
        <v/>
      </c>
      <c r="N196" s="238"/>
    </row>
    <row r="197" spans="1:14" x14ac:dyDescent="0.25">
      <c r="A197" s="249"/>
      <c r="B197" s="237"/>
      <c r="C197" s="237"/>
      <c r="D197" s="237"/>
      <c r="E197" s="237"/>
      <c r="F197" s="237"/>
      <c r="G197" s="238"/>
      <c r="H197" s="68" t="str">
        <f>IF(A197="","",VLOOKUP(A197,AA_Equipos,7,FALSE))</f>
        <v/>
      </c>
      <c r="I197" s="239" t="str">
        <f>IF(A197="","",VLOOKUP(A197,AA_Materiales,8,FALSE))</f>
        <v/>
      </c>
      <c r="J197" s="238"/>
      <c r="K197" s="250"/>
      <c r="L197" s="238"/>
      <c r="M197" s="239" t="str">
        <f>IF(A197="","",I197*K197)</f>
        <v/>
      </c>
      <c r="N197" s="238"/>
    </row>
    <row r="198" spans="1:14" x14ac:dyDescent="0.25">
      <c r="A198" s="249"/>
      <c r="B198" s="237"/>
      <c r="C198" s="237"/>
      <c r="D198" s="237"/>
      <c r="E198" s="237"/>
      <c r="F198" s="237"/>
      <c r="G198" s="238"/>
      <c r="H198" s="68" t="str">
        <f>IF(A198="","",VLOOKUP(A198,AA_Equipos,7,FALSE))</f>
        <v/>
      </c>
      <c r="I198" s="239" t="str">
        <f>IF(A198="","",VLOOKUP(A198,AA_Materiales,8,FALSE))</f>
        <v/>
      </c>
      <c r="J198" s="238"/>
      <c r="K198" s="250"/>
      <c r="L198" s="238"/>
      <c r="M198" s="239" t="str">
        <f>IF(A198="","",I198*K198)</f>
        <v/>
      </c>
      <c r="N198" s="238"/>
    </row>
    <row r="199" spans="1:14" x14ac:dyDescent="0.25">
      <c r="A199" s="69"/>
      <c r="B199" s="69"/>
      <c r="C199" s="69"/>
      <c r="D199" s="69"/>
      <c r="E199" s="69"/>
      <c r="F199" s="69"/>
      <c r="G199" s="69"/>
      <c r="H199" s="69"/>
      <c r="I199" s="69"/>
      <c r="J199" s="69"/>
      <c r="K199" s="240" t="s">
        <v>122</v>
      </c>
      <c r="L199" s="238"/>
      <c r="M199" s="239">
        <f>SUM(M194:N198)</f>
        <v>4740441.176470588</v>
      </c>
      <c r="N199" s="238"/>
    </row>
    <row r="200" spans="1:14" x14ac:dyDescent="0.25">
      <c r="A200" s="69"/>
      <c r="B200" s="69"/>
      <c r="C200" s="69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</row>
    <row r="201" spans="1:14" x14ac:dyDescent="0.25">
      <c r="A201" s="247" t="s">
        <v>124</v>
      </c>
      <c r="B201" s="237"/>
      <c r="C201" s="237"/>
      <c r="D201" s="237"/>
      <c r="E201" s="237"/>
      <c r="F201" s="237"/>
      <c r="G201" s="237"/>
      <c r="H201" s="237"/>
      <c r="I201" s="237"/>
      <c r="J201" s="237"/>
      <c r="K201" s="237"/>
      <c r="L201" s="237"/>
      <c r="M201" s="237"/>
      <c r="N201" s="238"/>
    </row>
    <row r="202" spans="1:14" x14ac:dyDescent="0.25">
      <c r="A202" s="240" t="s">
        <v>76</v>
      </c>
      <c r="B202" s="237"/>
      <c r="C202" s="237"/>
      <c r="D202" s="237"/>
      <c r="E202" s="237"/>
      <c r="F202" s="237"/>
      <c r="G202" s="238"/>
      <c r="H202" s="67" t="s">
        <v>46</v>
      </c>
      <c r="I202" s="248" t="s">
        <v>120</v>
      </c>
      <c r="J202" s="238"/>
      <c r="K202" s="248" t="s">
        <v>47</v>
      </c>
      <c r="L202" s="238"/>
      <c r="M202" s="248" t="s">
        <v>121</v>
      </c>
      <c r="N202" s="238"/>
    </row>
    <row r="203" spans="1:14" x14ac:dyDescent="0.25">
      <c r="A203" s="249" t="str">
        <f>PROFESIONALES!$B$33</f>
        <v>Vehículo camionetas pick up  doble cabina</v>
      </c>
      <c r="B203" s="237"/>
      <c r="C203" s="237"/>
      <c r="D203" s="237"/>
      <c r="E203" s="237"/>
      <c r="F203" s="237"/>
      <c r="G203" s="238"/>
      <c r="H203" s="68" t="str">
        <f>PROFESIONALES!$D$33</f>
        <v>MES</v>
      </c>
      <c r="I203" s="239">
        <f>PROFESIONALES!$F$33</f>
        <v>5800000</v>
      </c>
      <c r="J203" s="238"/>
      <c r="K203" s="250">
        <f>PROFESIONALES!$H$33/4</f>
        <v>0.25</v>
      </c>
      <c r="L203" s="251"/>
      <c r="M203" s="239">
        <f>K203*I203</f>
        <v>1450000</v>
      </c>
      <c r="N203" s="254"/>
    </row>
    <row r="204" spans="1:14" ht="15" customHeight="1" x14ac:dyDescent="0.25">
      <c r="A204" s="252" t="str">
        <f>PROFESIONALES!$B$38</f>
        <v>Visitas de inspección</v>
      </c>
      <c r="B204" s="237"/>
      <c r="C204" s="237"/>
      <c r="D204" s="237"/>
      <c r="E204" s="237"/>
      <c r="F204" s="237"/>
      <c r="G204" s="238"/>
      <c r="H204" s="68" t="str">
        <f>PROFESIONALES!$D$38</f>
        <v>UNIDAD</v>
      </c>
      <c r="I204" s="239">
        <f>PROFESIONALES!$F$38</f>
        <v>1500000</v>
      </c>
      <c r="J204" s="238"/>
      <c r="K204" s="250">
        <f>PROFESIONALES!$E$38/4</f>
        <v>0.75</v>
      </c>
      <c r="L204" s="251"/>
      <c r="M204" s="239">
        <f t="shared" ref="M204:M206" si="15">K204*I204</f>
        <v>1125000</v>
      </c>
      <c r="N204" s="254"/>
    </row>
    <row r="205" spans="1:14" x14ac:dyDescent="0.25">
      <c r="A205" s="249"/>
      <c r="B205" s="237"/>
      <c r="C205" s="237"/>
      <c r="D205" s="237"/>
      <c r="E205" s="237"/>
      <c r="F205" s="237"/>
      <c r="G205" s="238"/>
      <c r="H205" s="68"/>
      <c r="I205" s="239"/>
      <c r="J205" s="238"/>
      <c r="K205" s="250"/>
      <c r="L205" s="238"/>
      <c r="M205" s="239">
        <f t="shared" si="15"/>
        <v>0</v>
      </c>
      <c r="N205" s="254"/>
    </row>
    <row r="206" spans="1:14" x14ac:dyDescent="0.25">
      <c r="A206" s="249"/>
      <c r="B206" s="237"/>
      <c r="C206" s="237"/>
      <c r="D206" s="237"/>
      <c r="E206" s="237"/>
      <c r="F206" s="237"/>
      <c r="G206" s="238"/>
      <c r="H206" s="68"/>
      <c r="I206" s="239"/>
      <c r="J206" s="238"/>
      <c r="K206" s="250"/>
      <c r="L206" s="238"/>
      <c r="M206" s="239">
        <f t="shared" si="15"/>
        <v>0</v>
      </c>
      <c r="N206" s="254"/>
    </row>
    <row r="207" spans="1:14" x14ac:dyDescent="0.25">
      <c r="A207" s="249"/>
      <c r="B207" s="237"/>
      <c r="C207" s="237"/>
      <c r="D207" s="237"/>
      <c r="E207" s="237"/>
      <c r="F207" s="237"/>
      <c r="G207" s="238"/>
      <c r="H207" s="68"/>
      <c r="I207" s="239"/>
      <c r="J207" s="238"/>
      <c r="K207" s="250"/>
      <c r="L207" s="238"/>
      <c r="M207" s="239" t="str">
        <f>IF(A207="","",I207*K207)</f>
        <v/>
      </c>
      <c r="N207" s="238"/>
    </row>
    <row r="208" spans="1:14" x14ac:dyDescent="0.25">
      <c r="A208" s="69"/>
      <c r="B208" s="69"/>
      <c r="C208" s="69"/>
      <c r="D208" s="69"/>
      <c r="E208" s="69"/>
      <c r="F208" s="69"/>
      <c r="G208" s="69"/>
      <c r="H208" s="69"/>
      <c r="I208" s="69"/>
      <c r="J208" s="69"/>
      <c r="K208" s="240" t="s">
        <v>122</v>
      </c>
      <c r="L208" s="238"/>
      <c r="M208" s="239">
        <f>SUM(M203:N207)</f>
        <v>2575000</v>
      </c>
      <c r="N208" s="238"/>
    </row>
    <row r="209" spans="1:14" x14ac:dyDescent="0.25">
      <c r="A209" s="69"/>
      <c r="B209" s="69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</row>
    <row r="210" spans="1:14" x14ac:dyDescent="0.25">
      <c r="A210" s="247" t="s">
        <v>125</v>
      </c>
      <c r="B210" s="237"/>
      <c r="C210" s="237"/>
      <c r="D210" s="237"/>
      <c r="E210" s="237"/>
      <c r="F210" s="237"/>
      <c r="G210" s="237"/>
      <c r="H210" s="237"/>
      <c r="I210" s="237"/>
      <c r="J210" s="237"/>
      <c r="K210" s="237"/>
      <c r="L210" s="237"/>
      <c r="M210" s="237"/>
      <c r="N210" s="238"/>
    </row>
    <row r="211" spans="1:14" x14ac:dyDescent="0.25">
      <c r="A211" s="240" t="s">
        <v>76</v>
      </c>
      <c r="B211" s="237"/>
      <c r="C211" s="237"/>
      <c r="D211" s="237"/>
      <c r="E211" s="237"/>
      <c r="F211" s="237"/>
      <c r="G211" s="238"/>
      <c r="H211" s="67" t="s">
        <v>46</v>
      </c>
      <c r="I211" s="248" t="s">
        <v>120</v>
      </c>
      <c r="J211" s="238"/>
      <c r="K211" s="70" t="s">
        <v>126</v>
      </c>
      <c r="L211" s="71" t="s">
        <v>128</v>
      </c>
      <c r="M211" s="248" t="s">
        <v>121</v>
      </c>
      <c r="N211" s="238"/>
    </row>
    <row r="212" spans="1:14" x14ac:dyDescent="0.25">
      <c r="A212" s="236" t="str">
        <f>PROFESIONALES!$B$9</f>
        <v>Director de consultoria</v>
      </c>
      <c r="B212" s="237"/>
      <c r="C212" s="237"/>
      <c r="D212" s="237"/>
      <c r="E212" s="237"/>
      <c r="F212" s="237"/>
      <c r="G212" s="238"/>
      <c r="H212" s="68" t="s">
        <v>80</v>
      </c>
      <c r="I212" s="239">
        <f>PROFESIONALES!$F$9</f>
        <v>7691776</v>
      </c>
      <c r="J212" s="238"/>
      <c r="K212" s="45">
        <f>PROFESIONALES!I$24</f>
        <v>2</v>
      </c>
      <c r="L212" s="72">
        <f>V6*AA6*30</f>
        <v>1.0588235294117649</v>
      </c>
      <c r="M212" s="239">
        <f t="shared" ref="M212:M216" si="16">I212*K212*L212/30</f>
        <v>542948.8941176472</v>
      </c>
      <c r="N212" s="238"/>
    </row>
    <row r="213" spans="1:14" x14ac:dyDescent="0.25">
      <c r="A213" s="236" t="str">
        <f>PROFESIONALES!$B$16</f>
        <v>Topógrafo</v>
      </c>
      <c r="B213" s="237"/>
      <c r="C213" s="237"/>
      <c r="D213" s="237"/>
      <c r="E213" s="237"/>
      <c r="F213" s="237"/>
      <c r="G213" s="238"/>
      <c r="H213" s="68" t="s">
        <v>80</v>
      </c>
      <c r="I213" s="239">
        <f>PROFESIONALES!F16</f>
        <v>4183335</v>
      </c>
      <c r="J213" s="238"/>
      <c r="K213" s="45">
        <f>PROFESIONALES!I$24</f>
        <v>2</v>
      </c>
      <c r="L213" s="45">
        <f>V13*AA13*30</f>
        <v>13.499999999999998</v>
      </c>
      <c r="M213" s="239">
        <f t="shared" si="16"/>
        <v>3765001.4999999995</v>
      </c>
      <c r="N213" s="238"/>
    </row>
    <row r="214" spans="1:14" x14ac:dyDescent="0.25">
      <c r="A214" s="236" t="str">
        <f>PROFESIONALES!B21</f>
        <v>Cadenero</v>
      </c>
      <c r="B214" s="237"/>
      <c r="C214" s="237"/>
      <c r="D214" s="237"/>
      <c r="E214" s="237"/>
      <c r="F214" s="237"/>
      <c r="G214" s="238"/>
      <c r="H214" s="68" t="s">
        <v>80</v>
      </c>
      <c r="I214" s="239">
        <f>PROFESIONALES!$F$21</f>
        <v>1489011</v>
      </c>
      <c r="J214" s="238"/>
      <c r="K214" s="45">
        <f>PROFESIONALES!I$24</f>
        <v>2</v>
      </c>
      <c r="L214" s="45">
        <f>V19*AA19*30/4</f>
        <v>11.25</v>
      </c>
      <c r="M214" s="239">
        <f t="shared" si="16"/>
        <v>1116758.25</v>
      </c>
      <c r="N214" s="238"/>
    </row>
    <row r="215" spans="1:14" x14ac:dyDescent="0.25">
      <c r="A215" s="236" t="str">
        <f>PROFESIONALES!$B$20</f>
        <v>Delineante</v>
      </c>
      <c r="B215" s="237"/>
      <c r="C215" s="237"/>
      <c r="D215" s="237"/>
      <c r="E215" s="237"/>
      <c r="F215" s="237"/>
      <c r="G215" s="238"/>
      <c r="H215" s="68" t="s">
        <v>80</v>
      </c>
      <c r="I215" s="239">
        <f>PROFESIONALES!$F$20</f>
        <v>2751081</v>
      </c>
      <c r="J215" s="238"/>
      <c r="K215" s="45">
        <f>PROFESIONALES!I$24</f>
        <v>2</v>
      </c>
      <c r="L215" s="45">
        <f>V18*AA18*30</f>
        <v>0.45000000000000007</v>
      </c>
      <c r="M215" s="239">
        <f t="shared" si="16"/>
        <v>82532.430000000008</v>
      </c>
      <c r="N215" s="238"/>
    </row>
    <row r="216" spans="1:14" x14ac:dyDescent="0.25">
      <c r="A216" s="236"/>
      <c r="B216" s="237"/>
      <c r="C216" s="237"/>
      <c r="D216" s="237"/>
      <c r="E216" s="237"/>
      <c r="F216" s="237"/>
      <c r="G216" s="238"/>
      <c r="H216" s="68"/>
      <c r="I216" s="239"/>
      <c r="J216" s="238"/>
      <c r="K216" s="45"/>
      <c r="L216" s="45"/>
      <c r="M216" s="239">
        <f t="shared" si="16"/>
        <v>0</v>
      </c>
      <c r="N216" s="238"/>
    </row>
    <row r="217" spans="1:14" x14ac:dyDescent="0.25">
      <c r="A217" s="69"/>
      <c r="B217" s="69"/>
      <c r="C217" s="69"/>
      <c r="D217" s="69"/>
      <c r="E217" s="69"/>
      <c r="F217" s="69"/>
      <c r="G217" s="69"/>
      <c r="H217" s="69"/>
      <c r="I217" s="69"/>
      <c r="J217" s="69"/>
      <c r="K217" s="240" t="s">
        <v>122</v>
      </c>
      <c r="L217" s="238"/>
      <c r="M217" s="239">
        <f>SUM(M212:N216)</f>
        <v>5507241.0741176466</v>
      </c>
      <c r="N217" s="238"/>
    </row>
    <row r="219" spans="1:14" x14ac:dyDescent="0.25">
      <c r="A219" s="241" t="str">
        <f>Productos!B13</f>
        <v>Estudio hidrologico e hidrogeologico</v>
      </c>
      <c r="B219" s="242"/>
      <c r="C219" s="242"/>
      <c r="D219" s="242"/>
      <c r="E219" s="242"/>
      <c r="F219" s="242"/>
      <c r="G219" s="242"/>
      <c r="H219" s="242"/>
      <c r="I219" s="242"/>
      <c r="J219" s="242"/>
      <c r="K219" s="242"/>
      <c r="L219" s="242"/>
      <c r="M219" s="242"/>
      <c r="N219" s="243"/>
    </row>
    <row r="220" spans="1:14" x14ac:dyDescent="0.25">
      <c r="A220" s="244"/>
      <c r="B220" s="245"/>
      <c r="C220" s="245"/>
      <c r="D220" s="245"/>
      <c r="E220" s="245"/>
      <c r="F220" s="245"/>
      <c r="G220" s="245"/>
      <c r="H220" s="245"/>
      <c r="I220" s="245"/>
      <c r="J220" s="245"/>
      <c r="K220" s="245"/>
      <c r="L220" s="245"/>
      <c r="M220" s="245"/>
      <c r="N220" s="246"/>
    </row>
    <row r="221" spans="1:14" x14ac:dyDescent="0.25">
      <c r="A221" s="39">
        <v>1</v>
      </c>
      <c r="B221" s="39">
        <v>2</v>
      </c>
      <c r="C221" s="39">
        <v>3</v>
      </c>
      <c r="D221" s="39">
        <v>4</v>
      </c>
      <c r="E221" s="39">
        <v>5</v>
      </c>
      <c r="F221" s="39">
        <v>6</v>
      </c>
      <c r="G221" s="39">
        <v>7</v>
      </c>
      <c r="H221" s="39">
        <v>8</v>
      </c>
      <c r="I221" s="39">
        <v>9</v>
      </c>
      <c r="J221" s="39">
        <v>10</v>
      </c>
      <c r="K221" s="39">
        <v>11</v>
      </c>
      <c r="L221" s="39">
        <v>12</v>
      </c>
      <c r="M221" s="39">
        <v>13</v>
      </c>
      <c r="N221" s="39">
        <v>14</v>
      </c>
    </row>
    <row r="222" spans="1:14" ht="15.75" x14ac:dyDescent="0.3">
      <c r="A222" s="84" t="s">
        <v>135</v>
      </c>
      <c r="B222" s="59" t="str">
        <f>A219</f>
        <v>Estudio hidrologico e hidrogeologico</v>
      </c>
      <c r="C222" s="85" t="s">
        <v>113</v>
      </c>
      <c r="D222" s="60" t="s">
        <v>127</v>
      </c>
      <c r="E222" s="86" t="s">
        <v>114</v>
      </c>
      <c r="F222" s="61">
        <f>H222+J222+L222+N222</f>
        <v>10960517.236470588</v>
      </c>
      <c r="G222" s="86" t="s">
        <v>115</v>
      </c>
      <c r="H222" s="62">
        <f>M239</f>
        <v>52941.176470588238</v>
      </c>
      <c r="I222" s="86" t="s">
        <v>116</v>
      </c>
      <c r="J222" s="63">
        <f>M230</f>
        <v>352941.17647058825</v>
      </c>
      <c r="K222" s="86" t="s">
        <v>117</v>
      </c>
      <c r="L222" s="62">
        <f>M248</f>
        <v>0</v>
      </c>
      <c r="M222" s="86" t="s">
        <v>118</v>
      </c>
      <c r="N222" s="64">
        <f>M257</f>
        <v>10554634.883529412</v>
      </c>
    </row>
    <row r="223" spans="1:14" x14ac:dyDescent="0.25">
      <c r="A223" s="65"/>
      <c r="B223" s="65"/>
      <c r="C223" s="65"/>
      <c r="D223" s="65"/>
      <c r="E223" s="65"/>
      <c r="F223" s="65"/>
      <c r="G223" s="65"/>
      <c r="H223" s="66"/>
      <c r="I223" s="66"/>
      <c r="J223" s="65"/>
      <c r="K223" s="65"/>
      <c r="L223" s="65"/>
      <c r="M223" s="65"/>
      <c r="N223" s="65"/>
    </row>
    <row r="224" spans="1:14" x14ac:dyDescent="0.25">
      <c r="A224" s="247" t="s">
        <v>119</v>
      </c>
      <c r="B224" s="237"/>
      <c r="C224" s="237"/>
      <c r="D224" s="237"/>
      <c r="E224" s="237"/>
      <c r="F224" s="237"/>
      <c r="G224" s="237"/>
      <c r="H224" s="237"/>
      <c r="I224" s="237"/>
      <c r="J224" s="237"/>
      <c r="K224" s="237"/>
      <c r="L224" s="237"/>
      <c r="M224" s="237"/>
      <c r="N224" s="238"/>
    </row>
    <row r="225" spans="1:14" x14ac:dyDescent="0.25">
      <c r="A225" s="240" t="s">
        <v>76</v>
      </c>
      <c r="B225" s="237"/>
      <c r="C225" s="237"/>
      <c r="D225" s="237"/>
      <c r="E225" s="237"/>
      <c r="F225" s="237"/>
      <c r="G225" s="238"/>
      <c r="H225" s="67" t="s">
        <v>46</v>
      </c>
      <c r="I225" s="248" t="s">
        <v>120</v>
      </c>
      <c r="J225" s="238"/>
      <c r="K225" s="248" t="s">
        <v>47</v>
      </c>
      <c r="L225" s="238"/>
      <c r="M225" s="248" t="s">
        <v>121</v>
      </c>
      <c r="N225" s="238"/>
    </row>
    <row r="226" spans="1:14" x14ac:dyDescent="0.25">
      <c r="A226" s="249" t="str">
        <f>PROFESIONALES!$B$30</f>
        <v>Alquiler oficina</v>
      </c>
      <c r="B226" s="237"/>
      <c r="C226" s="237"/>
      <c r="D226" s="237"/>
      <c r="E226" s="237"/>
      <c r="F226" s="237"/>
      <c r="G226" s="238"/>
      <c r="H226" s="68" t="str">
        <f>PROFESIONALES!$D$30</f>
        <v>MES</v>
      </c>
      <c r="I226" s="239">
        <f>PROFESIONALES!$F$30</f>
        <v>500000</v>
      </c>
      <c r="J226" s="238"/>
      <c r="K226" s="250">
        <f>PROFESIONALES!H30/APUS!Z22</f>
        <v>0.17647058823529413</v>
      </c>
      <c r="L226" s="238"/>
      <c r="M226" s="239">
        <f>K226*I226</f>
        <v>88235.294117647063</v>
      </c>
      <c r="N226" s="254"/>
    </row>
    <row r="227" spans="1:14" x14ac:dyDescent="0.25">
      <c r="A227" s="249" t="str">
        <f>PROFESIONALES!$B$32</f>
        <v>Gastos de oficina (Impresión de informes y planos)</v>
      </c>
      <c r="B227" s="237"/>
      <c r="C227" s="237"/>
      <c r="D227" s="237"/>
      <c r="E227" s="237"/>
      <c r="F227" s="237"/>
      <c r="G227" s="238"/>
      <c r="H227" s="68" t="str">
        <f>PROFESIONALES!$D$32</f>
        <v>COPIA</v>
      </c>
      <c r="I227" s="239">
        <f>PROFESIONALES!$F$32</f>
        <v>1500000</v>
      </c>
      <c r="J227" s="238"/>
      <c r="K227" s="250">
        <f>PROFESIONALES!$H$32*PROFESIONALES!E32/Z22</f>
        <v>0.17647058823529413</v>
      </c>
      <c r="L227" s="238"/>
      <c r="M227" s="239">
        <f t="shared" ref="M227:M228" si="17">K227*I227</f>
        <v>264705.8823529412</v>
      </c>
      <c r="N227" s="254"/>
    </row>
    <row r="228" spans="1:14" x14ac:dyDescent="0.25">
      <c r="A228" s="255"/>
      <c r="B228" s="256"/>
      <c r="C228" s="256"/>
      <c r="D228" s="256"/>
      <c r="E228" s="256"/>
      <c r="F228" s="256"/>
      <c r="G228" s="257"/>
      <c r="H228" s="73"/>
      <c r="I228" s="258"/>
      <c r="J228" s="257"/>
      <c r="K228" s="259"/>
      <c r="L228" s="257"/>
      <c r="M228" s="239">
        <f t="shared" si="17"/>
        <v>0</v>
      </c>
      <c r="N228" s="254"/>
    </row>
    <row r="229" spans="1:14" x14ac:dyDescent="0.25">
      <c r="A229" s="249"/>
      <c r="B229" s="237"/>
      <c r="C229" s="237"/>
      <c r="D229" s="237"/>
      <c r="E229" s="237"/>
      <c r="F229" s="237"/>
      <c r="G229" s="238"/>
      <c r="H229" s="68" t="str">
        <f>IF(A229="","",VLOOKUP(A229,AA_Materiales,7,FALSE))</f>
        <v/>
      </c>
      <c r="I229" s="239" t="str">
        <f>IF(A229="","",VLOOKUP(A229,AA_Materiales,8,FALSE))</f>
        <v/>
      </c>
      <c r="J229" s="238"/>
      <c r="K229" s="250"/>
      <c r="L229" s="238"/>
      <c r="M229" s="239" t="str">
        <f>IF(A229="","",I229*K229)</f>
        <v/>
      </c>
      <c r="N229" s="238"/>
    </row>
    <row r="230" spans="1:14" x14ac:dyDescent="0.25">
      <c r="A230" s="69"/>
      <c r="B230" s="69"/>
      <c r="C230" s="69"/>
      <c r="D230" s="69"/>
      <c r="E230" s="69"/>
      <c r="F230" s="69"/>
      <c r="G230" s="69"/>
      <c r="H230" s="69"/>
      <c r="I230" s="69"/>
      <c r="J230" s="69"/>
      <c r="K230" s="240" t="s">
        <v>122</v>
      </c>
      <c r="L230" s="238"/>
      <c r="M230" s="239">
        <f>SUM(M226:N229)</f>
        <v>352941.17647058825</v>
      </c>
      <c r="N230" s="238"/>
    </row>
    <row r="231" spans="1:14" x14ac:dyDescent="0.25">
      <c r="A231" s="69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</row>
    <row r="232" spans="1:14" x14ac:dyDescent="0.25">
      <c r="A232" s="247" t="s">
        <v>123</v>
      </c>
      <c r="B232" s="237"/>
      <c r="C232" s="237"/>
      <c r="D232" s="237"/>
      <c r="E232" s="237"/>
      <c r="F232" s="237"/>
      <c r="G232" s="237"/>
      <c r="H232" s="237"/>
      <c r="I232" s="237"/>
      <c r="J232" s="237"/>
      <c r="K232" s="237"/>
      <c r="L232" s="237"/>
      <c r="M232" s="237"/>
      <c r="N232" s="238"/>
    </row>
    <row r="233" spans="1:14" x14ac:dyDescent="0.25">
      <c r="A233" s="240" t="s">
        <v>76</v>
      </c>
      <c r="B233" s="237"/>
      <c r="C233" s="237"/>
      <c r="D233" s="237"/>
      <c r="E233" s="237"/>
      <c r="F233" s="237"/>
      <c r="G233" s="238"/>
      <c r="H233" s="67" t="s">
        <v>46</v>
      </c>
      <c r="I233" s="248" t="s">
        <v>120</v>
      </c>
      <c r="J233" s="238"/>
      <c r="K233" s="248" t="s">
        <v>47</v>
      </c>
      <c r="L233" s="238"/>
      <c r="M233" s="248" t="s">
        <v>121</v>
      </c>
      <c r="N233" s="238"/>
    </row>
    <row r="234" spans="1:14" x14ac:dyDescent="0.25">
      <c r="A234" s="252" t="str">
        <f>PROFESIONALES!$B$31</f>
        <v>Servicios Públicos</v>
      </c>
      <c r="B234" s="237"/>
      <c r="C234" s="237"/>
      <c r="D234" s="237"/>
      <c r="E234" s="237"/>
      <c r="F234" s="237"/>
      <c r="G234" s="238"/>
      <c r="H234" s="68" t="str">
        <f>PROFESIONALES!$D$31</f>
        <v>MES</v>
      </c>
      <c r="I234" s="239">
        <f>PROFESIONALES!$F$31</f>
        <v>300000</v>
      </c>
      <c r="J234" s="238"/>
      <c r="K234" s="250">
        <f>PROFESIONALES!$H$9/Z22</f>
        <v>0.17647058823529413</v>
      </c>
      <c r="L234" s="251"/>
      <c r="M234" s="239">
        <f>K234*I234</f>
        <v>52941.176470588238</v>
      </c>
      <c r="N234" s="254"/>
    </row>
    <row r="235" spans="1:14" x14ac:dyDescent="0.25">
      <c r="A235" s="252"/>
      <c r="B235" s="237"/>
      <c r="C235" s="237"/>
      <c r="D235" s="237"/>
      <c r="E235" s="237"/>
      <c r="F235" s="237"/>
      <c r="G235" s="238"/>
      <c r="H235" s="68" t="str">
        <f>IF(A235="","",VLOOKUP(A235,AA_Equipos,7,FALSE))</f>
        <v/>
      </c>
      <c r="I235" s="239" t="str">
        <f>IF(A235="","",VLOOKUP(A235,AA_Materiales,8,FALSE))</f>
        <v/>
      </c>
      <c r="J235" s="238"/>
      <c r="K235" s="253"/>
      <c r="L235" s="238"/>
      <c r="M235" s="239" t="str">
        <f>IF(A235="","",I235*K235)</f>
        <v/>
      </c>
      <c r="N235" s="238"/>
    </row>
    <row r="236" spans="1:14" x14ac:dyDescent="0.25">
      <c r="A236" s="249"/>
      <c r="B236" s="237"/>
      <c r="C236" s="237"/>
      <c r="D236" s="237"/>
      <c r="E236" s="237"/>
      <c r="F236" s="237"/>
      <c r="G236" s="238"/>
      <c r="H236" s="68" t="str">
        <f>IF(A236="","",VLOOKUP(A236,AA_Equipos,7,FALSE))</f>
        <v/>
      </c>
      <c r="I236" s="239" t="str">
        <f>IF(A236="","",VLOOKUP(A236,AA_Materiales,8,FALSE))</f>
        <v/>
      </c>
      <c r="J236" s="238"/>
      <c r="K236" s="250"/>
      <c r="L236" s="238"/>
      <c r="M236" s="239" t="str">
        <f>IF(A236="","",I236*K236)</f>
        <v/>
      </c>
      <c r="N236" s="238"/>
    </row>
    <row r="237" spans="1:14" x14ac:dyDescent="0.25">
      <c r="A237" s="249"/>
      <c r="B237" s="237"/>
      <c r="C237" s="237"/>
      <c r="D237" s="237"/>
      <c r="E237" s="237"/>
      <c r="F237" s="237"/>
      <c r="G237" s="238"/>
      <c r="H237" s="68" t="str">
        <f>IF(A237="","",VLOOKUP(A237,AA_Equipos,7,FALSE))</f>
        <v/>
      </c>
      <c r="I237" s="239" t="str">
        <f>IF(A237="","",VLOOKUP(A237,AA_Materiales,8,FALSE))</f>
        <v/>
      </c>
      <c r="J237" s="238"/>
      <c r="K237" s="250"/>
      <c r="L237" s="238"/>
      <c r="M237" s="239" t="str">
        <f>IF(A237="","",I237*K237)</f>
        <v/>
      </c>
      <c r="N237" s="238"/>
    </row>
    <row r="238" spans="1:14" x14ac:dyDescent="0.25">
      <c r="A238" s="249"/>
      <c r="B238" s="237"/>
      <c r="C238" s="237"/>
      <c r="D238" s="237"/>
      <c r="E238" s="237"/>
      <c r="F238" s="237"/>
      <c r="G238" s="238"/>
      <c r="H238" s="68" t="str">
        <f>IF(A238="","",VLOOKUP(A238,AA_Equipos,7,FALSE))</f>
        <v/>
      </c>
      <c r="I238" s="239" t="str">
        <f>IF(A238="","",VLOOKUP(A238,AA_Materiales,8,FALSE))</f>
        <v/>
      </c>
      <c r="J238" s="238"/>
      <c r="K238" s="250"/>
      <c r="L238" s="238"/>
      <c r="M238" s="239" t="str">
        <f>IF(A238="","",I238*K238)</f>
        <v/>
      </c>
      <c r="N238" s="238"/>
    </row>
    <row r="239" spans="1:14" x14ac:dyDescent="0.25">
      <c r="A239" s="69"/>
      <c r="B239" s="69"/>
      <c r="C239" s="69"/>
      <c r="D239" s="69"/>
      <c r="E239" s="69"/>
      <c r="F239" s="69"/>
      <c r="G239" s="69"/>
      <c r="H239" s="69"/>
      <c r="I239" s="69"/>
      <c r="J239" s="69"/>
      <c r="K239" s="240" t="s">
        <v>122</v>
      </c>
      <c r="L239" s="238"/>
      <c r="M239" s="239">
        <f>SUM(M234:N238)</f>
        <v>52941.176470588238</v>
      </c>
      <c r="N239" s="238"/>
    </row>
    <row r="240" spans="1:14" x14ac:dyDescent="0.25">
      <c r="A240" s="69"/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</row>
    <row r="241" spans="1:15" x14ac:dyDescent="0.25">
      <c r="A241" s="247" t="s">
        <v>124</v>
      </c>
      <c r="B241" s="237"/>
      <c r="C241" s="237"/>
      <c r="D241" s="237"/>
      <c r="E241" s="237"/>
      <c r="F241" s="237"/>
      <c r="G241" s="237"/>
      <c r="H241" s="237"/>
      <c r="I241" s="237"/>
      <c r="J241" s="237"/>
      <c r="K241" s="237"/>
      <c r="L241" s="237"/>
      <c r="M241" s="237"/>
      <c r="N241" s="238"/>
    </row>
    <row r="242" spans="1:15" x14ac:dyDescent="0.25">
      <c r="A242" s="240" t="s">
        <v>76</v>
      </c>
      <c r="B242" s="237"/>
      <c r="C242" s="237"/>
      <c r="D242" s="237"/>
      <c r="E242" s="237"/>
      <c r="F242" s="237"/>
      <c r="G242" s="238"/>
      <c r="H242" s="67" t="s">
        <v>46</v>
      </c>
      <c r="I242" s="248" t="s">
        <v>120</v>
      </c>
      <c r="J242" s="238"/>
      <c r="K242" s="248" t="s">
        <v>47</v>
      </c>
      <c r="L242" s="238"/>
      <c r="M242" s="248" t="s">
        <v>121</v>
      </c>
      <c r="N242" s="238"/>
    </row>
    <row r="243" spans="1:15" x14ac:dyDescent="0.25">
      <c r="A243" s="249"/>
      <c r="B243" s="237"/>
      <c r="C243" s="237"/>
      <c r="D243" s="237"/>
      <c r="E243" s="237"/>
      <c r="F243" s="237"/>
      <c r="G243" s="238"/>
      <c r="H243" s="68"/>
      <c r="I243" s="239"/>
      <c r="J243" s="238"/>
      <c r="K243" s="250"/>
      <c r="L243" s="251"/>
      <c r="M243" s="239"/>
      <c r="N243" s="238"/>
    </row>
    <row r="244" spans="1:15" x14ac:dyDescent="0.25">
      <c r="A244" s="252"/>
      <c r="B244" s="237"/>
      <c r="C244" s="237"/>
      <c r="D244" s="237"/>
      <c r="E244" s="237"/>
      <c r="F244" s="237"/>
      <c r="G244" s="238"/>
      <c r="H244" s="68"/>
      <c r="I244" s="239"/>
      <c r="J244" s="238"/>
      <c r="K244" s="253"/>
      <c r="L244" s="238"/>
      <c r="M244" s="239"/>
      <c r="N244" s="238"/>
    </row>
    <row r="245" spans="1:15" x14ac:dyDescent="0.25">
      <c r="A245" s="249"/>
      <c r="B245" s="237"/>
      <c r="C245" s="237"/>
      <c r="D245" s="237"/>
      <c r="E245" s="237"/>
      <c r="F245" s="237"/>
      <c r="G245" s="238"/>
      <c r="H245" s="68"/>
      <c r="I245" s="239"/>
      <c r="J245" s="238"/>
      <c r="K245" s="250"/>
      <c r="L245" s="238"/>
      <c r="M245" s="239" t="str">
        <f>IF(A245="","",I245*K245)</f>
        <v/>
      </c>
      <c r="N245" s="238"/>
    </row>
    <row r="246" spans="1:15" x14ac:dyDescent="0.25">
      <c r="A246" s="249"/>
      <c r="B246" s="237"/>
      <c r="C246" s="237"/>
      <c r="D246" s="237"/>
      <c r="E246" s="237"/>
      <c r="F246" s="237"/>
      <c r="G246" s="238"/>
      <c r="H246" s="68"/>
      <c r="I246" s="239"/>
      <c r="J246" s="238"/>
      <c r="K246" s="250"/>
      <c r="L246" s="238"/>
      <c r="M246" s="239" t="str">
        <f>IF(A246="","",I246*K246)</f>
        <v/>
      </c>
      <c r="N246" s="238"/>
    </row>
    <row r="247" spans="1:15" x14ac:dyDescent="0.25">
      <c r="A247" s="249"/>
      <c r="B247" s="237"/>
      <c r="C247" s="237"/>
      <c r="D247" s="237"/>
      <c r="E247" s="237"/>
      <c r="F247" s="237"/>
      <c r="G247" s="238"/>
      <c r="H247" s="68"/>
      <c r="I247" s="239"/>
      <c r="J247" s="238"/>
      <c r="K247" s="250"/>
      <c r="L247" s="238"/>
      <c r="M247" s="239" t="str">
        <f>IF(A247="","",I247*K247)</f>
        <v/>
      </c>
      <c r="N247" s="238"/>
    </row>
    <row r="248" spans="1:15" x14ac:dyDescent="0.25">
      <c r="A248" s="69"/>
      <c r="B248" s="69"/>
      <c r="C248" s="69"/>
      <c r="D248" s="69"/>
      <c r="E248" s="69"/>
      <c r="F248" s="69"/>
      <c r="G248" s="69"/>
      <c r="H248" s="69"/>
      <c r="I248" s="69"/>
      <c r="J248" s="69"/>
      <c r="K248" s="240" t="s">
        <v>122</v>
      </c>
      <c r="L248" s="238"/>
      <c r="M248" s="239">
        <f>SUM(M243:N247)</f>
        <v>0</v>
      </c>
      <c r="N248" s="238"/>
    </row>
    <row r="249" spans="1:15" x14ac:dyDescent="0.25">
      <c r="A249" s="69"/>
      <c r="B249" s="69"/>
      <c r="C249" s="69"/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</row>
    <row r="250" spans="1:15" x14ac:dyDescent="0.25">
      <c r="A250" s="247" t="s">
        <v>125</v>
      </c>
      <c r="B250" s="237"/>
      <c r="C250" s="237"/>
      <c r="D250" s="237"/>
      <c r="E250" s="237"/>
      <c r="F250" s="237"/>
      <c r="G250" s="237"/>
      <c r="H250" s="237"/>
      <c r="I250" s="237"/>
      <c r="J250" s="237"/>
      <c r="K250" s="237"/>
      <c r="L250" s="237"/>
      <c r="M250" s="237"/>
      <c r="N250" s="238"/>
    </row>
    <row r="251" spans="1:15" x14ac:dyDescent="0.25">
      <c r="A251" s="240" t="s">
        <v>76</v>
      </c>
      <c r="B251" s="237"/>
      <c r="C251" s="237"/>
      <c r="D251" s="237"/>
      <c r="E251" s="237"/>
      <c r="F251" s="237"/>
      <c r="G251" s="238"/>
      <c r="H251" s="67" t="s">
        <v>46</v>
      </c>
      <c r="I251" s="248" t="s">
        <v>120</v>
      </c>
      <c r="J251" s="238"/>
      <c r="K251" s="70" t="s">
        <v>126</v>
      </c>
      <c r="L251" s="71" t="s">
        <v>128</v>
      </c>
      <c r="M251" s="248" t="s">
        <v>121</v>
      </c>
      <c r="N251" s="238"/>
    </row>
    <row r="252" spans="1:15" x14ac:dyDescent="0.25">
      <c r="A252" s="236" t="str">
        <f>PROFESIONALES!$B$9</f>
        <v>Director de consultoria</v>
      </c>
      <c r="B252" s="237"/>
      <c r="C252" s="237"/>
      <c r="D252" s="237"/>
      <c r="E252" s="237"/>
      <c r="F252" s="237"/>
      <c r="G252" s="238"/>
      <c r="H252" s="68" t="s">
        <v>80</v>
      </c>
      <c r="I252" s="239">
        <f>PROFESIONALES!$F$9</f>
        <v>7691776</v>
      </c>
      <c r="J252" s="238"/>
      <c r="K252" s="45">
        <f>PROFESIONALES!I$24</f>
        <v>2</v>
      </c>
      <c r="L252" s="72">
        <f>V6*AB6*30</f>
        <v>1.0588235294117649</v>
      </c>
      <c r="M252" s="239">
        <f>I252*K252*L252/30</f>
        <v>542948.8941176472</v>
      </c>
      <c r="N252" s="238"/>
    </row>
    <row r="253" spans="1:15" x14ac:dyDescent="0.25">
      <c r="A253" s="236" t="str">
        <f>PROFESIONALES!$B$14</f>
        <v xml:space="preserve">Especialista Veterinario </v>
      </c>
      <c r="B253" s="237"/>
      <c r="C253" s="237"/>
      <c r="D253" s="237"/>
      <c r="E253" s="237"/>
      <c r="F253" s="237"/>
      <c r="G253" s="238"/>
      <c r="H253" s="68" t="s">
        <v>80</v>
      </c>
      <c r="I253" s="239">
        <f>PROFESIONALES!$F$14</f>
        <v>6356217</v>
      </c>
      <c r="J253" s="238"/>
      <c r="K253" s="45">
        <f>PROFESIONALES!I$24</f>
        <v>2</v>
      </c>
      <c r="L253" s="45">
        <v>0.2</v>
      </c>
      <c r="M253" s="239">
        <f>I253*K253*L253/30</f>
        <v>84749.560000000012</v>
      </c>
      <c r="N253" s="238"/>
    </row>
    <row r="254" spans="1:15" x14ac:dyDescent="0.25">
      <c r="A254" s="236" t="str">
        <f>PROFESIONALES!$B$15</f>
        <v>Profesional de apoyo</v>
      </c>
      <c r="B254" s="237"/>
      <c r="C254" s="237"/>
      <c r="D254" s="237"/>
      <c r="E254" s="237"/>
      <c r="F254" s="237"/>
      <c r="G254" s="238"/>
      <c r="H254" s="68" t="s">
        <v>80</v>
      </c>
      <c r="I254" s="239">
        <f>PROFESIONALES!$F$15</f>
        <v>5582300</v>
      </c>
      <c r="J254" s="238"/>
      <c r="K254" s="45">
        <f>PROFESIONALES!I$24</f>
        <v>2</v>
      </c>
      <c r="L254" s="45">
        <f>V12*AB12*30</f>
        <v>5.2941176470588234</v>
      </c>
      <c r="M254" s="239">
        <f>I254*K254*L254/30</f>
        <v>1970223.5294117646</v>
      </c>
      <c r="N254" s="238"/>
      <c r="O254" s="154">
        <f>L252+L253+L254+L255+L256</f>
        <v>26.252941176470589</v>
      </c>
    </row>
    <row r="255" spans="1:15" x14ac:dyDescent="0.25">
      <c r="A255" s="236" t="str">
        <f>PROFESIONALES!B$12</f>
        <v>Especialista Hidráulico</v>
      </c>
      <c r="B255" s="237"/>
      <c r="C255" s="237"/>
      <c r="D255" s="237"/>
      <c r="E255" s="237"/>
      <c r="F255" s="237"/>
      <c r="G255" s="238"/>
      <c r="H255" s="68" t="s">
        <v>80</v>
      </c>
      <c r="I255" s="239">
        <f>PROFESIONALES!$F12</f>
        <v>6356217</v>
      </c>
      <c r="J255" s="238"/>
      <c r="K255" s="45">
        <f>PROFESIONALES!I$24</f>
        <v>2</v>
      </c>
      <c r="L255" s="45">
        <v>17</v>
      </c>
      <c r="M255" s="239">
        <f>I255*K255*L255/30</f>
        <v>7203712.5999999996</v>
      </c>
      <c r="N255" s="238"/>
    </row>
    <row r="256" spans="1:15" x14ac:dyDescent="0.25">
      <c r="A256" s="236" t="str">
        <f>PROFESIONALES!$B$16</f>
        <v>Topógrafo</v>
      </c>
      <c r="B256" s="237"/>
      <c r="C256" s="237"/>
      <c r="D256" s="237"/>
      <c r="E256" s="237"/>
      <c r="F256" s="237"/>
      <c r="G256" s="238"/>
      <c r="H256" s="68" t="s">
        <v>80</v>
      </c>
      <c r="I256" s="239">
        <f>PROFESIONALES!$F$16</f>
        <v>4183335</v>
      </c>
      <c r="J256" s="238"/>
      <c r="K256" s="45">
        <f>PROFESIONALES!I$24</f>
        <v>2</v>
      </c>
      <c r="L256" s="45">
        <f>V13*AB13*30</f>
        <v>2.6999999999999997</v>
      </c>
      <c r="M256" s="239">
        <f>I256*K256*L256/30</f>
        <v>753000.29999999993</v>
      </c>
      <c r="N256" s="238"/>
    </row>
    <row r="257" spans="1:14" x14ac:dyDescent="0.25">
      <c r="A257" s="69"/>
      <c r="B257" s="69"/>
      <c r="C257" s="69"/>
      <c r="D257" s="69"/>
      <c r="E257" s="69"/>
      <c r="F257" s="69"/>
      <c r="G257" s="69"/>
      <c r="H257" s="69"/>
      <c r="I257" s="69"/>
      <c r="J257" s="69"/>
      <c r="K257" s="240" t="s">
        <v>122</v>
      </c>
      <c r="L257" s="238"/>
      <c r="M257" s="239">
        <f>SUM(M252:N256)</f>
        <v>10554634.883529412</v>
      </c>
      <c r="N257" s="238"/>
    </row>
    <row r="259" spans="1:14" x14ac:dyDescent="0.25">
      <c r="A259" s="268" t="str">
        <f>Productos!$B$14</f>
        <v>Estudio de suelos y diseño de cimentaciones</v>
      </c>
      <c r="B259" s="242"/>
      <c r="C259" s="242"/>
      <c r="D259" s="242"/>
      <c r="E259" s="242"/>
      <c r="F259" s="242"/>
      <c r="G259" s="242"/>
      <c r="H259" s="242"/>
      <c r="I259" s="242"/>
      <c r="J259" s="242"/>
      <c r="K259" s="242"/>
      <c r="L259" s="242"/>
      <c r="M259" s="242"/>
      <c r="N259" s="243"/>
    </row>
    <row r="260" spans="1:14" x14ac:dyDescent="0.25">
      <c r="A260" s="244"/>
      <c r="B260" s="245"/>
      <c r="C260" s="245"/>
      <c r="D260" s="245"/>
      <c r="E260" s="245"/>
      <c r="F260" s="245"/>
      <c r="G260" s="245"/>
      <c r="H260" s="245"/>
      <c r="I260" s="245"/>
      <c r="J260" s="245"/>
      <c r="K260" s="245"/>
      <c r="L260" s="245"/>
      <c r="M260" s="245"/>
      <c r="N260" s="246"/>
    </row>
    <row r="261" spans="1:14" x14ac:dyDescent="0.25">
      <c r="A261" s="39">
        <v>1</v>
      </c>
      <c r="B261" s="39">
        <v>2</v>
      </c>
      <c r="C261" s="39">
        <v>3</v>
      </c>
      <c r="D261" s="39">
        <v>4</v>
      </c>
      <c r="E261" s="39">
        <v>5</v>
      </c>
      <c r="F261" s="39">
        <v>6</v>
      </c>
      <c r="G261" s="39">
        <v>7</v>
      </c>
      <c r="H261" s="39">
        <v>8</v>
      </c>
      <c r="I261" s="39">
        <v>9</v>
      </c>
      <c r="J261" s="39">
        <v>10</v>
      </c>
      <c r="K261" s="39">
        <v>11</v>
      </c>
      <c r="L261" s="39">
        <v>12</v>
      </c>
      <c r="M261" s="39">
        <v>13</v>
      </c>
      <c r="N261" s="39">
        <v>14</v>
      </c>
    </row>
    <row r="262" spans="1:14" ht="15.75" x14ac:dyDescent="0.3">
      <c r="A262" s="84" t="s">
        <v>136</v>
      </c>
      <c r="B262" s="59" t="str">
        <f>A259</f>
        <v>Estudio de suelos y diseño de cimentaciones</v>
      </c>
      <c r="C262" s="85" t="s">
        <v>113</v>
      </c>
      <c r="D262" s="60" t="s">
        <v>127</v>
      </c>
      <c r="E262" s="86" t="s">
        <v>114</v>
      </c>
      <c r="F262" s="61">
        <f>H262+J262+L262+N262</f>
        <v>16035575.490392156</v>
      </c>
      <c r="G262" s="86" t="s">
        <v>115</v>
      </c>
      <c r="H262" s="62">
        <f>M279</f>
        <v>52941.176470588238</v>
      </c>
      <c r="I262" s="86" t="s">
        <v>116</v>
      </c>
      <c r="J262" s="63">
        <f>M270</f>
        <v>8302941.176470588</v>
      </c>
      <c r="K262" s="86" t="s">
        <v>117</v>
      </c>
      <c r="L262" s="62">
        <f>M288</f>
        <v>2575000</v>
      </c>
      <c r="M262" s="86" t="s">
        <v>118</v>
      </c>
      <c r="N262" s="64">
        <f>M297</f>
        <v>5104693.13745098</v>
      </c>
    </row>
    <row r="263" spans="1:14" x14ac:dyDescent="0.25">
      <c r="A263" s="65"/>
      <c r="B263" s="65"/>
      <c r="C263" s="65"/>
      <c r="D263" s="65"/>
      <c r="E263" s="65"/>
      <c r="F263" s="65"/>
      <c r="G263" s="65"/>
      <c r="H263" s="66"/>
      <c r="I263" s="66"/>
      <c r="J263" s="65"/>
      <c r="K263" s="65"/>
      <c r="L263" s="65"/>
      <c r="M263" s="65"/>
      <c r="N263" s="65"/>
    </row>
    <row r="264" spans="1:14" x14ac:dyDescent="0.25">
      <c r="A264" s="247" t="s">
        <v>119</v>
      </c>
      <c r="B264" s="237"/>
      <c r="C264" s="237"/>
      <c r="D264" s="237"/>
      <c r="E264" s="237"/>
      <c r="F264" s="237"/>
      <c r="G264" s="237"/>
      <c r="H264" s="237"/>
      <c r="I264" s="237"/>
      <c r="J264" s="237"/>
      <c r="K264" s="237"/>
      <c r="L264" s="237"/>
      <c r="M264" s="237"/>
      <c r="N264" s="238"/>
    </row>
    <row r="265" spans="1:14" x14ac:dyDescent="0.25">
      <c r="A265" s="240" t="s">
        <v>76</v>
      </c>
      <c r="B265" s="237"/>
      <c r="C265" s="237"/>
      <c r="D265" s="237"/>
      <c r="E265" s="237"/>
      <c r="F265" s="237"/>
      <c r="G265" s="238"/>
      <c r="H265" s="67" t="s">
        <v>46</v>
      </c>
      <c r="I265" s="248" t="s">
        <v>120</v>
      </c>
      <c r="J265" s="238"/>
      <c r="K265" s="248" t="s">
        <v>47</v>
      </c>
      <c r="L265" s="238"/>
      <c r="M265" s="248" t="s">
        <v>121</v>
      </c>
      <c r="N265" s="238"/>
    </row>
    <row r="266" spans="1:14" x14ac:dyDescent="0.25">
      <c r="A266" s="249" t="str">
        <f>PROFESIONALES!$B$30</f>
        <v>Alquiler oficina</v>
      </c>
      <c r="B266" s="237"/>
      <c r="C266" s="237"/>
      <c r="D266" s="237"/>
      <c r="E266" s="237"/>
      <c r="F266" s="237"/>
      <c r="G266" s="238"/>
      <c r="H266" s="68" t="str">
        <f>PROFESIONALES!$D$30</f>
        <v>MES</v>
      </c>
      <c r="I266" s="239">
        <f>PROFESIONALES!$F$30</f>
        <v>500000</v>
      </c>
      <c r="J266" s="238"/>
      <c r="K266" s="250">
        <f>PROFESIONALES!H30/APUS!Z22</f>
        <v>0.17647058823529413</v>
      </c>
      <c r="L266" s="238"/>
      <c r="M266" s="239">
        <f>K266*I266</f>
        <v>88235.294117647063</v>
      </c>
      <c r="N266" s="254"/>
    </row>
    <row r="267" spans="1:14" x14ac:dyDescent="0.25">
      <c r="A267" s="249" t="str">
        <f>PROFESIONALES!$B$32</f>
        <v>Gastos de oficina (Impresión de informes y planos)</v>
      </c>
      <c r="B267" s="237"/>
      <c r="C267" s="237"/>
      <c r="D267" s="237"/>
      <c r="E267" s="237"/>
      <c r="F267" s="237"/>
      <c r="G267" s="238"/>
      <c r="H267" s="68" t="str">
        <f>PROFESIONALES!$D$32</f>
        <v>COPIA</v>
      </c>
      <c r="I267" s="239">
        <f>PROFESIONALES!$F$32</f>
        <v>1500000</v>
      </c>
      <c r="J267" s="238"/>
      <c r="K267" s="250">
        <f>PROFESIONALES!$H$32*PROFESIONALES!E32/Z22</f>
        <v>0.17647058823529413</v>
      </c>
      <c r="L267" s="238"/>
      <c r="M267" s="239">
        <f t="shared" ref="M267:M269" si="18">K267*I267</f>
        <v>264705.8823529412</v>
      </c>
      <c r="N267" s="254"/>
    </row>
    <row r="268" spans="1:14" x14ac:dyDescent="0.25">
      <c r="A268" s="264" t="str">
        <f>PROFESIONALES!$B$34</f>
        <v>Sondeos de geotecnia (Extracción y laboratorio)</v>
      </c>
      <c r="B268" s="265"/>
      <c r="C268" s="265"/>
      <c r="D268" s="265"/>
      <c r="E268" s="265"/>
      <c r="F268" s="265"/>
      <c r="G268" s="265"/>
      <c r="H268" s="74" t="s">
        <v>127</v>
      </c>
      <c r="I268" s="266">
        <f>PROFESIONALES!$F$34</f>
        <v>950000</v>
      </c>
      <c r="J268" s="265"/>
      <c r="K268" s="267">
        <f>PROFESIONALES!E34</f>
        <v>6</v>
      </c>
      <c r="L268" s="265"/>
      <c r="M268" s="239">
        <f t="shared" si="18"/>
        <v>5700000</v>
      </c>
      <c r="N268" s="254"/>
    </row>
    <row r="269" spans="1:14" x14ac:dyDescent="0.25">
      <c r="A269" s="269" t="str">
        <f>PROFESIONALES!$B$35</f>
        <v>Apiques para estudio de suelos</v>
      </c>
      <c r="B269" s="270"/>
      <c r="C269" s="270"/>
      <c r="D269" s="270"/>
      <c r="E269" s="270"/>
      <c r="F269" s="270"/>
      <c r="G269" s="271"/>
      <c r="H269" s="74" t="s">
        <v>127</v>
      </c>
      <c r="I269" s="272">
        <f>PROFESIONALES!$F$35</f>
        <v>750000</v>
      </c>
      <c r="J269" s="273"/>
      <c r="K269" s="274">
        <f>PROFESIONALES!$E$35</f>
        <v>3</v>
      </c>
      <c r="L269" s="275"/>
      <c r="M269" s="239">
        <f t="shared" si="18"/>
        <v>2250000</v>
      </c>
      <c r="N269" s="254"/>
    </row>
    <row r="270" spans="1:14" x14ac:dyDescent="0.25">
      <c r="A270" s="69"/>
      <c r="B270" s="69"/>
      <c r="C270" s="69"/>
      <c r="D270" s="69"/>
      <c r="E270" s="69"/>
      <c r="F270" s="69"/>
      <c r="G270" s="69"/>
      <c r="H270" s="69"/>
      <c r="I270" s="69"/>
      <c r="J270" s="69"/>
      <c r="K270" s="240" t="s">
        <v>122</v>
      </c>
      <c r="L270" s="238"/>
      <c r="M270" s="239">
        <f>SUM(M266:N269)</f>
        <v>8302941.176470588</v>
      </c>
      <c r="N270" s="238"/>
    </row>
    <row r="271" spans="1:14" x14ac:dyDescent="0.25">
      <c r="A271" s="69"/>
      <c r="B271" s="69"/>
      <c r="C271" s="69"/>
      <c r="D271" s="69"/>
      <c r="E271" s="69"/>
      <c r="F271" s="69"/>
      <c r="G271" s="69"/>
      <c r="H271" s="69"/>
      <c r="I271" s="69"/>
      <c r="J271" s="69"/>
      <c r="K271" s="69"/>
      <c r="L271" s="69"/>
      <c r="M271" s="69"/>
      <c r="N271" s="69"/>
    </row>
    <row r="272" spans="1:14" x14ac:dyDescent="0.25">
      <c r="A272" s="247" t="s">
        <v>123</v>
      </c>
      <c r="B272" s="237"/>
      <c r="C272" s="237"/>
      <c r="D272" s="237"/>
      <c r="E272" s="237"/>
      <c r="F272" s="237"/>
      <c r="G272" s="237"/>
      <c r="H272" s="237"/>
      <c r="I272" s="237"/>
      <c r="J272" s="237"/>
      <c r="K272" s="237"/>
      <c r="L272" s="237"/>
      <c r="M272" s="237"/>
      <c r="N272" s="238"/>
    </row>
    <row r="273" spans="1:14" x14ac:dyDescent="0.25">
      <c r="A273" s="240" t="s">
        <v>76</v>
      </c>
      <c r="B273" s="237"/>
      <c r="C273" s="237"/>
      <c r="D273" s="237"/>
      <c r="E273" s="237"/>
      <c r="F273" s="237"/>
      <c r="G273" s="238"/>
      <c r="H273" s="67" t="s">
        <v>46</v>
      </c>
      <c r="I273" s="248" t="s">
        <v>120</v>
      </c>
      <c r="J273" s="238"/>
      <c r="K273" s="248" t="s">
        <v>47</v>
      </c>
      <c r="L273" s="238"/>
      <c r="M273" s="248" t="s">
        <v>121</v>
      </c>
      <c r="N273" s="238"/>
    </row>
    <row r="274" spans="1:14" x14ac:dyDescent="0.25">
      <c r="A274" s="252" t="str">
        <f>PROFESIONALES!$B$31</f>
        <v>Servicios Públicos</v>
      </c>
      <c r="B274" s="237"/>
      <c r="C274" s="237"/>
      <c r="D274" s="237"/>
      <c r="E274" s="237"/>
      <c r="F274" s="237"/>
      <c r="G274" s="238"/>
      <c r="H274" s="68" t="str">
        <f>PROFESIONALES!$D$31</f>
        <v>MES</v>
      </c>
      <c r="I274" s="239">
        <f>PROFESIONALES!$F$31</f>
        <v>300000</v>
      </c>
      <c r="J274" s="238"/>
      <c r="K274" s="250">
        <f>PROFESIONALES!$H$9/Z22</f>
        <v>0.17647058823529413</v>
      </c>
      <c r="L274" s="251"/>
      <c r="M274" s="239">
        <f>K274*I274</f>
        <v>52941.176470588238</v>
      </c>
      <c r="N274" s="254"/>
    </row>
    <row r="275" spans="1:14" x14ac:dyDescent="0.25">
      <c r="A275" s="249"/>
      <c r="B275" s="237"/>
      <c r="C275" s="237"/>
      <c r="D275" s="237"/>
      <c r="E275" s="237"/>
      <c r="F275" s="237"/>
      <c r="G275" s="238"/>
      <c r="H275" s="68"/>
      <c r="I275" s="239"/>
      <c r="J275" s="238"/>
      <c r="K275" s="250"/>
      <c r="L275" s="238"/>
      <c r="M275" s="239"/>
      <c r="N275" s="238"/>
    </row>
    <row r="276" spans="1:14" x14ac:dyDescent="0.25">
      <c r="A276" s="249"/>
      <c r="B276" s="237"/>
      <c r="C276" s="237"/>
      <c r="D276" s="237"/>
      <c r="E276" s="237"/>
      <c r="F276" s="237"/>
      <c r="G276" s="238"/>
      <c r="H276" s="68" t="str">
        <f>IF(A276="","",VLOOKUP(A276,AA_Equipos,7,FALSE))</f>
        <v/>
      </c>
      <c r="I276" s="239" t="str">
        <f>IF(A276="","",VLOOKUP(A276,AA_Materiales,8,FALSE))</f>
        <v/>
      </c>
      <c r="J276" s="238"/>
      <c r="K276" s="250"/>
      <c r="L276" s="238"/>
      <c r="M276" s="239" t="str">
        <f>IF(A276="","",I276*K276)</f>
        <v/>
      </c>
      <c r="N276" s="238"/>
    </row>
    <row r="277" spans="1:14" x14ac:dyDescent="0.25">
      <c r="A277" s="249"/>
      <c r="B277" s="237"/>
      <c r="C277" s="237"/>
      <c r="D277" s="237"/>
      <c r="E277" s="237"/>
      <c r="F277" s="237"/>
      <c r="G277" s="238"/>
      <c r="H277" s="68" t="str">
        <f>IF(A277="","",VLOOKUP(A277,AA_Equipos,7,FALSE))</f>
        <v/>
      </c>
      <c r="I277" s="239" t="str">
        <f>IF(A277="","",VLOOKUP(A277,AA_Materiales,8,FALSE))</f>
        <v/>
      </c>
      <c r="J277" s="238"/>
      <c r="K277" s="250"/>
      <c r="L277" s="238"/>
      <c r="M277" s="239" t="str">
        <f>IF(A277="","",I277*K277)</f>
        <v/>
      </c>
      <c r="N277" s="238"/>
    </row>
    <row r="278" spans="1:14" x14ac:dyDescent="0.25">
      <c r="A278" s="249"/>
      <c r="B278" s="237"/>
      <c r="C278" s="237"/>
      <c r="D278" s="237"/>
      <c r="E278" s="237"/>
      <c r="F278" s="237"/>
      <c r="G278" s="238"/>
      <c r="H278" s="68" t="str">
        <f>IF(A278="","",VLOOKUP(A278,AA_Equipos,7,FALSE))</f>
        <v/>
      </c>
      <c r="I278" s="239" t="str">
        <f>IF(A278="","",VLOOKUP(A278,AA_Materiales,8,FALSE))</f>
        <v/>
      </c>
      <c r="J278" s="238"/>
      <c r="K278" s="250"/>
      <c r="L278" s="238"/>
      <c r="M278" s="239" t="str">
        <f>IF(A278="","",I278*K278)</f>
        <v/>
      </c>
      <c r="N278" s="238"/>
    </row>
    <row r="279" spans="1:14" x14ac:dyDescent="0.25">
      <c r="A279" s="69"/>
      <c r="B279" s="69"/>
      <c r="C279" s="69"/>
      <c r="D279" s="69"/>
      <c r="E279" s="69"/>
      <c r="F279" s="69"/>
      <c r="G279" s="69"/>
      <c r="H279" s="69"/>
      <c r="I279" s="69"/>
      <c r="J279" s="69"/>
      <c r="K279" s="240" t="s">
        <v>122</v>
      </c>
      <c r="L279" s="238"/>
      <c r="M279" s="239">
        <f>SUM(M274:N278)</f>
        <v>52941.176470588238</v>
      </c>
      <c r="N279" s="238"/>
    </row>
    <row r="280" spans="1:14" x14ac:dyDescent="0.25">
      <c r="A280" s="69"/>
      <c r="B280" s="69"/>
      <c r="C280" s="69"/>
      <c r="D280" s="69"/>
      <c r="E280" s="69"/>
      <c r="F280" s="69"/>
      <c r="G280" s="69"/>
      <c r="H280" s="69"/>
      <c r="I280" s="69"/>
      <c r="J280" s="69"/>
      <c r="K280" s="69"/>
      <c r="L280" s="69"/>
      <c r="M280" s="69"/>
      <c r="N280" s="69"/>
    </row>
    <row r="281" spans="1:14" x14ac:dyDescent="0.25">
      <c r="A281" s="247" t="s">
        <v>124</v>
      </c>
      <c r="B281" s="237"/>
      <c r="C281" s="237"/>
      <c r="D281" s="237"/>
      <c r="E281" s="237"/>
      <c r="F281" s="237"/>
      <c r="G281" s="237"/>
      <c r="H281" s="237"/>
      <c r="I281" s="237"/>
      <c r="J281" s="237"/>
      <c r="K281" s="237"/>
      <c r="L281" s="237"/>
      <c r="M281" s="237"/>
      <c r="N281" s="238"/>
    </row>
    <row r="282" spans="1:14" x14ac:dyDescent="0.25">
      <c r="A282" s="240" t="s">
        <v>76</v>
      </c>
      <c r="B282" s="237"/>
      <c r="C282" s="237"/>
      <c r="D282" s="237"/>
      <c r="E282" s="237"/>
      <c r="F282" s="237"/>
      <c r="G282" s="238"/>
      <c r="H282" s="67" t="s">
        <v>46</v>
      </c>
      <c r="I282" s="248" t="s">
        <v>120</v>
      </c>
      <c r="J282" s="238"/>
      <c r="K282" s="248" t="s">
        <v>47</v>
      </c>
      <c r="L282" s="238"/>
      <c r="M282" s="248" t="s">
        <v>121</v>
      </c>
      <c r="N282" s="238"/>
    </row>
    <row r="283" spans="1:14" x14ac:dyDescent="0.25">
      <c r="A283" s="249" t="str">
        <f>PROFESIONALES!$B$33</f>
        <v>Vehículo camionetas pick up  doble cabina</v>
      </c>
      <c r="B283" s="237"/>
      <c r="C283" s="237"/>
      <c r="D283" s="237"/>
      <c r="E283" s="237"/>
      <c r="F283" s="237"/>
      <c r="G283" s="238"/>
      <c r="H283" s="68" t="str">
        <f>PROFESIONALES!$D$33</f>
        <v>MES</v>
      </c>
      <c r="I283" s="239">
        <f>PROFESIONALES!$F$33</f>
        <v>5800000</v>
      </c>
      <c r="J283" s="238"/>
      <c r="K283" s="250">
        <f>PROFESIONALES!$H$33/4</f>
        <v>0.25</v>
      </c>
      <c r="L283" s="251"/>
      <c r="M283" s="239">
        <f>K283*I283</f>
        <v>1450000</v>
      </c>
      <c r="N283" s="254"/>
    </row>
    <row r="284" spans="1:14" ht="15" customHeight="1" x14ac:dyDescent="0.25">
      <c r="A284" s="252" t="str">
        <f>PROFESIONALES!$B$38</f>
        <v>Visitas de inspección</v>
      </c>
      <c r="B284" s="237"/>
      <c r="C284" s="237"/>
      <c r="D284" s="237"/>
      <c r="E284" s="237"/>
      <c r="F284" s="237"/>
      <c r="G284" s="238"/>
      <c r="H284" s="68" t="str">
        <f>PROFESIONALES!$D$38</f>
        <v>UNIDAD</v>
      </c>
      <c r="I284" s="239">
        <f>PROFESIONALES!$F$38</f>
        <v>1500000</v>
      </c>
      <c r="J284" s="238"/>
      <c r="K284" s="250">
        <f>PROFESIONALES!$E$38/4</f>
        <v>0.75</v>
      </c>
      <c r="L284" s="251"/>
      <c r="M284" s="239">
        <f>K284*I284</f>
        <v>1125000</v>
      </c>
      <c r="N284" s="254"/>
    </row>
    <row r="285" spans="1:14" x14ac:dyDescent="0.25">
      <c r="A285" s="249"/>
      <c r="B285" s="237"/>
      <c r="C285" s="237"/>
      <c r="D285" s="237"/>
      <c r="E285" s="237"/>
      <c r="F285" s="237"/>
      <c r="G285" s="238"/>
      <c r="H285" s="68"/>
      <c r="I285" s="239"/>
      <c r="J285" s="238"/>
      <c r="K285" s="250"/>
      <c r="L285" s="238"/>
      <c r="M285" s="239" t="str">
        <f>IF(A285="","",I285*K285)</f>
        <v/>
      </c>
      <c r="N285" s="238"/>
    </row>
    <row r="286" spans="1:14" x14ac:dyDescent="0.25">
      <c r="A286" s="249"/>
      <c r="B286" s="237"/>
      <c r="C286" s="237"/>
      <c r="D286" s="237"/>
      <c r="E286" s="237"/>
      <c r="F286" s="237"/>
      <c r="G286" s="238"/>
      <c r="H286" s="68"/>
      <c r="I286" s="239"/>
      <c r="J286" s="238"/>
      <c r="K286" s="250"/>
      <c r="L286" s="238"/>
      <c r="M286" s="239" t="str">
        <f>IF(A286="","",I286*K286)</f>
        <v/>
      </c>
      <c r="N286" s="238"/>
    </row>
    <row r="287" spans="1:14" x14ac:dyDescent="0.25">
      <c r="A287" s="249"/>
      <c r="B287" s="237"/>
      <c r="C287" s="237"/>
      <c r="D287" s="237"/>
      <c r="E287" s="237"/>
      <c r="F287" s="237"/>
      <c r="G287" s="238"/>
      <c r="H287" s="68"/>
      <c r="I287" s="239"/>
      <c r="J287" s="238"/>
      <c r="K287" s="250"/>
      <c r="L287" s="238"/>
      <c r="M287" s="239" t="str">
        <f>IF(A287="","",I287*K287)</f>
        <v/>
      </c>
      <c r="N287" s="238"/>
    </row>
    <row r="288" spans="1:14" x14ac:dyDescent="0.25">
      <c r="A288" s="69"/>
      <c r="B288" s="69"/>
      <c r="C288" s="69"/>
      <c r="D288" s="69"/>
      <c r="E288" s="69"/>
      <c r="F288" s="69"/>
      <c r="G288" s="69"/>
      <c r="H288" s="69"/>
      <c r="I288" s="69"/>
      <c r="J288" s="69"/>
      <c r="K288" s="240" t="s">
        <v>122</v>
      </c>
      <c r="L288" s="238"/>
      <c r="M288" s="239">
        <f>SUM(M283:N287)</f>
        <v>2575000</v>
      </c>
      <c r="N288" s="238"/>
    </row>
    <row r="289" spans="1:15" x14ac:dyDescent="0.25">
      <c r="A289" s="69"/>
      <c r="B289" s="69"/>
      <c r="C289" s="69"/>
      <c r="D289" s="69"/>
      <c r="E289" s="69"/>
      <c r="F289" s="69"/>
      <c r="G289" s="69"/>
      <c r="H289" s="69"/>
      <c r="I289" s="69"/>
      <c r="J289" s="69"/>
      <c r="K289" s="69"/>
      <c r="L289" s="69"/>
      <c r="M289" s="69"/>
      <c r="N289" s="69"/>
    </row>
    <row r="290" spans="1:15" x14ac:dyDescent="0.25">
      <c r="A290" s="247" t="s">
        <v>125</v>
      </c>
      <c r="B290" s="237"/>
      <c r="C290" s="237"/>
      <c r="D290" s="237"/>
      <c r="E290" s="237"/>
      <c r="F290" s="237"/>
      <c r="G290" s="237"/>
      <c r="H290" s="237"/>
      <c r="I290" s="237"/>
      <c r="J290" s="237"/>
      <c r="K290" s="237"/>
      <c r="L290" s="237"/>
      <c r="M290" s="237"/>
      <c r="N290" s="238"/>
    </row>
    <row r="291" spans="1:15" x14ac:dyDescent="0.25">
      <c r="A291" s="240" t="s">
        <v>76</v>
      </c>
      <c r="B291" s="237"/>
      <c r="C291" s="237"/>
      <c r="D291" s="237"/>
      <c r="E291" s="237"/>
      <c r="F291" s="237"/>
      <c r="G291" s="238"/>
      <c r="H291" s="67" t="s">
        <v>46</v>
      </c>
      <c r="I291" s="248" t="s">
        <v>120</v>
      </c>
      <c r="J291" s="238"/>
      <c r="K291" s="70" t="s">
        <v>126</v>
      </c>
      <c r="L291" s="71" t="s">
        <v>128</v>
      </c>
      <c r="M291" s="248" t="s">
        <v>121</v>
      </c>
      <c r="N291" s="238"/>
    </row>
    <row r="292" spans="1:15" x14ac:dyDescent="0.25">
      <c r="A292" s="236" t="str">
        <f>PROFESIONALES!$B$9</f>
        <v>Director de consultoria</v>
      </c>
      <c r="B292" s="237"/>
      <c r="C292" s="237"/>
      <c r="D292" s="237"/>
      <c r="E292" s="237"/>
      <c r="F292" s="237"/>
      <c r="G292" s="238"/>
      <c r="H292" s="68" t="s">
        <v>80</v>
      </c>
      <c r="I292" s="239">
        <f>PROFESIONALES!$F$9</f>
        <v>7691776</v>
      </c>
      <c r="J292" s="238"/>
      <c r="K292" s="45">
        <f>PROFESIONALES!I$24</f>
        <v>2</v>
      </c>
      <c r="L292" s="72">
        <f>V6*AC6*30</f>
        <v>1.0588235294117649</v>
      </c>
      <c r="M292" s="239">
        <f>I292*K292*L292/30</f>
        <v>542948.8941176472</v>
      </c>
      <c r="N292" s="238"/>
    </row>
    <row r="293" spans="1:15" x14ac:dyDescent="0.25">
      <c r="A293" s="236" t="str">
        <f>PROFESIONALES!$B$11</f>
        <v>Especialista en Geotecnia</v>
      </c>
      <c r="B293" s="237"/>
      <c r="C293" s="237"/>
      <c r="D293" s="237"/>
      <c r="E293" s="237"/>
      <c r="F293" s="237"/>
      <c r="G293" s="238"/>
      <c r="H293" s="68" t="s">
        <v>80</v>
      </c>
      <c r="I293" s="239">
        <f>PROFESIONALES!$F$11</f>
        <v>6573098</v>
      </c>
      <c r="J293" s="238"/>
      <c r="K293" s="45">
        <f>PROFESIONALES!I$24</f>
        <v>2</v>
      </c>
      <c r="L293" s="45">
        <v>5.5</v>
      </c>
      <c r="M293" s="239">
        <f>I293*K293*L293/30</f>
        <v>2410135.9333333331</v>
      </c>
      <c r="N293" s="238"/>
    </row>
    <row r="294" spans="1:15" x14ac:dyDescent="0.25">
      <c r="A294" s="236" t="str">
        <f>PROFESIONALES!$B$15</f>
        <v>Profesional de apoyo</v>
      </c>
      <c r="B294" s="237"/>
      <c r="C294" s="237"/>
      <c r="D294" s="237"/>
      <c r="E294" s="237"/>
      <c r="F294" s="237"/>
      <c r="G294" s="238"/>
      <c r="H294" s="68" t="s">
        <v>80</v>
      </c>
      <c r="I294" s="239">
        <f>PROFESIONALES!$F$15</f>
        <v>5582300</v>
      </c>
      <c r="J294" s="238"/>
      <c r="K294" s="45">
        <f>PROFESIONALES!I$24</f>
        <v>2</v>
      </c>
      <c r="L294" s="45">
        <v>4.5</v>
      </c>
      <c r="M294" s="239">
        <f>I294*K294*L294/30</f>
        <v>1674690</v>
      </c>
      <c r="N294" s="238"/>
      <c r="O294" s="154">
        <f>L292+L293+L294+L295+L296</f>
        <v>12.408823529411764</v>
      </c>
    </row>
    <row r="295" spans="1:15" x14ac:dyDescent="0.25">
      <c r="A295" s="236" t="str">
        <f>PROFESIONALES!$B$20</f>
        <v>Delineante</v>
      </c>
      <c r="B295" s="237"/>
      <c r="C295" s="237"/>
      <c r="D295" s="237"/>
      <c r="E295" s="237"/>
      <c r="F295" s="237"/>
      <c r="G295" s="238"/>
      <c r="H295" s="68" t="s">
        <v>80</v>
      </c>
      <c r="I295" s="239">
        <f>PROFESIONALES!$F$20</f>
        <v>2751081</v>
      </c>
      <c r="J295" s="238"/>
      <c r="K295" s="45">
        <f>PROFESIONALES!I$24</f>
        <v>2</v>
      </c>
      <c r="L295" s="45">
        <f>V18*AC18*30</f>
        <v>0.45000000000000007</v>
      </c>
      <c r="M295" s="239">
        <f>I295*K295*L295/30</f>
        <v>82532.430000000008</v>
      </c>
      <c r="N295" s="238"/>
    </row>
    <row r="296" spans="1:15" x14ac:dyDescent="0.25">
      <c r="A296" s="236" t="str">
        <f>PROFESIONALES!$B$10</f>
        <v>Especialista Estructural</v>
      </c>
      <c r="B296" s="237"/>
      <c r="C296" s="237"/>
      <c r="D296" s="237"/>
      <c r="E296" s="237"/>
      <c r="F296" s="237"/>
      <c r="G296" s="238"/>
      <c r="H296" s="68" t="s">
        <v>80</v>
      </c>
      <c r="I296" s="239">
        <f>PROFESIONALES!$F$10</f>
        <v>6573098</v>
      </c>
      <c r="J296" s="238"/>
      <c r="K296" s="45">
        <f>PROFESIONALES!I$24</f>
        <v>2</v>
      </c>
      <c r="L296" s="45">
        <f>V7*AC7*30</f>
        <v>0.90000000000000013</v>
      </c>
      <c r="M296" s="239">
        <f>I296*K296*L296/30</f>
        <v>394385.88000000006</v>
      </c>
      <c r="N296" s="238"/>
    </row>
    <row r="297" spans="1:15" x14ac:dyDescent="0.25">
      <c r="A297" s="69"/>
      <c r="B297" s="69"/>
      <c r="C297" s="69"/>
      <c r="D297" s="69"/>
      <c r="E297" s="69"/>
      <c r="F297" s="69"/>
      <c r="G297" s="69"/>
      <c r="H297" s="69"/>
      <c r="I297" s="69"/>
      <c r="J297" s="69"/>
      <c r="K297" s="240" t="s">
        <v>122</v>
      </c>
      <c r="L297" s="238"/>
      <c r="M297" s="239">
        <f>SUM(M292:N296)</f>
        <v>5104693.13745098</v>
      </c>
      <c r="N297" s="238"/>
    </row>
    <row r="299" spans="1:15" x14ac:dyDescent="0.25">
      <c r="A299" s="241" t="str">
        <f>Productos!$B$15</f>
        <v>Diseños hidraulicos, incluye memorias de calculo y manuelaes de operación y puesta en marcha</v>
      </c>
      <c r="B299" s="242"/>
      <c r="C299" s="242"/>
      <c r="D299" s="242"/>
      <c r="E299" s="242"/>
      <c r="F299" s="242"/>
      <c r="G299" s="242"/>
      <c r="H299" s="242"/>
      <c r="I299" s="242"/>
      <c r="J299" s="242"/>
      <c r="K299" s="242"/>
      <c r="L299" s="242"/>
      <c r="M299" s="242"/>
      <c r="N299" s="243"/>
    </row>
    <row r="300" spans="1:15" x14ac:dyDescent="0.25">
      <c r="A300" s="244"/>
      <c r="B300" s="245"/>
      <c r="C300" s="245"/>
      <c r="D300" s="245"/>
      <c r="E300" s="245"/>
      <c r="F300" s="245"/>
      <c r="G300" s="245"/>
      <c r="H300" s="245"/>
      <c r="I300" s="245"/>
      <c r="J300" s="245"/>
      <c r="K300" s="245"/>
      <c r="L300" s="245"/>
      <c r="M300" s="245"/>
      <c r="N300" s="246"/>
    </row>
    <row r="301" spans="1:15" x14ac:dyDescent="0.25">
      <c r="A301" s="39">
        <v>1</v>
      </c>
      <c r="B301" s="39">
        <v>2</v>
      </c>
      <c r="C301" s="39">
        <v>3</v>
      </c>
      <c r="D301" s="39">
        <v>4</v>
      </c>
      <c r="E301" s="39">
        <v>5</v>
      </c>
      <c r="F301" s="39">
        <v>6</v>
      </c>
      <c r="G301" s="39">
        <v>7</v>
      </c>
      <c r="H301" s="39">
        <v>8</v>
      </c>
      <c r="I301" s="39">
        <v>9</v>
      </c>
      <c r="J301" s="39">
        <v>10</v>
      </c>
      <c r="K301" s="39">
        <v>11</v>
      </c>
      <c r="L301" s="39">
        <v>12</v>
      </c>
      <c r="M301" s="39">
        <v>13</v>
      </c>
      <c r="N301" s="39">
        <v>14</v>
      </c>
    </row>
    <row r="302" spans="1:15" ht="15.75" x14ac:dyDescent="0.3">
      <c r="A302" s="84" t="s">
        <v>137</v>
      </c>
      <c r="B302" s="59" t="str">
        <f>A299</f>
        <v>Diseños hidraulicos, incluye memorias de calculo y manuelaes de operación y puesta en marcha</v>
      </c>
      <c r="C302" s="85" t="s">
        <v>113</v>
      </c>
      <c r="D302" s="60" t="s">
        <v>127</v>
      </c>
      <c r="E302" s="86" t="s">
        <v>114</v>
      </c>
      <c r="F302" s="61">
        <f>H302+J302+L302+N302</f>
        <v>6892976.9664705889</v>
      </c>
      <c r="G302" s="86" t="s">
        <v>115</v>
      </c>
      <c r="H302" s="62">
        <f>M319</f>
        <v>52941.176470588238</v>
      </c>
      <c r="I302" s="86" t="s">
        <v>116</v>
      </c>
      <c r="J302" s="63">
        <f>M310</f>
        <v>352941.17647058825</v>
      </c>
      <c r="K302" s="86" t="s">
        <v>117</v>
      </c>
      <c r="L302" s="62">
        <f>M328</f>
        <v>0</v>
      </c>
      <c r="M302" s="86" t="s">
        <v>118</v>
      </c>
      <c r="N302" s="64">
        <f>M340</f>
        <v>6487094.6135294121</v>
      </c>
    </row>
    <row r="303" spans="1:15" x14ac:dyDescent="0.25">
      <c r="A303" s="65"/>
      <c r="B303" s="65"/>
      <c r="C303" s="65"/>
      <c r="D303" s="65"/>
      <c r="E303" s="65"/>
      <c r="F303" s="65"/>
      <c r="G303" s="65"/>
      <c r="H303" s="66"/>
      <c r="I303" s="66"/>
      <c r="J303" s="65"/>
      <c r="K303" s="65"/>
      <c r="L303" s="65"/>
      <c r="M303" s="65"/>
      <c r="N303" s="65"/>
    </row>
    <row r="304" spans="1:15" x14ac:dyDescent="0.25">
      <c r="A304" s="247" t="s">
        <v>119</v>
      </c>
      <c r="B304" s="237"/>
      <c r="C304" s="237"/>
      <c r="D304" s="237"/>
      <c r="E304" s="237"/>
      <c r="F304" s="237"/>
      <c r="G304" s="237"/>
      <c r="H304" s="237"/>
      <c r="I304" s="237"/>
      <c r="J304" s="237"/>
      <c r="K304" s="237"/>
      <c r="L304" s="237"/>
      <c r="M304" s="237"/>
      <c r="N304" s="238"/>
    </row>
    <row r="305" spans="1:14" x14ac:dyDescent="0.25">
      <c r="A305" s="240" t="s">
        <v>76</v>
      </c>
      <c r="B305" s="237"/>
      <c r="C305" s="237"/>
      <c r="D305" s="237"/>
      <c r="E305" s="237"/>
      <c r="F305" s="237"/>
      <c r="G305" s="238"/>
      <c r="H305" s="67" t="s">
        <v>46</v>
      </c>
      <c r="I305" s="248" t="s">
        <v>120</v>
      </c>
      <c r="J305" s="238"/>
      <c r="K305" s="248" t="s">
        <v>47</v>
      </c>
      <c r="L305" s="238"/>
      <c r="M305" s="248" t="s">
        <v>121</v>
      </c>
      <c r="N305" s="238"/>
    </row>
    <row r="306" spans="1:14" x14ac:dyDescent="0.25">
      <c r="A306" s="249" t="str">
        <f>PROFESIONALES!$B$30</f>
        <v>Alquiler oficina</v>
      </c>
      <c r="B306" s="237"/>
      <c r="C306" s="237"/>
      <c r="D306" s="237"/>
      <c r="E306" s="237"/>
      <c r="F306" s="237"/>
      <c r="G306" s="238"/>
      <c r="H306" s="68" t="str">
        <f>PROFESIONALES!$D$30</f>
        <v>MES</v>
      </c>
      <c r="I306" s="239">
        <f>PROFESIONALES!$F$30</f>
        <v>500000</v>
      </c>
      <c r="J306" s="238"/>
      <c r="K306" s="250">
        <f>PROFESIONALES!H30/APUS!Z22</f>
        <v>0.17647058823529413</v>
      </c>
      <c r="L306" s="238"/>
      <c r="M306" s="239">
        <f>K306*I306</f>
        <v>88235.294117647063</v>
      </c>
      <c r="N306" s="254"/>
    </row>
    <row r="307" spans="1:14" x14ac:dyDescent="0.25">
      <c r="A307" s="249" t="str">
        <f>PROFESIONALES!$B$32</f>
        <v>Gastos de oficina (Impresión de informes y planos)</v>
      </c>
      <c r="B307" s="237"/>
      <c r="C307" s="237"/>
      <c r="D307" s="237"/>
      <c r="E307" s="237"/>
      <c r="F307" s="237"/>
      <c r="G307" s="238"/>
      <c r="H307" s="68" t="str">
        <f>PROFESIONALES!$D$32</f>
        <v>COPIA</v>
      </c>
      <c r="I307" s="239">
        <f>PROFESIONALES!$F$32</f>
        <v>1500000</v>
      </c>
      <c r="J307" s="238"/>
      <c r="K307" s="250">
        <f>PROFESIONALES!$H$32*PROFESIONALES!E32/Z22</f>
        <v>0.17647058823529413</v>
      </c>
      <c r="L307" s="238"/>
      <c r="M307" s="239">
        <f t="shared" ref="M307:M308" si="19">K307*I307</f>
        <v>264705.8823529412</v>
      </c>
      <c r="N307" s="254"/>
    </row>
    <row r="308" spans="1:14" x14ac:dyDescent="0.25">
      <c r="A308" s="255"/>
      <c r="B308" s="256"/>
      <c r="C308" s="256"/>
      <c r="D308" s="256"/>
      <c r="E308" s="256"/>
      <c r="F308" s="256"/>
      <c r="G308" s="257"/>
      <c r="H308" s="73"/>
      <c r="I308" s="258"/>
      <c r="J308" s="257"/>
      <c r="K308" s="259"/>
      <c r="L308" s="257"/>
      <c r="M308" s="239">
        <f t="shared" si="19"/>
        <v>0</v>
      </c>
      <c r="N308" s="254"/>
    </row>
    <row r="309" spans="1:14" x14ac:dyDescent="0.25">
      <c r="A309" s="249"/>
      <c r="B309" s="237"/>
      <c r="C309" s="237"/>
      <c r="D309" s="237"/>
      <c r="E309" s="237"/>
      <c r="F309" s="237"/>
      <c r="G309" s="238"/>
      <c r="H309" s="68" t="str">
        <f>IF(A309="","",VLOOKUP(A309,AA_Materiales,7,FALSE))</f>
        <v/>
      </c>
      <c r="I309" s="239" t="str">
        <f>IF(A309="","",VLOOKUP(A309,AA_Materiales,8,FALSE))</f>
        <v/>
      </c>
      <c r="J309" s="238"/>
      <c r="K309" s="250"/>
      <c r="L309" s="238"/>
      <c r="M309" s="239" t="str">
        <f>IF(A309="","",I309*K309)</f>
        <v/>
      </c>
      <c r="N309" s="238"/>
    </row>
    <row r="310" spans="1:14" x14ac:dyDescent="0.25">
      <c r="A310" s="69"/>
      <c r="B310" s="69"/>
      <c r="C310" s="69"/>
      <c r="D310" s="69"/>
      <c r="E310" s="69"/>
      <c r="F310" s="69"/>
      <c r="G310" s="69"/>
      <c r="H310" s="69"/>
      <c r="I310" s="69"/>
      <c r="J310" s="69"/>
      <c r="K310" s="240" t="s">
        <v>122</v>
      </c>
      <c r="L310" s="238"/>
      <c r="M310" s="239">
        <f>SUM(M306:N309)</f>
        <v>352941.17647058825</v>
      </c>
      <c r="N310" s="238"/>
    </row>
    <row r="311" spans="1:14" x14ac:dyDescent="0.25">
      <c r="A311" s="69"/>
      <c r="B311" s="69"/>
      <c r="C311" s="69"/>
      <c r="D311" s="69"/>
      <c r="E311" s="69"/>
      <c r="F311" s="69"/>
      <c r="G311" s="69"/>
      <c r="H311" s="69"/>
      <c r="I311" s="69"/>
      <c r="J311" s="69"/>
      <c r="K311" s="69"/>
      <c r="L311" s="69"/>
      <c r="M311" s="69"/>
      <c r="N311" s="69"/>
    </row>
    <row r="312" spans="1:14" x14ac:dyDescent="0.25">
      <c r="A312" s="247" t="s">
        <v>123</v>
      </c>
      <c r="B312" s="237"/>
      <c r="C312" s="237"/>
      <c r="D312" s="237"/>
      <c r="E312" s="237"/>
      <c r="F312" s="237"/>
      <c r="G312" s="237"/>
      <c r="H312" s="237"/>
      <c r="I312" s="237"/>
      <c r="J312" s="237"/>
      <c r="K312" s="237"/>
      <c r="L312" s="237"/>
      <c r="M312" s="237"/>
      <c r="N312" s="238"/>
    </row>
    <row r="313" spans="1:14" x14ac:dyDescent="0.25">
      <c r="A313" s="240" t="s">
        <v>76</v>
      </c>
      <c r="B313" s="237"/>
      <c r="C313" s="237"/>
      <c r="D313" s="237"/>
      <c r="E313" s="237"/>
      <c r="F313" s="237"/>
      <c r="G313" s="238"/>
      <c r="H313" s="67" t="s">
        <v>46</v>
      </c>
      <c r="I313" s="248" t="s">
        <v>120</v>
      </c>
      <c r="J313" s="238"/>
      <c r="K313" s="248" t="s">
        <v>47</v>
      </c>
      <c r="L313" s="238"/>
      <c r="M313" s="248" t="s">
        <v>121</v>
      </c>
      <c r="N313" s="238"/>
    </row>
    <row r="314" spans="1:14" x14ac:dyDescent="0.25">
      <c r="A314" s="252" t="str">
        <f>PROFESIONALES!$B$31</f>
        <v>Servicios Públicos</v>
      </c>
      <c r="B314" s="237"/>
      <c r="C314" s="237"/>
      <c r="D314" s="237"/>
      <c r="E314" s="237"/>
      <c r="F314" s="237"/>
      <c r="G314" s="238"/>
      <c r="H314" s="68" t="str">
        <f>PROFESIONALES!$D$31</f>
        <v>MES</v>
      </c>
      <c r="I314" s="239">
        <f>PROFESIONALES!$F$31</f>
        <v>300000</v>
      </c>
      <c r="J314" s="238"/>
      <c r="K314" s="250">
        <f>PROFESIONALES!$H$9/Z22</f>
        <v>0.17647058823529413</v>
      </c>
      <c r="L314" s="251"/>
      <c r="M314" s="239">
        <f>K314*I314</f>
        <v>52941.176470588238</v>
      </c>
      <c r="N314" s="254"/>
    </row>
    <row r="315" spans="1:14" x14ac:dyDescent="0.25">
      <c r="A315" s="252"/>
      <c r="B315" s="237"/>
      <c r="C315" s="237"/>
      <c r="D315" s="237"/>
      <c r="E315" s="237"/>
      <c r="F315" s="237"/>
      <c r="G315" s="238"/>
      <c r="H315" s="68" t="str">
        <f>IF(A315="","",VLOOKUP(A315,AA_Equipos,7,FALSE))</f>
        <v/>
      </c>
      <c r="I315" s="239" t="str">
        <f>IF(A315="","",VLOOKUP(A315,AA_Materiales,8,FALSE))</f>
        <v/>
      </c>
      <c r="J315" s="238"/>
      <c r="K315" s="253"/>
      <c r="L315" s="238"/>
      <c r="M315" s="239" t="str">
        <f>IF(A315="","",I315*K315)</f>
        <v/>
      </c>
      <c r="N315" s="238"/>
    </row>
    <row r="316" spans="1:14" x14ac:dyDescent="0.25">
      <c r="A316" s="249"/>
      <c r="B316" s="237"/>
      <c r="C316" s="237"/>
      <c r="D316" s="237"/>
      <c r="E316" s="237"/>
      <c r="F316" s="237"/>
      <c r="G316" s="238"/>
      <c r="H316" s="68" t="str">
        <f>IF(A316="","",VLOOKUP(A316,AA_Equipos,7,FALSE))</f>
        <v/>
      </c>
      <c r="I316" s="239" t="str">
        <f>IF(A316="","",VLOOKUP(A316,AA_Materiales,8,FALSE))</f>
        <v/>
      </c>
      <c r="J316" s="238"/>
      <c r="K316" s="250"/>
      <c r="L316" s="238"/>
      <c r="M316" s="239" t="str">
        <f>IF(A316="","",I316*K316)</f>
        <v/>
      </c>
      <c r="N316" s="238"/>
    </row>
    <row r="317" spans="1:14" x14ac:dyDescent="0.25">
      <c r="A317" s="249"/>
      <c r="B317" s="237"/>
      <c r="C317" s="237"/>
      <c r="D317" s="237"/>
      <c r="E317" s="237"/>
      <c r="F317" s="237"/>
      <c r="G317" s="238"/>
      <c r="H317" s="68" t="str">
        <f>IF(A317="","",VLOOKUP(A317,AA_Equipos,7,FALSE))</f>
        <v/>
      </c>
      <c r="I317" s="239" t="str">
        <f>IF(A317="","",VLOOKUP(A317,AA_Materiales,8,FALSE))</f>
        <v/>
      </c>
      <c r="J317" s="238"/>
      <c r="K317" s="250"/>
      <c r="L317" s="238"/>
      <c r="M317" s="239" t="str">
        <f>IF(A317="","",I317*K317)</f>
        <v/>
      </c>
      <c r="N317" s="238"/>
    </row>
    <row r="318" spans="1:14" x14ac:dyDescent="0.25">
      <c r="A318" s="249"/>
      <c r="B318" s="237"/>
      <c r="C318" s="237"/>
      <c r="D318" s="237"/>
      <c r="E318" s="237"/>
      <c r="F318" s="237"/>
      <c r="G318" s="238"/>
      <c r="H318" s="68" t="str">
        <f>IF(A318="","",VLOOKUP(A318,AA_Equipos,7,FALSE))</f>
        <v/>
      </c>
      <c r="I318" s="239" t="str">
        <f>IF(A318="","",VLOOKUP(A318,AA_Materiales,8,FALSE))</f>
        <v/>
      </c>
      <c r="J318" s="238"/>
      <c r="K318" s="250"/>
      <c r="L318" s="238"/>
      <c r="M318" s="239" t="str">
        <f>IF(A318="","",I318*K318)</f>
        <v/>
      </c>
      <c r="N318" s="238"/>
    </row>
    <row r="319" spans="1:14" x14ac:dyDescent="0.25">
      <c r="A319" s="69"/>
      <c r="B319" s="69"/>
      <c r="C319" s="69"/>
      <c r="D319" s="69"/>
      <c r="E319" s="69"/>
      <c r="F319" s="69"/>
      <c r="G319" s="69"/>
      <c r="H319" s="69"/>
      <c r="I319" s="69"/>
      <c r="J319" s="69"/>
      <c r="K319" s="240" t="s">
        <v>122</v>
      </c>
      <c r="L319" s="238"/>
      <c r="M319" s="239">
        <f>SUM(M314:N318)</f>
        <v>52941.176470588238</v>
      </c>
      <c r="N319" s="238"/>
    </row>
    <row r="320" spans="1:14" x14ac:dyDescent="0.25">
      <c r="A320" s="69"/>
      <c r="B320" s="69"/>
      <c r="C320" s="69"/>
      <c r="D320" s="69"/>
      <c r="E320" s="69"/>
      <c r="F320" s="69"/>
      <c r="G320" s="69"/>
      <c r="H320" s="69"/>
      <c r="I320" s="69"/>
      <c r="J320" s="69"/>
      <c r="K320" s="69"/>
      <c r="L320" s="69"/>
      <c r="M320" s="69"/>
      <c r="N320" s="69"/>
    </row>
    <row r="321" spans="1:15" x14ac:dyDescent="0.25">
      <c r="A321" s="247" t="s">
        <v>124</v>
      </c>
      <c r="B321" s="237"/>
      <c r="C321" s="237"/>
      <c r="D321" s="237"/>
      <c r="E321" s="237"/>
      <c r="F321" s="237"/>
      <c r="G321" s="237"/>
      <c r="H321" s="237"/>
      <c r="I321" s="237"/>
      <c r="J321" s="237"/>
      <c r="K321" s="237"/>
      <c r="L321" s="237"/>
      <c r="M321" s="237"/>
      <c r="N321" s="238"/>
    </row>
    <row r="322" spans="1:15" x14ac:dyDescent="0.25">
      <c r="A322" s="240" t="s">
        <v>76</v>
      </c>
      <c r="B322" s="237"/>
      <c r="C322" s="237"/>
      <c r="D322" s="237"/>
      <c r="E322" s="237"/>
      <c r="F322" s="237"/>
      <c r="G322" s="238"/>
      <c r="H322" s="67" t="s">
        <v>46</v>
      </c>
      <c r="I322" s="248" t="s">
        <v>120</v>
      </c>
      <c r="J322" s="238"/>
      <c r="K322" s="248" t="s">
        <v>47</v>
      </c>
      <c r="L322" s="238"/>
      <c r="M322" s="248" t="s">
        <v>121</v>
      </c>
      <c r="N322" s="238"/>
    </row>
    <row r="323" spans="1:15" x14ac:dyDescent="0.25">
      <c r="A323" s="249"/>
      <c r="B323" s="237"/>
      <c r="C323" s="237"/>
      <c r="D323" s="237"/>
      <c r="E323" s="237"/>
      <c r="F323" s="237"/>
      <c r="G323" s="238"/>
      <c r="H323" s="68"/>
      <c r="I323" s="239"/>
      <c r="J323" s="238"/>
      <c r="K323" s="250"/>
      <c r="L323" s="251"/>
      <c r="M323" s="239"/>
      <c r="N323" s="238"/>
    </row>
    <row r="324" spans="1:15" x14ac:dyDescent="0.25">
      <c r="A324" s="252"/>
      <c r="B324" s="237"/>
      <c r="C324" s="237"/>
      <c r="D324" s="237"/>
      <c r="E324" s="237"/>
      <c r="F324" s="237"/>
      <c r="G324" s="238"/>
      <c r="H324" s="68"/>
      <c r="I324" s="239"/>
      <c r="J324" s="238"/>
      <c r="K324" s="253"/>
      <c r="L324" s="238"/>
      <c r="M324" s="239"/>
      <c r="N324" s="238"/>
    </row>
    <row r="325" spans="1:15" x14ac:dyDescent="0.25">
      <c r="A325" s="249"/>
      <c r="B325" s="237"/>
      <c r="C325" s="237"/>
      <c r="D325" s="237"/>
      <c r="E325" s="237"/>
      <c r="F325" s="237"/>
      <c r="G325" s="238"/>
      <c r="H325" s="68"/>
      <c r="I325" s="239"/>
      <c r="J325" s="238"/>
      <c r="K325" s="250"/>
      <c r="L325" s="238"/>
      <c r="M325" s="239" t="str">
        <f>IF(A325="","",I325*K325)</f>
        <v/>
      </c>
      <c r="N325" s="238"/>
    </row>
    <row r="326" spans="1:15" x14ac:dyDescent="0.25">
      <c r="A326" s="249"/>
      <c r="B326" s="237"/>
      <c r="C326" s="237"/>
      <c r="D326" s="237"/>
      <c r="E326" s="237"/>
      <c r="F326" s="237"/>
      <c r="G326" s="238"/>
      <c r="H326" s="68"/>
      <c r="I326" s="239"/>
      <c r="J326" s="238"/>
      <c r="K326" s="250"/>
      <c r="L326" s="238"/>
      <c r="M326" s="239" t="str">
        <f>IF(A326="","",I326*K326)</f>
        <v/>
      </c>
      <c r="N326" s="238"/>
    </row>
    <row r="327" spans="1:15" x14ac:dyDescent="0.25">
      <c r="A327" s="249"/>
      <c r="B327" s="237"/>
      <c r="C327" s="237"/>
      <c r="D327" s="237"/>
      <c r="E327" s="237"/>
      <c r="F327" s="237"/>
      <c r="G327" s="238"/>
      <c r="H327" s="68"/>
      <c r="I327" s="239"/>
      <c r="J327" s="238"/>
      <c r="K327" s="250"/>
      <c r="L327" s="238"/>
      <c r="M327" s="239" t="str">
        <f>IF(A327="","",I327*K327)</f>
        <v/>
      </c>
      <c r="N327" s="238"/>
    </row>
    <row r="328" spans="1:15" x14ac:dyDescent="0.25">
      <c r="A328" s="69"/>
      <c r="B328" s="69"/>
      <c r="C328" s="69"/>
      <c r="D328" s="69"/>
      <c r="E328" s="69"/>
      <c r="F328" s="69"/>
      <c r="G328" s="69"/>
      <c r="H328" s="69"/>
      <c r="I328" s="69"/>
      <c r="J328" s="69"/>
      <c r="K328" s="240" t="s">
        <v>122</v>
      </c>
      <c r="L328" s="238"/>
      <c r="M328" s="239">
        <f>SUM(M323:N327)</f>
        <v>0</v>
      </c>
      <c r="N328" s="238"/>
    </row>
    <row r="329" spans="1:15" x14ac:dyDescent="0.25">
      <c r="A329" s="69"/>
      <c r="B329" s="69"/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</row>
    <row r="330" spans="1:15" x14ac:dyDescent="0.25">
      <c r="A330" s="247" t="s">
        <v>125</v>
      </c>
      <c r="B330" s="237"/>
      <c r="C330" s="237"/>
      <c r="D330" s="237"/>
      <c r="E330" s="237"/>
      <c r="F330" s="237"/>
      <c r="G330" s="237"/>
      <c r="H330" s="237"/>
      <c r="I330" s="237"/>
      <c r="J330" s="237"/>
      <c r="K330" s="237"/>
      <c r="L330" s="237"/>
      <c r="M330" s="237"/>
      <c r="N330" s="238"/>
    </row>
    <row r="331" spans="1:15" x14ac:dyDescent="0.25">
      <c r="A331" s="240" t="s">
        <v>76</v>
      </c>
      <c r="B331" s="237"/>
      <c r="C331" s="237"/>
      <c r="D331" s="237"/>
      <c r="E331" s="237"/>
      <c r="F331" s="237"/>
      <c r="G331" s="238"/>
      <c r="H331" s="67" t="s">
        <v>46</v>
      </c>
      <c r="I331" s="248" t="s">
        <v>120</v>
      </c>
      <c r="J331" s="238"/>
      <c r="K331" s="70" t="s">
        <v>126</v>
      </c>
      <c r="L331" s="71" t="s">
        <v>128</v>
      </c>
      <c r="M331" s="248" t="s">
        <v>121</v>
      </c>
      <c r="N331" s="238"/>
    </row>
    <row r="332" spans="1:15" x14ac:dyDescent="0.25">
      <c r="A332" s="236" t="str">
        <f>PROFESIONALES!$B$9</f>
        <v>Director de consultoria</v>
      </c>
      <c r="B332" s="237"/>
      <c r="C332" s="237"/>
      <c r="D332" s="237"/>
      <c r="E332" s="237"/>
      <c r="F332" s="237"/>
      <c r="G332" s="238"/>
      <c r="H332" s="68" t="s">
        <v>80</v>
      </c>
      <c r="I332" s="239">
        <f>PROFESIONALES!$F$9</f>
        <v>7691776</v>
      </c>
      <c r="J332" s="238"/>
      <c r="K332" s="45">
        <f>PROFESIONALES!I$24</f>
        <v>2</v>
      </c>
      <c r="L332" s="72">
        <f>V6*AD6*30</f>
        <v>1.0588235294117649</v>
      </c>
      <c r="M332" s="239">
        <f t="shared" ref="M332:M339" si="20">I332*K332*L332/30</f>
        <v>542948.8941176472</v>
      </c>
      <c r="N332" s="238"/>
    </row>
    <row r="333" spans="1:15" x14ac:dyDescent="0.25">
      <c r="A333" s="236" t="str">
        <f>PROFESIONALES!$B$12</f>
        <v>Especialista Hidráulico</v>
      </c>
      <c r="B333" s="237"/>
      <c r="C333" s="237"/>
      <c r="D333" s="237"/>
      <c r="E333" s="237"/>
      <c r="F333" s="237"/>
      <c r="G333" s="238"/>
      <c r="H333" s="68" t="s">
        <v>80</v>
      </c>
      <c r="I333" s="239">
        <f>PROFESIONALES!$F$12</f>
        <v>6356217</v>
      </c>
      <c r="J333" s="238"/>
      <c r="K333" s="45">
        <f>PROFESIONALES!I$24</f>
        <v>2</v>
      </c>
      <c r="L333" s="45">
        <v>5.6</v>
      </c>
      <c r="M333" s="239">
        <f t="shared" si="20"/>
        <v>2372987.6799999997</v>
      </c>
      <c r="N333" s="238"/>
    </row>
    <row r="334" spans="1:15" x14ac:dyDescent="0.25">
      <c r="A334" s="236" t="str">
        <f>PROFESIONALES!$B$15</f>
        <v>Profesional de apoyo</v>
      </c>
      <c r="B334" s="237"/>
      <c r="C334" s="237"/>
      <c r="D334" s="237"/>
      <c r="E334" s="237"/>
      <c r="F334" s="237"/>
      <c r="G334" s="238"/>
      <c r="H334" s="68" t="s">
        <v>80</v>
      </c>
      <c r="I334" s="239">
        <f>PROFESIONALES!$F$15</f>
        <v>5582300</v>
      </c>
      <c r="J334" s="238"/>
      <c r="K334" s="45">
        <f>PROFESIONALES!I$24</f>
        <v>2</v>
      </c>
      <c r="L334" s="45">
        <f>V12*AD12*30</f>
        <v>5.2941176470588234</v>
      </c>
      <c r="M334" s="239">
        <f t="shared" si="20"/>
        <v>1970223.5294117646</v>
      </c>
      <c r="N334" s="238"/>
      <c r="O334" s="154">
        <f>L332+L333+L334+L335+L336+L337+L338</f>
        <v>16.702941176470588</v>
      </c>
    </row>
    <row r="335" spans="1:15" x14ac:dyDescent="0.25">
      <c r="A335" s="236" t="str">
        <f>PROFESIONALES!$B$20</f>
        <v>Delineante</v>
      </c>
      <c r="B335" s="237"/>
      <c r="C335" s="237"/>
      <c r="D335" s="237"/>
      <c r="E335" s="237"/>
      <c r="F335" s="237"/>
      <c r="G335" s="238"/>
      <c r="H335" s="68" t="s">
        <v>80</v>
      </c>
      <c r="I335" s="239">
        <f>PROFESIONALES!$F$20</f>
        <v>2751081</v>
      </c>
      <c r="J335" s="238"/>
      <c r="K335" s="45">
        <f>PROFESIONALES!I$24</f>
        <v>2</v>
      </c>
      <c r="L335" s="45">
        <f>V18*AD18*30</f>
        <v>0.90000000000000013</v>
      </c>
      <c r="M335" s="239">
        <f t="shared" si="20"/>
        <v>165064.86000000002</v>
      </c>
      <c r="N335" s="238"/>
    </row>
    <row r="336" spans="1:15" x14ac:dyDescent="0.25">
      <c r="A336" s="236" t="str">
        <f>PROFESIONALES!$B$14</f>
        <v xml:space="preserve">Especialista Veterinario </v>
      </c>
      <c r="B336" s="237"/>
      <c r="C336" s="237"/>
      <c r="D336" s="237"/>
      <c r="E336" s="237"/>
      <c r="F336" s="237"/>
      <c r="G336" s="238"/>
      <c r="H336" s="68" t="s">
        <v>80</v>
      </c>
      <c r="I336" s="239">
        <f>PROFESIONALES!$F$14</f>
        <v>6356217</v>
      </c>
      <c r="J336" s="238"/>
      <c r="K336" s="45">
        <f>PROFESIONALES!I$24</f>
        <v>2</v>
      </c>
      <c r="L336" s="45">
        <v>2.5</v>
      </c>
      <c r="M336" s="239">
        <f t="shared" si="20"/>
        <v>1059369.5</v>
      </c>
      <c r="N336" s="238"/>
    </row>
    <row r="337" spans="1:14" x14ac:dyDescent="0.25">
      <c r="A337" s="236" t="str">
        <f>PROFESIONALES!$B$16</f>
        <v>Topógrafo</v>
      </c>
      <c r="B337" s="237"/>
      <c r="C337" s="237"/>
      <c r="D337" s="237"/>
      <c r="E337" s="237"/>
      <c r="F337" s="237"/>
      <c r="G337" s="238"/>
      <c r="H337" s="68" t="s">
        <v>80</v>
      </c>
      <c r="I337" s="239">
        <f>PROFESIONALES!$F$16</f>
        <v>4183335</v>
      </c>
      <c r="J337" s="238"/>
      <c r="K337" s="45">
        <f>PROFESIONALES!I$24</f>
        <v>2</v>
      </c>
      <c r="L337" s="45">
        <f>V13*AD13*30</f>
        <v>1.3499999999999999</v>
      </c>
      <c r="M337" s="239">
        <f t="shared" si="20"/>
        <v>376500.14999999997</v>
      </c>
      <c r="N337" s="238"/>
    </row>
    <row r="338" spans="1:14" x14ac:dyDescent="0.25">
      <c r="A338" s="236"/>
      <c r="B338" s="237"/>
      <c r="C338" s="237"/>
      <c r="D338" s="237"/>
      <c r="E338" s="237"/>
      <c r="F338" s="237"/>
      <c r="G338" s="238"/>
      <c r="H338" s="68"/>
      <c r="I338" s="239"/>
      <c r="J338" s="238"/>
      <c r="K338" s="45"/>
      <c r="L338" s="45"/>
      <c r="M338" s="239">
        <f t="shared" si="20"/>
        <v>0</v>
      </c>
      <c r="N338" s="238"/>
    </row>
    <row r="339" spans="1:14" x14ac:dyDescent="0.25">
      <c r="A339" s="236"/>
      <c r="B339" s="237"/>
      <c r="C339" s="237"/>
      <c r="D339" s="237"/>
      <c r="E339" s="237"/>
      <c r="F339" s="237"/>
      <c r="G339" s="238"/>
      <c r="H339" s="68"/>
      <c r="I339" s="239"/>
      <c r="J339" s="238"/>
      <c r="K339" s="45"/>
      <c r="L339" s="45"/>
      <c r="M339" s="239">
        <f t="shared" si="20"/>
        <v>0</v>
      </c>
      <c r="N339" s="238"/>
    </row>
    <row r="340" spans="1:14" x14ac:dyDescent="0.25">
      <c r="A340" s="69"/>
      <c r="B340" s="69"/>
      <c r="C340" s="69"/>
      <c r="D340" s="69"/>
      <c r="E340" s="69"/>
      <c r="F340" s="69"/>
      <c r="G340" s="69"/>
      <c r="H340" s="69"/>
      <c r="I340" s="69"/>
      <c r="J340" s="69"/>
      <c r="K340" s="240" t="s">
        <v>122</v>
      </c>
      <c r="L340" s="238"/>
      <c r="M340" s="239">
        <f>SUM(M332:N339)</f>
        <v>6487094.6135294121</v>
      </c>
      <c r="N340" s="238"/>
    </row>
    <row r="342" spans="1:14" x14ac:dyDescent="0.25">
      <c r="A342" s="241" t="str">
        <f>Productos!$B$16</f>
        <v>Diseños estructurales</v>
      </c>
      <c r="B342" s="242"/>
      <c r="C342" s="242"/>
      <c r="D342" s="242"/>
      <c r="E342" s="242"/>
      <c r="F342" s="242"/>
      <c r="G342" s="242"/>
      <c r="H342" s="242"/>
      <c r="I342" s="242"/>
      <c r="J342" s="242"/>
      <c r="K342" s="242"/>
      <c r="L342" s="242"/>
      <c r="M342" s="242"/>
      <c r="N342" s="243"/>
    </row>
    <row r="343" spans="1:14" x14ac:dyDescent="0.25">
      <c r="A343" s="244"/>
      <c r="B343" s="245"/>
      <c r="C343" s="245"/>
      <c r="D343" s="245"/>
      <c r="E343" s="245"/>
      <c r="F343" s="245"/>
      <c r="G343" s="245"/>
      <c r="H343" s="245"/>
      <c r="I343" s="245"/>
      <c r="J343" s="245"/>
      <c r="K343" s="245"/>
      <c r="L343" s="245"/>
      <c r="M343" s="245"/>
      <c r="N343" s="246"/>
    </row>
    <row r="344" spans="1:14" x14ac:dyDescent="0.25">
      <c r="A344" s="39">
        <v>1</v>
      </c>
      <c r="B344" s="39">
        <v>2</v>
      </c>
      <c r="C344" s="39">
        <v>3</v>
      </c>
      <c r="D344" s="39">
        <v>4</v>
      </c>
      <c r="E344" s="39">
        <v>5</v>
      </c>
      <c r="F344" s="39">
        <v>6</v>
      </c>
      <c r="G344" s="39">
        <v>7</v>
      </c>
      <c r="H344" s="39">
        <v>8</v>
      </c>
      <c r="I344" s="39">
        <v>9</v>
      </c>
      <c r="J344" s="39">
        <v>10</v>
      </c>
      <c r="K344" s="39">
        <v>11</v>
      </c>
      <c r="L344" s="39">
        <v>12</v>
      </c>
      <c r="M344" s="39">
        <v>13</v>
      </c>
      <c r="N344" s="39">
        <v>14</v>
      </c>
    </row>
    <row r="345" spans="1:14" ht="15.75" x14ac:dyDescent="0.3">
      <c r="A345" s="84" t="s">
        <v>138</v>
      </c>
      <c r="B345" s="59" t="str">
        <f>A342</f>
        <v>Diseños estructurales</v>
      </c>
      <c r="C345" s="85" t="s">
        <v>113</v>
      </c>
      <c r="D345" s="60" t="s">
        <v>127</v>
      </c>
      <c r="E345" s="86" t="s">
        <v>114</v>
      </c>
      <c r="F345" s="61">
        <f>H345+J345+L345+N345</f>
        <v>10772746.033137253</v>
      </c>
      <c r="G345" s="86" t="s">
        <v>115</v>
      </c>
      <c r="H345" s="62">
        <f>M362</f>
        <v>52941.176470588238</v>
      </c>
      <c r="I345" s="86" t="s">
        <v>116</v>
      </c>
      <c r="J345" s="63">
        <f>M353</f>
        <v>352941.17647058825</v>
      </c>
      <c r="K345" s="86" t="s">
        <v>117</v>
      </c>
      <c r="L345" s="62">
        <f>M371</f>
        <v>0</v>
      </c>
      <c r="M345" s="86" t="s">
        <v>118</v>
      </c>
      <c r="N345" s="64">
        <f>M381</f>
        <v>10366863.680196077</v>
      </c>
    </row>
    <row r="346" spans="1:14" x14ac:dyDescent="0.25">
      <c r="A346" s="65"/>
      <c r="B346" s="65"/>
      <c r="C346" s="65"/>
      <c r="D346" s="65"/>
      <c r="E346" s="65"/>
      <c r="F346" s="65"/>
      <c r="G346" s="65"/>
      <c r="H346" s="66"/>
      <c r="I346" s="66"/>
      <c r="J346" s="65"/>
      <c r="K346" s="65"/>
      <c r="L346" s="65"/>
      <c r="M346" s="65"/>
      <c r="N346" s="65"/>
    </row>
    <row r="347" spans="1:14" x14ac:dyDescent="0.25">
      <c r="A347" s="247" t="s">
        <v>119</v>
      </c>
      <c r="B347" s="237"/>
      <c r="C347" s="237"/>
      <c r="D347" s="237"/>
      <c r="E347" s="237"/>
      <c r="F347" s="237"/>
      <c r="G347" s="237"/>
      <c r="H347" s="237"/>
      <c r="I347" s="237"/>
      <c r="J347" s="237"/>
      <c r="K347" s="237"/>
      <c r="L347" s="237"/>
      <c r="M347" s="237"/>
      <c r="N347" s="238"/>
    </row>
    <row r="348" spans="1:14" x14ac:dyDescent="0.25">
      <c r="A348" s="240" t="s">
        <v>76</v>
      </c>
      <c r="B348" s="237"/>
      <c r="C348" s="237"/>
      <c r="D348" s="237"/>
      <c r="E348" s="237"/>
      <c r="F348" s="237"/>
      <c r="G348" s="238"/>
      <c r="H348" s="67" t="s">
        <v>46</v>
      </c>
      <c r="I348" s="248" t="s">
        <v>120</v>
      </c>
      <c r="J348" s="238"/>
      <c r="K348" s="248" t="s">
        <v>47</v>
      </c>
      <c r="L348" s="238"/>
      <c r="M348" s="248" t="s">
        <v>121</v>
      </c>
      <c r="N348" s="238"/>
    </row>
    <row r="349" spans="1:14" x14ac:dyDescent="0.25">
      <c r="A349" s="249" t="str">
        <f>PROFESIONALES!$B$30</f>
        <v>Alquiler oficina</v>
      </c>
      <c r="B349" s="237"/>
      <c r="C349" s="237"/>
      <c r="D349" s="237"/>
      <c r="E349" s="237"/>
      <c r="F349" s="237"/>
      <c r="G349" s="238"/>
      <c r="H349" s="68" t="str">
        <f>PROFESIONALES!$D$30</f>
        <v>MES</v>
      </c>
      <c r="I349" s="239">
        <f>PROFESIONALES!$F$30</f>
        <v>500000</v>
      </c>
      <c r="J349" s="238"/>
      <c r="K349" s="250">
        <f>PROFESIONALES!H30/APUS!Z22</f>
        <v>0.17647058823529413</v>
      </c>
      <c r="L349" s="238"/>
      <c r="M349" s="239">
        <f>K349*I349</f>
        <v>88235.294117647063</v>
      </c>
      <c r="N349" s="254"/>
    </row>
    <row r="350" spans="1:14" x14ac:dyDescent="0.25">
      <c r="A350" s="249" t="str">
        <f>PROFESIONALES!$B$32</f>
        <v>Gastos de oficina (Impresión de informes y planos)</v>
      </c>
      <c r="B350" s="237"/>
      <c r="C350" s="237"/>
      <c r="D350" s="237"/>
      <c r="E350" s="237"/>
      <c r="F350" s="237"/>
      <c r="G350" s="238"/>
      <c r="H350" s="68" t="str">
        <f>PROFESIONALES!$D$32</f>
        <v>COPIA</v>
      </c>
      <c r="I350" s="239">
        <f>PROFESIONALES!$F$32</f>
        <v>1500000</v>
      </c>
      <c r="J350" s="238"/>
      <c r="K350" s="250">
        <f>PROFESIONALES!$H$32*PROFESIONALES!E32/Z22</f>
        <v>0.17647058823529413</v>
      </c>
      <c r="L350" s="238"/>
      <c r="M350" s="239">
        <f t="shared" ref="M350" si="21">K350*I350</f>
        <v>264705.8823529412</v>
      </c>
      <c r="N350" s="254"/>
    </row>
    <row r="351" spans="1:14" x14ac:dyDescent="0.25">
      <c r="A351" s="255"/>
      <c r="B351" s="256"/>
      <c r="C351" s="256"/>
      <c r="D351" s="256"/>
      <c r="E351" s="256"/>
      <c r="F351" s="256"/>
      <c r="G351" s="257"/>
      <c r="H351" s="73"/>
      <c r="I351" s="258"/>
      <c r="J351" s="257"/>
      <c r="K351" s="259"/>
      <c r="L351" s="257"/>
      <c r="M351" s="276"/>
      <c r="N351" s="273"/>
    </row>
    <row r="352" spans="1:14" x14ac:dyDescent="0.25">
      <c r="A352" s="249"/>
      <c r="B352" s="237"/>
      <c r="C352" s="237"/>
      <c r="D352" s="237"/>
      <c r="E352" s="237"/>
      <c r="F352" s="237"/>
      <c r="G352" s="238"/>
      <c r="H352" s="68" t="str">
        <f>IF(A352="","",VLOOKUP(A352,AA_Materiales,7,FALSE))</f>
        <v/>
      </c>
      <c r="I352" s="239" t="str">
        <f>IF(A352="","",VLOOKUP(A352,AA_Materiales,8,FALSE))</f>
        <v/>
      </c>
      <c r="J352" s="238"/>
      <c r="K352" s="250"/>
      <c r="L352" s="238"/>
      <c r="M352" s="239" t="str">
        <f>IF(A352="","",I352*K352)</f>
        <v/>
      </c>
      <c r="N352" s="254"/>
    </row>
    <row r="353" spans="1:14" x14ac:dyDescent="0.25">
      <c r="A353" s="69"/>
      <c r="B353" s="69"/>
      <c r="C353" s="69"/>
      <c r="D353" s="69"/>
      <c r="E353" s="69"/>
      <c r="F353" s="69"/>
      <c r="G353" s="69"/>
      <c r="H353" s="69"/>
      <c r="I353" s="69"/>
      <c r="J353" s="69"/>
      <c r="K353" s="240" t="s">
        <v>122</v>
      </c>
      <c r="L353" s="238"/>
      <c r="M353" s="239">
        <f>SUM(M349:N352)</f>
        <v>352941.17647058825</v>
      </c>
      <c r="N353" s="238"/>
    </row>
    <row r="354" spans="1:14" x14ac:dyDescent="0.25">
      <c r="A354" s="69"/>
      <c r="B354" s="69"/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</row>
    <row r="355" spans="1:14" x14ac:dyDescent="0.25">
      <c r="A355" s="247" t="s">
        <v>123</v>
      </c>
      <c r="B355" s="237"/>
      <c r="C355" s="237"/>
      <c r="D355" s="237"/>
      <c r="E355" s="237"/>
      <c r="F355" s="237"/>
      <c r="G355" s="237"/>
      <c r="H355" s="237"/>
      <c r="I355" s="237"/>
      <c r="J355" s="237"/>
      <c r="K355" s="237"/>
      <c r="L355" s="237"/>
      <c r="M355" s="237"/>
      <c r="N355" s="238"/>
    </row>
    <row r="356" spans="1:14" x14ac:dyDescent="0.25">
      <c r="A356" s="240" t="s">
        <v>76</v>
      </c>
      <c r="B356" s="237"/>
      <c r="C356" s="237"/>
      <c r="D356" s="237"/>
      <c r="E356" s="237"/>
      <c r="F356" s="237"/>
      <c r="G356" s="238"/>
      <c r="H356" s="67" t="s">
        <v>46</v>
      </c>
      <c r="I356" s="248" t="s">
        <v>120</v>
      </c>
      <c r="J356" s="238"/>
      <c r="K356" s="248" t="s">
        <v>47</v>
      </c>
      <c r="L356" s="238"/>
      <c r="M356" s="248" t="s">
        <v>121</v>
      </c>
      <c r="N356" s="238"/>
    </row>
    <row r="357" spans="1:14" x14ac:dyDescent="0.25">
      <c r="A357" s="252" t="str">
        <f>PROFESIONALES!$B$31</f>
        <v>Servicios Públicos</v>
      </c>
      <c r="B357" s="237"/>
      <c r="C357" s="237"/>
      <c r="D357" s="237"/>
      <c r="E357" s="237"/>
      <c r="F357" s="237"/>
      <c r="G357" s="238"/>
      <c r="H357" s="68" t="str">
        <f>PROFESIONALES!$D$31</f>
        <v>MES</v>
      </c>
      <c r="I357" s="239">
        <f>PROFESIONALES!$F$31</f>
        <v>300000</v>
      </c>
      <c r="J357" s="238"/>
      <c r="K357" s="250">
        <f>PROFESIONALES!$H$9/Z22</f>
        <v>0.17647058823529413</v>
      </c>
      <c r="L357" s="251"/>
      <c r="M357" s="239">
        <f>K357*I357</f>
        <v>52941.176470588238</v>
      </c>
      <c r="N357" s="254"/>
    </row>
    <row r="358" spans="1:14" x14ac:dyDescent="0.25">
      <c r="A358" s="252"/>
      <c r="B358" s="237"/>
      <c r="C358" s="237"/>
      <c r="D358" s="237"/>
      <c r="E358" s="237"/>
      <c r="F358" s="237"/>
      <c r="G358" s="238"/>
      <c r="H358" s="68" t="str">
        <f>IF(A358="","",VLOOKUP(A358,AA_Equipos,7,FALSE))</f>
        <v/>
      </c>
      <c r="I358" s="239" t="str">
        <f>IF(A358="","",VLOOKUP(A358,AA_Materiales,8,FALSE))</f>
        <v/>
      </c>
      <c r="J358" s="238"/>
      <c r="K358" s="253"/>
      <c r="L358" s="238"/>
      <c r="M358" s="239" t="str">
        <f>IF(A358="","",I358*K358)</f>
        <v/>
      </c>
      <c r="N358" s="238"/>
    </row>
    <row r="359" spans="1:14" x14ac:dyDescent="0.25">
      <c r="A359" s="249"/>
      <c r="B359" s="237"/>
      <c r="C359" s="237"/>
      <c r="D359" s="237"/>
      <c r="E359" s="237"/>
      <c r="F359" s="237"/>
      <c r="G359" s="238"/>
      <c r="H359" s="68" t="str">
        <f>IF(A359="","",VLOOKUP(A359,AA_Equipos,7,FALSE))</f>
        <v/>
      </c>
      <c r="I359" s="239" t="str">
        <f>IF(A359="","",VLOOKUP(A359,AA_Materiales,8,FALSE))</f>
        <v/>
      </c>
      <c r="J359" s="238"/>
      <c r="K359" s="250"/>
      <c r="L359" s="238"/>
      <c r="M359" s="239" t="str">
        <f>IF(A359="","",I359*K359)</f>
        <v/>
      </c>
      <c r="N359" s="238"/>
    </row>
    <row r="360" spans="1:14" x14ac:dyDescent="0.25">
      <c r="A360" s="249"/>
      <c r="B360" s="237"/>
      <c r="C360" s="237"/>
      <c r="D360" s="237"/>
      <c r="E360" s="237"/>
      <c r="F360" s="237"/>
      <c r="G360" s="238"/>
      <c r="H360" s="68" t="str">
        <f>IF(A360="","",VLOOKUP(A360,AA_Equipos,7,FALSE))</f>
        <v/>
      </c>
      <c r="I360" s="239" t="str">
        <f>IF(A360="","",VLOOKUP(A360,AA_Materiales,8,FALSE))</f>
        <v/>
      </c>
      <c r="J360" s="238"/>
      <c r="K360" s="250"/>
      <c r="L360" s="238"/>
      <c r="M360" s="239" t="str">
        <f>IF(A360="","",I360*K360)</f>
        <v/>
      </c>
      <c r="N360" s="238"/>
    </row>
    <row r="361" spans="1:14" x14ac:dyDescent="0.25">
      <c r="A361" s="249"/>
      <c r="B361" s="237"/>
      <c r="C361" s="237"/>
      <c r="D361" s="237"/>
      <c r="E361" s="237"/>
      <c r="F361" s="237"/>
      <c r="G361" s="238"/>
      <c r="H361" s="68" t="str">
        <f>IF(A361="","",VLOOKUP(A361,AA_Equipos,7,FALSE))</f>
        <v/>
      </c>
      <c r="I361" s="239" t="str">
        <f>IF(A361="","",VLOOKUP(A361,AA_Materiales,8,FALSE))</f>
        <v/>
      </c>
      <c r="J361" s="238"/>
      <c r="K361" s="250"/>
      <c r="L361" s="238"/>
      <c r="M361" s="239" t="str">
        <f>IF(A361="","",I361*K361)</f>
        <v/>
      </c>
      <c r="N361" s="238"/>
    </row>
    <row r="362" spans="1:14" x14ac:dyDescent="0.25">
      <c r="A362" s="69"/>
      <c r="B362" s="69"/>
      <c r="C362" s="69"/>
      <c r="D362" s="69"/>
      <c r="E362" s="69"/>
      <c r="F362" s="69"/>
      <c r="G362" s="69"/>
      <c r="H362" s="69"/>
      <c r="I362" s="69"/>
      <c r="J362" s="69"/>
      <c r="K362" s="240" t="s">
        <v>122</v>
      </c>
      <c r="L362" s="238"/>
      <c r="M362" s="239">
        <f>SUM(M357:N361)</f>
        <v>52941.176470588238</v>
      </c>
      <c r="N362" s="238"/>
    </row>
    <row r="363" spans="1:14" x14ac:dyDescent="0.25">
      <c r="A363" s="69"/>
      <c r="B363" s="69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</row>
    <row r="364" spans="1:14" x14ac:dyDescent="0.25">
      <c r="A364" s="247" t="s">
        <v>124</v>
      </c>
      <c r="B364" s="237"/>
      <c r="C364" s="237"/>
      <c r="D364" s="237"/>
      <c r="E364" s="237"/>
      <c r="F364" s="237"/>
      <c r="G364" s="237"/>
      <c r="H364" s="237"/>
      <c r="I364" s="237"/>
      <c r="J364" s="237"/>
      <c r="K364" s="237"/>
      <c r="L364" s="237"/>
      <c r="M364" s="237"/>
      <c r="N364" s="238"/>
    </row>
    <row r="365" spans="1:14" x14ac:dyDescent="0.25">
      <c r="A365" s="240" t="s">
        <v>76</v>
      </c>
      <c r="B365" s="237"/>
      <c r="C365" s="237"/>
      <c r="D365" s="237"/>
      <c r="E365" s="237"/>
      <c r="F365" s="237"/>
      <c r="G365" s="238"/>
      <c r="H365" s="67" t="s">
        <v>46</v>
      </c>
      <c r="I365" s="248" t="s">
        <v>120</v>
      </c>
      <c r="J365" s="238"/>
      <c r="K365" s="248" t="s">
        <v>47</v>
      </c>
      <c r="L365" s="238"/>
      <c r="M365" s="248" t="s">
        <v>121</v>
      </c>
      <c r="N365" s="238"/>
    </row>
    <row r="366" spans="1:14" x14ac:dyDescent="0.25">
      <c r="A366" s="249"/>
      <c r="B366" s="237"/>
      <c r="C366" s="237"/>
      <c r="D366" s="237"/>
      <c r="E366" s="237"/>
      <c r="F366" s="237"/>
      <c r="G366" s="238"/>
      <c r="H366" s="68"/>
      <c r="I366" s="239"/>
      <c r="J366" s="238"/>
      <c r="K366" s="250"/>
      <c r="L366" s="251"/>
      <c r="M366" s="239"/>
      <c r="N366" s="238"/>
    </row>
    <row r="367" spans="1:14" x14ac:dyDescent="0.25">
      <c r="A367" s="252"/>
      <c r="B367" s="237"/>
      <c r="C367" s="237"/>
      <c r="D367" s="237"/>
      <c r="E367" s="237"/>
      <c r="F367" s="237"/>
      <c r="G367" s="238"/>
      <c r="H367" s="68"/>
      <c r="I367" s="239"/>
      <c r="J367" s="238"/>
      <c r="K367" s="253"/>
      <c r="L367" s="238"/>
      <c r="M367" s="239"/>
      <c r="N367" s="238"/>
    </row>
    <row r="368" spans="1:14" x14ac:dyDescent="0.25">
      <c r="A368" s="249"/>
      <c r="B368" s="237"/>
      <c r="C368" s="237"/>
      <c r="D368" s="237"/>
      <c r="E368" s="237"/>
      <c r="F368" s="237"/>
      <c r="G368" s="238"/>
      <c r="H368" s="68"/>
      <c r="I368" s="239"/>
      <c r="J368" s="238"/>
      <c r="K368" s="250"/>
      <c r="L368" s="238"/>
      <c r="M368" s="239" t="str">
        <f>IF(A368="","",I368*K368)</f>
        <v/>
      </c>
      <c r="N368" s="238"/>
    </row>
    <row r="369" spans="1:15" x14ac:dyDescent="0.25">
      <c r="A369" s="249"/>
      <c r="B369" s="237"/>
      <c r="C369" s="237"/>
      <c r="D369" s="237"/>
      <c r="E369" s="237"/>
      <c r="F369" s="237"/>
      <c r="G369" s="238"/>
      <c r="H369" s="68"/>
      <c r="I369" s="239"/>
      <c r="J369" s="238"/>
      <c r="K369" s="250"/>
      <c r="L369" s="238"/>
      <c r="M369" s="239" t="str">
        <f>IF(A369="","",I369*K369)</f>
        <v/>
      </c>
      <c r="N369" s="238"/>
    </row>
    <row r="370" spans="1:15" x14ac:dyDescent="0.25">
      <c r="A370" s="249"/>
      <c r="B370" s="237"/>
      <c r="C370" s="237"/>
      <c r="D370" s="237"/>
      <c r="E370" s="237"/>
      <c r="F370" s="237"/>
      <c r="G370" s="238"/>
      <c r="H370" s="68"/>
      <c r="I370" s="239"/>
      <c r="J370" s="238"/>
      <c r="K370" s="250"/>
      <c r="L370" s="238"/>
      <c r="M370" s="239" t="str">
        <f>IF(A370="","",I370*K370)</f>
        <v/>
      </c>
      <c r="N370" s="238"/>
    </row>
    <row r="371" spans="1:15" x14ac:dyDescent="0.25">
      <c r="A371" s="69"/>
      <c r="B371" s="69"/>
      <c r="C371" s="69"/>
      <c r="D371" s="69"/>
      <c r="E371" s="69"/>
      <c r="F371" s="69"/>
      <c r="G371" s="69"/>
      <c r="H371" s="69"/>
      <c r="I371" s="69"/>
      <c r="J371" s="69"/>
      <c r="K371" s="240" t="s">
        <v>122</v>
      </c>
      <c r="L371" s="238"/>
      <c r="M371" s="239">
        <f>SUM(M366:N370)</f>
        <v>0</v>
      </c>
      <c r="N371" s="238"/>
    </row>
    <row r="372" spans="1:15" x14ac:dyDescent="0.25">
      <c r="A372" s="69"/>
      <c r="B372" s="69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  <c r="N372" s="69"/>
    </row>
    <row r="373" spans="1:15" x14ac:dyDescent="0.25">
      <c r="A373" s="247" t="s">
        <v>125</v>
      </c>
      <c r="B373" s="237"/>
      <c r="C373" s="237"/>
      <c r="D373" s="237"/>
      <c r="E373" s="237"/>
      <c r="F373" s="237"/>
      <c r="G373" s="237"/>
      <c r="H373" s="237"/>
      <c r="I373" s="237"/>
      <c r="J373" s="237"/>
      <c r="K373" s="237"/>
      <c r="L373" s="237"/>
      <c r="M373" s="237"/>
      <c r="N373" s="238"/>
    </row>
    <row r="374" spans="1:15" x14ac:dyDescent="0.25">
      <c r="A374" s="240" t="s">
        <v>76</v>
      </c>
      <c r="B374" s="237"/>
      <c r="C374" s="237"/>
      <c r="D374" s="237"/>
      <c r="E374" s="237"/>
      <c r="F374" s="237"/>
      <c r="G374" s="238"/>
      <c r="H374" s="67" t="s">
        <v>46</v>
      </c>
      <c r="I374" s="248" t="s">
        <v>120</v>
      </c>
      <c r="J374" s="238"/>
      <c r="K374" s="70" t="s">
        <v>126</v>
      </c>
      <c r="L374" s="71" t="s">
        <v>128</v>
      </c>
      <c r="M374" s="248" t="s">
        <v>121</v>
      </c>
      <c r="N374" s="238"/>
    </row>
    <row r="375" spans="1:15" x14ac:dyDescent="0.25">
      <c r="A375" s="236" t="str">
        <f>PROFESIONALES!$B$9</f>
        <v>Director de consultoria</v>
      </c>
      <c r="B375" s="237"/>
      <c r="C375" s="237"/>
      <c r="D375" s="237"/>
      <c r="E375" s="237"/>
      <c r="F375" s="237"/>
      <c r="G375" s="238"/>
      <c r="H375" s="68" t="s">
        <v>80</v>
      </c>
      <c r="I375" s="239">
        <f>PROFESIONALES!$F$9</f>
        <v>7691776</v>
      </c>
      <c r="J375" s="238"/>
      <c r="K375" s="45">
        <f>PROFESIONALES!I$24</f>
        <v>2</v>
      </c>
      <c r="L375" s="72">
        <f>V6*AE6*30</f>
        <v>1.0588235294117649</v>
      </c>
      <c r="M375" s="239">
        <f t="shared" ref="M375:M380" si="22">I375*K375*L375/30</f>
        <v>542948.8941176472</v>
      </c>
      <c r="N375" s="238"/>
    </row>
    <row r="376" spans="1:15" x14ac:dyDescent="0.25">
      <c r="A376" s="236" t="str">
        <f>PROFESIONALES!$B$10</f>
        <v>Especialista Estructural</v>
      </c>
      <c r="B376" s="237"/>
      <c r="C376" s="237"/>
      <c r="D376" s="237"/>
      <c r="E376" s="237"/>
      <c r="F376" s="237"/>
      <c r="G376" s="238"/>
      <c r="H376" s="68" t="s">
        <v>80</v>
      </c>
      <c r="I376" s="239">
        <f>PROFESIONALES!$F$10</f>
        <v>6573098</v>
      </c>
      <c r="J376" s="238"/>
      <c r="K376" s="45">
        <f>PROFESIONALES!I$24</f>
        <v>2</v>
      </c>
      <c r="L376" s="45">
        <v>9</v>
      </c>
      <c r="M376" s="239">
        <f t="shared" si="22"/>
        <v>3943858.8</v>
      </c>
      <c r="N376" s="238"/>
    </row>
    <row r="377" spans="1:15" x14ac:dyDescent="0.25">
      <c r="A377" s="236" t="str">
        <f>PROFESIONALES!$B$15</f>
        <v>Profesional de apoyo</v>
      </c>
      <c r="B377" s="237"/>
      <c r="C377" s="237"/>
      <c r="D377" s="237"/>
      <c r="E377" s="237"/>
      <c r="F377" s="237"/>
      <c r="G377" s="238"/>
      <c r="H377" s="68" t="s">
        <v>80</v>
      </c>
      <c r="I377" s="239">
        <f>PROFESIONALES!$F$15</f>
        <v>5582300</v>
      </c>
      <c r="J377" s="238"/>
      <c r="K377" s="45">
        <f>PROFESIONALES!I$24</f>
        <v>2</v>
      </c>
      <c r="L377" s="45">
        <f>V12*AE12*30</f>
        <v>5.2941176470588234</v>
      </c>
      <c r="M377" s="239">
        <f t="shared" si="22"/>
        <v>1970223.5294117646</v>
      </c>
      <c r="N377" s="238"/>
      <c r="O377" s="154">
        <f>L375+L376+L377+L378+L380</f>
        <v>22.602941176470587</v>
      </c>
    </row>
    <row r="378" spans="1:15" x14ac:dyDescent="0.25">
      <c r="A378" s="236" t="str">
        <f>PROFESIONALES!$B$20</f>
        <v>Delineante</v>
      </c>
      <c r="B378" s="237"/>
      <c r="C378" s="237"/>
      <c r="D378" s="237"/>
      <c r="E378" s="237"/>
      <c r="F378" s="237"/>
      <c r="G378" s="238"/>
      <c r="H378" s="68" t="s">
        <v>80</v>
      </c>
      <c r="I378" s="239">
        <f>PROFESIONALES!$F$20</f>
        <v>2751081</v>
      </c>
      <c r="J378" s="238"/>
      <c r="K378" s="45">
        <f>PROFESIONALES!I$24</f>
        <v>2</v>
      </c>
      <c r="L378" s="45">
        <f>V18*AE18*30</f>
        <v>0.45000000000000007</v>
      </c>
      <c r="M378" s="239">
        <f t="shared" si="22"/>
        <v>82532.430000000008</v>
      </c>
      <c r="N378" s="238"/>
    </row>
    <row r="379" spans="1:15" x14ac:dyDescent="0.25">
      <c r="A379" s="236" t="str">
        <f>PROFESIONALES!B14</f>
        <v xml:space="preserve">Especialista Veterinario </v>
      </c>
      <c r="B379" s="237"/>
      <c r="C379" s="237"/>
      <c r="D379" s="237"/>
      <c r="E379" s="237"/>
      <c r="F379" s="237"/>
      <c r="G379" s="238"/>
      <c r="H379" s="68" t="s">
        <v>80</v>
      </c>
      <c r="I379" s="239">
        <f>PROFESIONALES!F14</f>
        <v>6356217</v>
      </c>
      <c r="J379" s="238"/>
      <c r="K379" s="45">
        <f>PROFESIONALES!I$24</f>
        <v>2</v>
      </c>
      <c r="L379" s="45">
        <v>2</v>
      </c>
      <c r="M379" s="239">
        <f t="shared" si="22"/>
        <v>847495.6</v>
      </c>
      <c r="N379" s="238"/>
    </row>
    <row r="380" spans="1:15" x14ac:dyDescent="0.25">
      <c r="A380" s="236" t="str">
        <f>PROFESIONALES!$B$11</f>
        <v>Especialista en Geotecnia</v>
      </c>
      <c r="B380" s="237"/>
      <c r="C380" s="237"/>
      <c r="D380" s="237"/>
      <c r="E380" s="237"/>
      <c r="F380" s="237"/>
      <c r="G380" s="238"/>
      <c r="H380" s="68" t="s">
        <v>80</v>
      </c>
      <c r="I380" s="239">
        <f>PROFESIONALES!$F$11</f>
        <v>6573098</v>
      </c>
      <c r="J380" s="238"/>
      <c r="K380" s="45">
        <f>PROFESIONALES!I$24</f>
        <v>2</v>
      </c>
      <c r="L380" s="45">
        <v>6.8</v>
      </c>
      <c r="M380" s="239">
        <f t="shared" si="22"/>
        <v>2979804.4266666668</v>
      </c>
      <c r="N380" s="238"/>
    </row>
    <row r="381" spans="1:15" x14ac:dyDescent="0.25">
      <c r="A381" s="69"/>
      <c r="B381" s="69"/>
      <c r="C381" s="69"/>
      <c r="D381" s="69"/>
      <c r="E381" s="69"/>
      <c r="F381" s="69"/>
      <c r="G381" s="69"/>
      <c r="H381" s="69"/>
      <c r="I381" s="69"/>
      <c r="J381" s="69"/>
      <c r="K381" s="240" t="s">
        <v>122</v>
      </c>
      <c r="L381" s="238"/>
      <c r="M381" s="239">
        <f>SUM(M375:N380)</f>
        <v>10366863.680196077</v>
      </c>
      <c r="N381" s="238"/>
    </row>
    <row r="383" spans="1:15" x14ac:dyDescent="0.25">
      <c r="A383" s="241" t="str">
        <f>Productos!B17</f>
        <v>Diseños electricos</v>
      </c>
      <c r="B383" s="242"/>
      <c r="C383" s="242"/>
      <c r="D383" s="242"/>
      <c r="E383" s="242"/>
      <c r="F383" s="242"/>
      <c r="G383" s="242"/>
      <c r="H383" s="242"/>
      <c r="I383" s="242"/>
      <c r="J383" s="242"/>
      <c r="K383" s="242"/>
      <c r="L383" s="242"/>
      <c r="M383" s="242"/>
      <c r="N383" s="243"/>
    </row>
    <row r="384" spans="1:15" x14ac:dyDescent="0.25">
      <c r="A384" s="244"/>
      <c r="B384" s="245"/>
      <c r="C384" s="245"/>
      <c r="D384" s="245"/>
      <c r="E384" s="245"/>
      <c r="F384" s="245"/>
      <c r="G384" s="245"/>
      <c r="H384" s="245"/>
      <c r="I384" s="245"/>
      <c r="J384" s="245"/>
      <c r="K384" s="245"/>
      <c r="L384" s="245"/>
      <c r="M384" s="245"/>
      <c r="N384" s="246"/>
    </row>
    <row r="385" spans="1:14" x14ac:dyDescent="0.25">
      <c r="A385" s="39">
        <v>1</v>
      </c>
      <c r="B385" s="39">
        <v>2</v>
      </c>
      <c r="C385" s="39">
        <v>3</v>
      </c>
      <c r="D385" s="39">
        <v>4</v>
      </c>
      <c r="E385" s="39">
        <v>5</v>
      </c>
      <c r="F385" s="39">
        <v>6</v>
      </c>
      <c r="G385" s="39">
        <v>7</v>
      </c>
      <c r="H385" s="39">
        <v>8</v>
      </c>
      <c r="I385" s="39">
        <v>9</v>
      </c>
      <c r="J385" s="39">
        <v>10</v>
      </c>
      <c r="K385" s="39">
        <v>11</v>
      </c>
      <c r="L385" s="39">
        <v>12</v>
      </c>
      <c r="M385" s="39">
        <v>13</v>
      </c>
      <c r="N385" s="39">
        <v>14</v>
      </c>
    </row>
    <row r="386" spans="1:14" ht="15.75" x14ac:dyDescent="0.3">
      <c r="A386" s="114" t="str">
        <f>Productos!A17</f>
        <v>A010</v>
      </c>
      <c r="B386" s="59" t="str">
        <f>A383</f>
        <v>Diseños electricos</v>
      </c>
      <c r="C386" s="85" t="s">
        <v>113</v>
      </c>
      <c r="D386" s="60" t="s">
        <v>127</v>
      </c>
      <c r="E386" s="86" t="s">
        <v>114</v>
      </c>
      <c r="F386" s="61">
        <f>H386+J386+L386+N386</f>
        <v>9484928.5464705881</v>
      </c>
      <c r="G386" s="86" t="s">
        <v>115</v>
      </c>
      <c r="H386" s="62">
        <f>M403</f>
        <v>52941.176470588238</v>
      </c>
      <c r="I386" s="86" t="s">
        <v>116</v>
      </c>
      <c r="J386" s="63">
        <f>M394</f>
        <v>352941.17647058825</v>
      </c>
      <c r="K386" s="86" t="s">
        <v>117</v>
      </c>
      <c r="L386" s="62">
        <f>M412</f>
        <v>0</v>
      </c>
      <c r="M386" s="86" t="s">
        <v>118</v>
      </c>
      <c r="N386" s="64">
        <f>M425</f>
        <v>9079046.1935294122</v>
      </c>
    </row>
    <row r="387" spans="1:14" x14ac:dyDescent="0.25">
      <c r="A387" s="65"/>
      <c r="B387" s="65"/>
      <c r="C387" s="65"/>
      <c r="D387" s="65"/>
      <c r="E387" s="65"/>
      <c r="F387" s="65"/>
      <c r="G387" s="65"/>
      <c r="H387" s="66"/>
      <c r="I387" s="66"/>
      <c r="J387" s="65"/>
      <c r="K387" s="65"/>
      <c r="L387" s="65"/>
      <c r="M387" s="65"/>
      <c r="N387" s="65"/>
    </row>
    <row r="388" spans="1:14" x14ac:dyDescent="0.25">
      <c r="A388" s="247" t="s">
        <v>119</v>
      </c>
      <c r="B388" s="237"/>
      <c r="C388" s="237"/>
      <c r="D388" s="237"/>
      <c r="E388" s="237"/>
      <c r="F388" s="237"/>
      <c r="G388" s="237"/>
      <c r="H388" s="237"/>
      <c r="I388" s="237"/>
      <c r="J388" s="237"/>
      <c r="K388" s="237"/>
      <c r="L388" s="237"/>
      <c r="M388" s="237"/>
      <c r="N388" s="238"/>
    </row>
    <row r="389" spans="1:14" x14ac:dyDescent="0.25">
      <c r="A389" s="240" t="s">
        <v>76</v>
      </c>
      <c r="B389" s="237"/>
      <c r="C389" s="237"/>
      <c r="D389" s="237"/>
      <c r="E389" s="237"/>
      <c r="F389" s="237"/>
      <c r="G389" s="238"/>
      <c r="H389" s="67" t="s">
        <v>46</v>
      </c>
      <c r="I389" s="248" t="s">
        <v>120</v>
      </c>
      <c r="J389" s="238"/>
      <c r="K389" s="248" t="s">
        <v>47</v>
      </c>
      <c r="L389" s="238"/>
      <c r="M389" s="248" t="s">
        <v>121</v>
      </c>
      <c r="N389" s="238"/>
    </row>
    <row r="390" spans="1:14" x14ac:dyDescent="0.25">
      <c r="A390" s="249" t="str">
        <f>PROFESIONALES!$B$30</f>
        <v>Alquiler oficina</v>
      </c>
      <c r="B390" s="237"/>
      <c r="C390" s="237"/>
      <c r="D390" s="237"/>
      <c r="E390" s="237"/>
      <c r="F390" s="237"/>
      <c r="G390" s="238"/>
      <c r="H390" s="68" t="str">
        <f>PROFESIONALES!$D$30</f>
        <v>MES</v>
      </c>
      <c r="I390" s="239">
        <f>PROFESIONALES!$F$30</f>
        <v>500000</v>
      </c>
      <c r="J390" s="238"/>
      <c r="K390" s="250">
        <f>PROFESIONALES!H30/APUS!Z22</f>
        <v>0.17647058823529413</v>
      </c>
      <c r="L390" s="238"/>
      <c r="M390" s="239">
        <f>K390*I390</f>
        <v>88235.294117647063</v>
      </c>
      <c r="N390" s="254"/>
    </row>
    <row r="391" spans="1:14" x14ac:dyDescent="0.25">
      <c r="A391" s="249" t="str">
        <f>PROFESIONALES!$B$32</f>
        <v>Gastos de oficina (Impresión de informes y planos)</v>
      </c>
      <c r="B391" s="237"/>
      <c r="C391" s="237"/>
      <c r="D391" s="237"/>
      <c r="E391" s="237"/>
      <c r="F391" s="237"/>
      <c r="G391" s="238"/>
      <c r="H391" s="68" t="str">
        <f>PROFESIONALES!$D$32</f>
        <v>COPIA</v>
      </c>
      <c r="I391" s="239">
        <f>PROFESIONALES!$F$32</f>
        <v>1500000</v>
      </c>
      <c r="J391" s="238"/>
      <c r="K391" s="250">
        <f>PROFESIONALES!$H$32*PROFESIONALES!E32/Z22</f>
        <v>0.17647058823529413</v>
      </c>
      <c r="L391" s="238"/>
      <c r="M391" s="239">
        <f t="shared" ref="M391" si="23">K391*I391</f>
        <v>264705.8823529412</v>
      </c>
      <c r="N391" s="254"/>
    </row>
    <row r="392" spans="1:14" x14ac:dyDescent="0.25">
      <c r="A392" s="255"/>
      <c r="B392" s="256"/>
      <c r="C392" s="256"/>
      <c r="D392" s="256"/>
      <c r="E392" s="256"/>
      <c r="F392" s="256"/>
      <c r="G392" s="257"/>
      <c r="H392" s="73"/>
      <c r="I392" s="258"/>
      <c r="J392" s="257"/>
      <c r="K392" s="259"/>
      <c r="L392" s="257"/>
      <c r="M392" s="258"/>
      <c r="N392" s="257"/>
    </row>
    <row r="393" spans="1:14" x14ac:dyDescent="0.25">
      <c r="A393" s="249"/>
      <c r="B393" s="237"/>
      <c r="C393" s="237"/>
      <c r="D393" s="237"/>
      <c r="E393" s="237"/>
      <c r="F393" s="237"/>
      <c r="G393" s="238"/>
      <c r="H393" s="68" t="str">
        <f>IF(A393="","",VLOOKUP(A393,AA_Materiales,7,FALSE))</f>
        <v/>
      </c>
      <c r="I393" s="239" t="str">
        <f>IF(A393="","",VLOOKUP(A393,AA_Materiales,8,FALSE))</f>
        <v/>
      </c>
      <c r="J393" s="238"/>
      <c r="K393" s="250"/>
      <c r="L393" s="238"/>
      <c r="M393" s="239" t="str">
        <f>IF(A393="","",I393*K393)</f>
        <v/>
      </c>
      <c r="N393" s="238"/>
    </row>
    <row r="394" spans="1:14" x14ac:dyDescent="0.25">
      <c r="A394" s="69"/>
      <c r="B394" s="69"/>
      <c r="C394" s="69"/>
      <c r="D394" s="69"/>
      <c r="E394" s="69"/>
      <c r="F394" s="69"/>
      <c r="G394" s="69"/>
      <c r="H394" s="69"/>
      <c r="I394" s="69"/>
      <c r="J394" s="69"/>
      <c r="K394" s="240" t="s">
        <v>122</v>
      </c>
      <c r="L394" s="238"/>
      <c r="M394" s="239">
        <f>SUM(M390:N393)</f>
        <v>352941.17647058825</v>
      </c>
      <c r="N394" s="238"/>
    </row>
    <row r="395" spans="1:14" x14ac:dyDescent="0.25">
      <c r="A395" s="69"/>
      <c r="B395" s="69"/>
      <c r="C395" s="69"/>
      <c r="D395" s="69"/>
      <c r="E395" s="69"/>
      <c r="F395" s="69"/>
      <c r="G395" s="69"/>
      <c r="H395" s="69"/>
      <c r="I395" s="69"/>
      <c r="J395" s="69"/>
      <c r="K395" s="69"/>
      <c r="L395" s="69"/>
      <c r="M395" s="69"/>
      <c r="N395" s="69"/>
    </row>
    <row r="396" spans="1:14" x14ac:dyDescent="0.25">
      <c r="A396" s="247" t="s">
        <v>123</v>
      </c>
      <c r="B396" s="237"/>
      <c r="C396" s="237"/>
      <c r="D396" s="237"/>
      <c r="E396" s="237"/>
      <c r="F396" s="237"/>
      <c r="G396" s="237"/>
      <c r="H396" s="237"/>
      <c r="I396" s="237"/>
      <c r="J396" s="237"/>
      <c r="K396" s="237"/>
      <c r="L396" s="237"/>
      <c r="M396" s="237"/>
      <c r="N396" s="238"/>
    </row>
    <row r="397" spans="1:14" x14ac:dyDescent="0.25">
      <c r="A397" s="240" t="s">
        <v>76</v>
      </c>
      <c r="B397" s="237"/>
      <c r="C397" s="237"/>
      <c r="D397" s="237"/>
      <c r="E397" s="237"/>
      <c r="F397" s="237"/>
      <c r="G397" s="238"/>
      <c r="H397" s="67" t="s">
        <v>46</v>
      </c>
      <c r="I397" s="248" t="s">
        <v>120</v>
      </c>
      <c r="J397" s="238"/>
      <c r="K397" s="248" t="s">
        <v>47</v>
      </c>
      <c r="L397" s="238"/>
      <c r="M397" s="248" t="s">
        <v>121</v>
      </c>
      <c r="N397" s="238"/>
    </row>
    <row r="398" spans="1:14" x14ac:dyDescent="0.25">
      <c r="A398" s="252" t="str">
        <f>PROFESIONALES!$B$31</f>
        <v>Servicios Públicos</v>
      </c>
      <c r="B398" s="237"/>
      <c r="C398" s="237"/>
      <c r="D398" s="237"/>
      <c r="E398" s="237"/>
      <c r="F398" s="237"/>
      <c r="G398" s="238"/>
      <c r="H398" s="68" t="str">
        <f>PROFESIONALES!$D$31</f>
        <v>MES</v>
      </c>
      <c r="I398" s="239">
        <f>PROFESIONALES!$F$31</f>
        <v>300000</v>
      </c>
      <c r="J398" s="238"/>
      <c r="K398" s="250">
        <f>PROFESIONALES!$H$9/Z22</f>
        <v>0.17647058823529413</v>
      </c>
      <c r="L398" s="251"/>
      <c r="M398" s="239">
        <f>K398*I398</f>
        <v>52941.176470588238</v>
      </c>
      <c r="N398" s="254"/>
    </row>
    <row r="399" spans="1:14" x14ac:dyDescent="0.25">
      <c r="A399" s="252"/>
      <c r="B399" s="237"/>
      <c r="C399" s="237"/>
      <c r="D399" s="237"/>
      <c r="E399" s="237"/>
      <c r="F399" s="237"/>
      <c r="G399" s="238"/>
      <c r="H399" s="68" t="str">
        <f>IF(A399="","",VLOOKUP(A399,AA_Equipos,7,FALSE))</f>
        <v/>
      </c>
      <c r="I399" s="239" t="str">
        <f>IF(A399="","",VLOOKUP(A399,AA_Materiales,8,FALSE))</f>
        <v/>
      </c>
      <c r="J399" s="238"/>
      <c r="K399" s="253"/>
      <c r="L399" s="238"/>
      <c r="M399" s="239" t="str">
        <f>IF(A399="","",I399*K399)</f>
        <v/>
      </c>
      <c r="N399" s="238"/>
    </row>
    <row r="400" spans="1:14" x14ac:dyDescent="0.25">
      <c r="A400" s="249"/>
      <c r="B400" s="237"/>
      <c r="C400" s="237"/>
      <c r="D400" s="237"/>
      <c r="E400" s="237"/>
      <c r="F400" s="237"/>
      <c r="G400" s="238"/>
      <c r="H400" s="68" t="str">
        <f>IF(A400="","",VLOOKUP(A400,AA_Equipos,7,FALSE))</f>
        <v/>
      </c>
      <c r="I400" s="239" t="str">
        <f>IF(A400="","",VLOOKUP(A400,AA_Materiales,8,FALSE))</f>
        <v/>
      </c>
      <c r="J400" s="238"/>
      <c r="K400" s="250"/>
      <c r="L400" s="238"/>
      <c r="M400" s="239" t="str">
        <f>IF(A400="","",I400*K400)</f>
        <v/>
      </c>
      <c r="N400" s="238"/>
    </row>
    <row r="401" spans="1:14" x14ac:dyDescent="0.25">
      <c r="A401" s="249"/>
      <c r="B401" s="237"/>
      <c r="C401" s="237"/>
      <c r="D401" s="237"/>
      <c r="E401" s="237"/>
      <c r="F401" s="237"/>
      <c r="G401" s="238"/>
      <c r="H401" s="68" t="str">
        <f>IF(A401="","",VLOOKUP(A401,AA_Equipos,7,FALSE))</f>
        <v/>
      </c>
      <c r="I401" s="239" t="str">
        <f>IF(A401="","",VLOOKUP(A401,AA_Materiales,8,FALSE))</f>
        <v/>
      </c>
      <c r="J401" s="238"/>
      <c r="K401" s="250"/>
      <c r="L401" s="238"/>
      <c r="M401" s="239" t="str">
        <f>IF(A401="","",I401*K401)</f>
        <v/>
      </c>
      <c r="N401" s="238"/>
    </row>
    <row r="402" spans="1:14" x14ac:dyDescent="0.25">
      <c r="A402" s="249"/>
      <c r="B402" s="237"/>
      <c r="C402" s="237"/>
      <c r="D402" s="237"/>
      <c r="E402" s="237"/>
      <c r="F402" s="237"/>
      <c r="G402" s="238"/>
      <c r="H402" s="68" t="str">
        <f>IF(A402="","",VLOOKUP(A402,AA_Equipos,7,FALSE))</f>
        <v/>
      </c>
      <c r="I402" s="239" t="str">
        <f>IF(A402="","",VLOOKUP(A402,AA_Materiales,8,FALSE))</f>
        <v/>
      </c>
      <c r="J402" s="238"/>
      <c r="K402" s="250"/>
      <c r="L402" s="238"/>
      <c r="M402" s="239" t="str">
        <f>IF(A402="","",I402*K402)</f>
        <v/>
      </c>
      <c r="N402" s="238"/>
    </row>
    <row r="403" spans="1:14" x14ac:dyDescent="0.25">
      <c r="A403" s="69"/>
      <c r="B403" s="69"/>
      <c r="C403" s="69"/>
      <c r="D403" s="69"/>
      <c r="E403" s="69"/>
      <c r="F403" s="69"/>
      <c r="G403" s="69"/>
      <c r="H403" s="69"/>
      <c r="I403" s="69"/>
      <c r="J403" s="69"/>
      <c r="K403" s="240" t="s">
        <v>122</v>
      </c>
      <c r="L403" s="238"/>
      <c r="M403" s="239">
        <f>SUM(M398:N402)</f>
        <v>52941.176470588238</v>
      </c>
      <c r="N403" s="238"/>
    </row>
    <row r="404" spans="1:14" x14ac:dyDescent="0.25">
      <c r="A404" s="69"/>
      <c r="B404" s="69"/>
      <c r="C404" s="69"/>
      <c r="D404" s="69"/>
      <c r="E404" s="69"/>
      <c r="F404" s="69"/>
      <c r="G404" s="69"/>
      <c r="H404" s="69"/>
      <c r="I404" s="69"/>
      <c r="J404" s="69"/>
      <c r="K404" s="69"/>
      <c r="L404" s="69"/>
      <c r="M404" s="69"/>
      <c r="N404" s="69"/>
    </row>
    <row r="405" spans="1:14" x14ac:dyDescent="0.25">
      <c r="A405" s="247" t="s">
        <v>124</v>
      </c>
      <c r="B405" s="237"/>
      <c r="C405" s="237"/>
      <c r="D405" s="237"/>
      <c r="E405" s="237"/>
      <c r="F405" s="237"/>
      <c r="G405" s="237"/>
      <c r="H405" s="237"/>
      <c r="I405" s="237"/>
      <c r="J405" s="237"/>
      <c r="K405" s="237"/>
      <c r="L405" s="237"/>
      <c r="M405" s="237"/>
      <c r="N405" s="238"/>
    </row>
    <row r="406" spans="1:14" x14ac:dyDescent="0.25">
      <c r="A406" s="240" t="s">
        <v>76</v>
      </c>
      <c r="B406" s="237"/>
      <c r="C406" s="237"/>
      <c r="D406" s="237"/>
      <c r="E406" s="237"/>
      <c r="F406" s="237"/>
      <c r="G406" s="238"/>
      <c r="H406" s="67" t="s">
        <v>46</v>
      </c>
      <c r="I406" s="248" t="s">
        <v>120</v>
      </c>
      <c r="J406" s="238"/>
      <c r="K406" s="248" t="s">
        <v>47</v>
      </c>
      <c r="L406" s="238"/>
      <c r="M406" s="248" t="s">
        <v>121</v>
      </c>
      <c r="N406" s="238"/>
    </row>
    <row r="407" spans="1:14" x14ac:dyDescent="0.25">
      <c r="A407" s="249"/>
      <c r="B407" s="237"/>
      <c r="C407" s="237"/>
      <c r="D407" s="237"/>
      <c r="E407" s="237"/>
      <c r="F407" s="237"/>
      <c r="G407" s="238"/>
      <c r="H407" s="68"/>
      <c r="I407" s="239"/>
      <c r="J407" s="238"/>
      <c r="K407" s="250"/>
      <c r="L407" s="251"/>
      <c r="M407" s="239"/>
      <c r="N407" s="238"/>
    </row>
    <row r="408" spans="1:14" x14ac:dyDescent="0.25">
      <c r="A408" s="252"/>
      <c r="B408" s="237"/>
      <c r="C408" s="237"/>
      <c r="D408" s="237"/>
      <c r="E408" s="237"/>
      <c r="F408" s="237"/>
      <c r="G408" s="238"/>
      <c r="H408" s="68"/>
      <c r="I408" s="239"/>
      <c r="J408" s="238"/>
      <c r="K408" s="253"/>
      <c r="L408" s="238"/>
      <c r="M408" s="239"/>
      <c r="N408" s="238"/>
    </row>
    <row r="409" spans="1:14" x14ac:dyDescent="0.25">
      <c r="A409" s="249"/>
      <c r="B409" s="237"/>
      <c r="C409" s="237"/>
      <c r="D409" s="237"/>
      <c r="E409" s="237"/>
      <c r="F409" s="237"/>
      <c r="G409" s="238"/>
      <c r="H409" s="68"/>
      <c r="I409" s="239"/>
      <c r="J409" s="238"/>
      <c r="K409" s="250"/>
      <c r="L409" s="238"/>
      <c r="M409" s="239" t="str">
        <f>IF(A409="","",I409*K409)</f>
        <v/>
      </c>
      <c r="N409" s="238"/>
    </row>
    <row r="410" spans="1:14" x14ac:dyDescent="0.25">
      <c r="A410" s="249"/>
      <c r="B410" s="237"/>
      <c r="C410" s="237"/>
      <c r="D410" s="237"/>
      <c r="E410" s="237"/>
      <c r="F410" s="237"/>
      <c r="G410" s="238"/>
      <c r="H410" s="68"/>
      <c r="I410" s="239"/>
      <c r="J410" s="238"/>
      <c r="K410" s="250"/>
      <c r="L410" s="238"/>
      <c r="M410" s="239" t="str">
        <f>IF(A410="","",I410*K410)</f>
        <v/>
      </c>
      <c r="N410" s="238"/>
    </row>
    <row r="411" spans="1:14" x14ac:dyDescent="0.25">
      <c r="A411" s="249"/>
      <c r="B411" s="237"/>
      <c r="C411" s="237"/>
      <c r="D411" s="237"/>
      <c r="E411" s="237"/>
      <c r="F411" s="237"/>
      <c r="G411" s="238"/>
      <c r="H411" s="68"/>
      <c r="I411" s="239"/>
      <c r="J411" s="238"/>
      <c r="K411" s="250"/>
      <c r="L411" s="238"/>
      <c r="M411" s="239" t="str">
        <f>IF(A411="","",I411*K411)</f>
        <v/>
      </c>
      <c r="N411" s="238"/>
    </row>
    <row r="412" spans="1:14" x14ac:dyDescent="0.25">
      <c r="A412" s="69"/>
      <c r="B412" s="69"/>
      <c r="C412" s="69"/>
      <c r="D412" s="69"/>
      <c r="E412" s="69"/>
      <c r="F412" s="69"/>
      <c r="G412" s="69"/>
      <c r="H412" s="69"/>
      <c r="I412" s="69"/>
      <c r="J412" s="69"/>
      <c r="K412" s="240" t="s">
        <v>122</v>
      </c>
      <c r="L412" s="238"/>
      <c r="M412" s="239">
        <f>SUM(M407:N411)</f>
        <v>0</v>
      </c>
      <c r="N412" s="238"/>
    </row>
    <row r="413" spans="1:14" x14ac:dyDescent="0.25">
      <c r="A413" s="69"/>
      <c r="B413" s="69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</row>
    <row r="414" spans="1:14" x14ac:dyDescent="0.25">
      <c r="A414" s="247" t="s">
        <v>125</v>
      </c>
      <c r="B414" s="237"/>
      <c r="C414" s="237"/>
      <c r="D414" s="237"/>
      <c r="E414" s="237"/>
      <c r="F414" s="237"/>
      <c r="G414" s="237"/>
      <c r="H414" s="237"/>
      <c r="I414" s="237"/>
      <c r="J414" s="237"/>
      <c r="K414" s="237"/>
      <c r="L414" s="237"/>
      <c r="M414" s="237"/>
      <c r="N414" s="238"/>
    </row>
    <row r="415" spans="1:14" x14ac:dyDescent="0.25">
      <c r="A415" s="240" t="s">
        <v>76</v>
      </c>
      <c r="B415" s="237"/>
      <c r="C415" s="237"/>
      <c r="D415" s="237"/>
      <c r="E415" s="237"/>
      <c r="F415" s="237"/>
      <c r="G415" s="238"/>
      <c r="H415" s="67" t="s">
        <v>46</v>
      </c>
      <c r="I415" s="248" t="s">
        <v>120</v>
      </c>
      <c r="J415" s="238"/>
      <c r="K415" s="70" t="s">
        <v>126</v>
      </c>
      <c r="L415" s="71" t="s">
        <v>128</v>
      </c>
      <c r="M415" s="248" t="s">
        <v>121</v>
      </c>
      <c r="N415" s="238"/>
    </row>
    <row r="416" spans="1:14" x14ac:dyDescent="0.25">
      <c r="A416" s="236" t="str">
        <f>PROFESIONALES!$B$9</f>
        <v>Director de consultoria</v>
      </c>
      <c r="B416" s="237"/>
      <c r="C416" s="237"/>
      <c r="D416" s="237"/>
      <c r="E416" s="237"/>
      <c r="F416" s="237"/>
      <c r="G416" s="238"/>
      <c r="H416" s="68" t="s">
        <v>80</v>
      </c>
      <c r="I416" s="239">
        <f>PROFESIONALES!$F$9</f>
        <v>7691776</v>
      </c>
      <c r="J416" s="238"/>
      <c r="K416" s="45">
        <f>PROFESIONALES!I$24</f>
        <v>2</v>
      </c>
      <c r="L416" s="72">
        <f>V6*AF6*30</f>
        <v>1.0588235294117649</v>
      </c>
      <c r="M416" s="239">
        <f t="shared" ref="M416:M418" si="24">I416*K416*L416/30</f>
        <v>542948.8941176472</v>
      </c>
      <c r="N416" s="238"/>
    </row>
    <row r="417" spans="1:15" x14ac:dyDescent="0.25">
      <c r="A417" s="236" t="str">
        <f>PROFESIONALES!$B$20</f>
        <v>Delineante</v>
      </c>
      <c r="B417" s="237"/>
      <c r="C417" s="237"/>
      <c r="D417" s="237"/>
      <c r="E417" s="237"/>
      <c r="F417" s="237"/>
      <c r="G417" s="238"/>
      <c r="H417" s="68" t="s">
        <v>80</v>
      </c>
      <c r="I417" s="239">
        <f>PROFESIONALES!$F$20</f>
        <v>2751081</v>
      </c>
      <c r="J417" s="238"/>
      <c r="K417" s="45">
        <f>PROFESIONALES!I$24</f>
        <v>2</v>
      </c>
      <c r="L417" s="45">
        <f>V18*AF18*30</f>
        <v>0.45000000000000007</v>
      </c>
      <c r="M417" s="239">
        <f t="shared" si="24"/>
        <v>82532.430000000008</v>
      </c>
      <c r="N417" s="238"/>
    </row>
    <row r="418" spans="1:15" x14ac:dyDescent="0.25">
      <c r="A418" s="236" t="str">
        <f>PROFESIONALES!$B$15</f>
        <v>Profesional de apoyo</v>
      </c>
      <c r="B418" s="237"/>
      <c r="C418" s="237"/>
      <c r="D418" s="237"/>
      <c r="E418" s="237"/>
      <c r="F418" s="237"/>
      <c r="G418" s="238"/>
      <c r="H418" s="68" t="s">
        <v>80</v>
      </c>
      <c r="I418" s="239">
        <f>PROFESIONALES!$F$15</f>
        <v>5582300</v>
      </c>
      <c r="J418" s="238"/>
      <c r="K418" s="45">
        <f>PROFESIONALES!I$24</f>
        <v>2</v>
      </c>
      <c r="L418" s="45">
        <f>V12*AF12*30</f>
        <v>5.2941176470588234</v>
      </c>
      <c r="M418" s="239">
        <f t="shared" si="24"/>
        <v>1970223.5294117646</v>
      </c>
      <c r="N418" s="238"/>
    </row>
    <row r="419" spans="1:15" x14ac:dyDescent="0.25">
      <c r="A419" s="236" t="str">
        <f>PROFESIONALES!B13</f>
        <v>Ingeniero Electrico</v>
      </c>
      <c r="B419" s="237"/>
      <c r="C419" s="237"/>
      <c r="D419" s="237"/>
      <c r="E419" s="237"/>
      <c r="F419" s="237"/>
      <c r="G419" s="238"/>
      <c r="H419" s="68" t="s">
        <v>80</v>
      </c>
      <c r="I419" s="239">
        <f>PROFESIONALES!F13</f>
        <v>6356217</v>
      </c>
      <c r="J419" s="238"/>
      <c r="K419" s="45">
        <f>PROFESIONALES!I24</f>
        <v>2</v>
      </c>
      <c r="L419" s="45">
        <f>V10*AF10*30</f>
        <v>15.3</v>
      </c>
      <c r="M419" s="239">
        <f t="shared" ref="M419" si="25">I419*K419*L419/30</f>
        <v>6483341.3400000008</v>
      </c>
      <c r="N419" s="238"/>
      <c r="O419" s="154">
        <f>L416+L417+L418+L419</f>
        <v>22.102941176470587</v>
      </c>
    </row>
    <row r="420" spans="1:15" x14ac:dyDescent="0.25">
      <c r="A420" s="236"/>
      <c r="B420" s="237"/>
      <c r="C420" s="237"/>
      <c r="D420" s="237"/>
      <c r="E420" s="237"/>
      <c r="F420" s="237"/>
      <c r="G420" s="238"/>
      <c r="H420" s="68"/>
      <c r="I420" s="239"/>
      <c r="J420" s="238"/>
      <c r="K420" s="45"/>
      <c r="L420" s="45"/>
      <c r="M420" s="239"/>
      <c r="N420" s="238"/>
    </row>
    <row r="421" spans="1:15" x14ac:dyDescent="0.25">
      <c r="A421" s="236"/>
      <c r="B421" s="237"/>
      <c r="C421" s="237"/>
      <c r="D421" s="237"/>
      <c r="E421" s="237"/>
      <c r="F421" s="237"/>
      <c r="G421" s="238"/>
      <c r="H421" s="68"/>
      <c r="I421" s="239"/>
      <c r="J421" s="238"/>
      <c r="K421" s="45"/>
      <c r="L421" s="45"/>
      <c r="M421" s="239"/>
      <c r="N421" s="238"/>
    </row>
    <row r="422" spans="1:15" x14ac:dyDescent="0.25">
      <c r="A422" s="236"/>
      <c r="B422" s="237"/>
      <c r="C422" s="237"/>
      <c r="D422" s="237"/>
      <c r="E422" s="237"/>
      <c r="F422" s="237"/>
      <c r="G422" s="238"/>
      <c r="H422" s="68"/>
      <c r="I422" s="239"/>
      <c r="J422" s="238"/>
      <c r="K422" s="45"/>
      <c r="L422" s="45"/>
      <c r="M422" s="239"/>
      <c r="N422" s="238"/>
    </row>
    <row r="423" spans="1:15" x14ac:dyDescent="0.25">
      <c r="A423" s="236"/>
      <c r="B423" s="237"/>
      <c r="C423" s="237"/>
      <c r="D423" s="237"/>
      <c r="E423" s="237"/>
      <c r="F423" s="237"/>
      <c r="G423" s="238"/>
      <c r="H423" s="68"/>
      <c r="I423" s="239"/>
      <c r="J423" s="238"/>
      <c r="K423" s="45"/>
      <c r="L423" s="45"/>
      <c r="M423" s="239"/>
      <c r="N423" s="238"/>
    </row>
    <row r="424" spans="1:15" x14ac:dyDescent="0.25">
      <c r="A424" s="236"/>
      <c r="B424" s="237"/>
      <c r="C424" s="237"/>
      <c r="D424" s="237"/>
      <c r="E424" s="237"/>
      <c r="F424" s="237"/>
      <c r="G424" s="238"/>
      <c r="H424" s="68"/>
      <c r="I424" s="239"/>
      <c r="J424" s="238"/>
      <c r="K424" s="45"/>
      <c r="L424" s="45"/>
      <c r="M424" s="239"/>
      <c r="N424" s="238"/>
    </row>
    <row r="425" spans="1:15" x14ac:dyDescent="0.25">
      <c r="A425" s="69"/>
      <c r="B425" s="69"/>
      <c r="C425" s="69"/>
      <c r="D425" s="69"/>
      <c r="E425" s="69"/>
      <c r="F425" s="69"/>
      <c r="G425" s="69"/>
      <c r="H425" s="69"/>
      <c r="I425" s="69"/>
      <c r="J425" s="69"/>
      <c r="K425" s="240" t="s">
        <v>122</v>
      </c>
      <c r="L425" s="238"/>
      <c r="M425" s="239">
        <f>SUM(M416:N424)</f>
        <v>9079046.1935294122</v>
      </c>
      <c r="N425" s="238"/>
    </row>
    <row r="426" spans="1:15" x14ac:dyDescent="0.25">
      <c r="A426" s="69"/>
      <c r="B426" s="69"/>
      <c r="C426" s="69"/>
      <c r="D426" s="69"/>
      <c r="E426" s="69"/>
      <c r="F426" s="69"/>
      <c r="G426" s="69"/>
      <c r="H426" s="69"/>
      <c r="I426" s="69"/>
      <c r="J426" s="69"/>
      <c r="K426" s="110"/>
      <c r="L426" s="111"/>
      <c r="M426" s="112"/>
      <c r="N426" s="113"/>
    </row>
    <row r="427" spans="1:15" x14ac:dyDescent="0.25">
      <c r="A427" s="241" t="str">
        <f>Productos!$B$18</f>
        <v>Planos de diseño de las diferentes especialidades debidamente firmados (Arquitectónico y Urbanístico – topografía – cimentaciones – hidráulicos – estructurales – eléctricos -  Red contra incendios, datos y todos los que se requieran).</v>
      </c>
      <c r="B427" s="242"/>
      <c r="C427" s="242"/>
      <c r="D427" s="242"/>
      <c r="E427" s="242"/>
      <c r="F427" s="242"/>
      <c r="G427" s="242"/>
      <c r="H427" s="242"/>
      <c r="I427" s="242"/>
      <c r="J427" s="242"/>
      <c r="K427" s="242"/>
      <c r="L427" s="242"/>
      <c r="M427" s="242"/>
      <c r="N427" s="243"/>
    </row>
    <row r="428" spans="1:15" x14ac:dyDescent="0.25">
      <c r="A428" s="244"/>
      <c r="B428" s="245"/>
      <c r="C428" s="245"/>
      <c r="D428" s="245"/>
      <c r="E428" s="245"/>
      <c r="F428" s="245"/>
      <c r="G428" s="245"/>
      <c r="H428" s="245"/>
      <c r="I428" s="245"/>
      <c r="J428" s="245"/>
      <c r="K428" s="245"/>
      <c r="L428" s="245"/>
      <c r="M428" s="245"/>
      <c r="N428" s="246"/>
    </row>
    <row r="429" spans="1:15" x14ac:dyDescent="0.25">
      <c r="A429" s="39">
        <v>1</v>
      </c>
      <c r="B429" s="39">
        <v>2</v>
      </c>
      <c r="C429" s="39">
        <v>3</v>
      </c>
      <c r="D429" s="39">
        <v>4</v>
      </c>
      <c r="E429" s="39">
        <v>5</v>
      </c>
      <c r="F429" s="39">
        <v>6</v>
      </c>
      <c r="G429" s="39">
        <v>7</v>
      </c>
      <c r="H429" s="39">
        <v>8</v>
      </c>
      <c r="I429" s="39">
        <v>9</v>
      </c>
      <c r="J429" s="39">
        <v>10</v>
      </c>
      <c r="K429" s="39">
        <v>11</v>
      </c>
      <c r="L429" s="39">
        <v>12</v>
      </c>
      <c r="M429" s="39">
        <v>13</v>
      </c>
      <c r="N429" s="39">
        <v>14</v>
      </c>
    </row>
    <row r="430" spans="1:15" ht="15.75" x14ac:dyDescent="0.3">
      <c r="A430" s="114" t="str">
        <f>Productos!A18</f>
        <v>A011</v>
      </c>
      <c r="B430" s="59" t="str">
        <f>A427</f>
        <v>Planos de diseño de las diferentes especialidades debidamente firmados (Arquitectónico y Urbanístico – topografía – cimentaciones – hidráulicos – estructurales – eléctricos -  Red contra incendios, datos y todos los que se requieran).</v>
      </c>
      <c r="C430" s="85" t="s">
        <v>113</v>
      </c>
      <c r="D430" s="60" t="s">
        <v>127</v>
      </c>
      <c r="E430" s="86" t="s">
        <v>114</v>
      </c>
      <c r="F430" s="61">
        <f>H430+J430+L430+N430</f>
        <v>7086405.0135702305</v>
      </c>
      <c r="G430" s="86" t="s">
        <v>115</v>
      </c>
      <c r="H430" s="62">
        <f>M447</f>
        <v>52941.176470588238</v>
      </c>
      <c r="I430" s="86" t="s">
        <v>116</v>
      </c>
      <c r="J430" s="63">
        <f>M438</f>
        <v>352941.17647058825</v>
      </c>
      <c r="K430" s="86" t="s">
        <v>117</v>
      </c>
      <c r="L430" s="62">
        <f>M456</f>
        <v>0</v>
      </c>
      <c r="M430" s="86" t="s">
        <v>118</v>
      </c>
      <c r="N430" s="64">
        <f>M468</f>
        <v>6680522.6606290536</v>
      </c>
    </row>
    <row r="431" spans="1:15" x14ac:dyDescent="0.25">
      <c r="A431" s="65"/>
      <c r="B431" s="65"/>
      <c r="C431" s="65"/>
      <c r="D431" s="65"/>
      <c r="E431" s="65"/>
      <c r="F431" s="173"/>
      <c r="G431" s="65"/>
      <c r="H431" s="66"/>
      <c r="I431" s="66"/>
      <c r="J431" s="65"/>
      <c r="K431" s="65"/>
      <c r="L431" s="65"/>
      <c r="M431" s="65"/>
      <c r="N431" s="65"/>
    </row>
    <row r="432" spans="1:15" x14ac:dyDescent="0.25">
      <c r="A432" s="247" t="s">
        <v>119</v>
      </c>
      <c r="B432" s="237"/>
      <c r="C432" s="237"/>
      <c r="D432" s="237"/>
      <c r="E432" s="237"/>
      <c r="F432" s="237"/>
      <c r="G432" s="237"/>
      <c r="H432" s="237"/>
      <c r="I432" s="237"/>
      <c r="J432" s="237"/>
      <c r="K432" s="237"/>
      <c r="L432" s="237"/>
      <c r="M432" s="237"/>
      <c r="N432" s="238"/>
    </row>
    <row r="433" spans="1:14" x14ac:dyDescent="0.25">
      <c r="A433" s="240" t="s">
        <v>76</v>
      </c>
      <c r="B433" s="237"/>
      <c r="C433" s="237"/>
      <c r="D433" s="237"/>
      <c r="E433" s="237"/>
      <c r="F433" s="237"/>
      <c r="G433" s="238"/>
      <c r="H433" s="67" t="s">
        <v>46</v>
      </c>
      <c r="I433" s="248" t="s">
        <v>120</v>
      </c>
      <c r="J433" s="238"/>
      <c r="K433" s="248" t="s">
        <v>47</v>
      </c>
      <c r="L433" s="238"/>
      <c r="M433" s="248" t="s">
        <v>121</v>
      </c>
      <c r="N433" s="238"/>
    </row>
    <row r="434" spans="1:14" x14ac:dyDescent="0.25">
      <c r="A434" s="249" t="str">
        <f>PROFESIONALES!$B$30</f>
        <v>Alquiler oficina</v>
      </c>
      <c r="B434" s="237"/>
      <c r="C434" s="237"/>
      <c r="D434" s="237"/>
      <c r="E434" s="237"/>
      <c r="F434" s="237"/>
      <c r="G434" s="238"/>
      <c r="H434" s="68" t="str">
        <f>PROFESIONALES!$D$30</f>
        <v>MES</v>
      </c>
      <c r="I434" s="239">
        <f>PROFESIONALES!$F$30</f>
        <v>500000</v>
      </c>
      <c r="J434" s="238"/>
      <c r="K434" s="250">
        <f>PROFESIONALES!H30/APUS!Z22</f>
        <v>0.17647058823529413</v>
      </c>
      <c r="L434" s="238"/>
      <c r="M434" s="239">
        <f>K434*I434</f>
        <v>88235.294117647063</v>
      </c>
      <c r="N434" s="254"/>
    </row>
    <row r="435" spans="1:14" x14ac:dyDescent="0.25">
      <c r="A435" s="249" t="str">
        <f>PROFESIONALES!$B$32</f>
        <v>Gastos de oficina (Impresión de informes y planos)</v>
      </c>
      <c r="B435" s="237"/>
      <c r="C435" s="237"/>
      <c r="D435" s="237"/>
      <c r="E435" s="237"/>
      <c r="F435" s="237"/>
      <c r="G435" s="238"/>
      <c r="H435" s="68" t="str">
        <f>PROFESIONALES!$D$32</f>
        <v>COPIA</v>
      </c>
      <c r="I435" s="239">
        <f>PROFESIONALES!$F$32</f>
        <v>1500000</v>
      </c>
      <c r="J435" s="238"/>
      <c r="K435" s="250">
        <f>PROFESIONALES!$H$32*PROFESIONALES!E32/Z22</f>
        <v>0.17647058823529413</v>
      </c>
      <c r="L435" s="238"/>
      <c r="M435" s="239">
        <f t="shared" ref="M435" si="26">K435*I435</f>
        <v>264705.8823529412</v>
      </c>
      <c r="N435" s="254"/>
    </row>
    <row r="436" spans="1:14" x14ac:dyDescent="0.25">
      <c r="A436" s="255"/>
      <c r="B436" s="256"/>
      <c r="C436" s="256"/>
      <c r="D436" s="256"/>
      <c r="E436" s="256"/>
      <c r="F436" s="256"/>
      <c r="G436" s="257"/>
      <c r="H436" s="73"/>
      <c r="I436" s="258"/>
      <c r="J436" s="257"/>
      <c r="K436" s="259"/>
      <c r="L436" s="257"/>
      <c r="M436" s="258"/>
      <c r="N436" s="257"/>
    </row>
    <row r="437" spans="1:14" x14ac:dyDescent="0.25">
      <c r="A437" s="249"/>
      <c r="B437" s="237"/>
      <c r="C437" s="237"/>
      <c r="D437" s="237"/>
      <c r="E437" s="237"/>
      <c r="F437" s="237"/>
      <c r="G437" s="238"/>
      <c r="H437" s="68" t="str">
        <f>IF(A437="","",VLOOKUP(A437,AA_Materiales,7,FALSE))</f>
        <v/>
      </c>
      <c r="I437" s="239" t="str">
        <f>IF(A437="","",VLOOKUP(A437,AA_Materiales,8,FALSE))</f>
        <v/>
      </c>
      <c r="J437" s="238"/>
      <c r="K437" s="250"/>
      <c r="L437" s="238"/>
      <c r="M437" s="239" t="str">
        <f>IF(A437="","",I437*K437)</f>
        <v/>
      </c>
      <c r="N437" s="238"/>
    </row>
    <row r="438" spans="1:14" x14ac:dyDescent="0.25">
      <c r="A438" s="69"/>
      <c r="B438" s="69"/>
      <c r="C438" s="69"/>
      <c r="D438" s="69"/>
      <c r="E438" s="69"/>
      <c r="F438" s="69"/>
      <c r="G438" s="69"/>
      <c r="H438" s="69"/>
      <c r="I438" s="69"/>
      <c r="J438" s="69"/>
      <c r="K438" s="240" t="s">
        <v>122</v>
      </c>
      <c r="L438" s="238"/>
      <c r="M438" s="239">
        <f>SUM(M434:N437)</f>
        <v>352941.17647058825</v>
      </c>
      <c r="N438" s="238"/>
    </row>
    <row r="439" spans="1:14" x14ac:dyDescent="0.25">
      <c r="A439" s="69"/>
      <c r="B439" s="69"/>
      <c r="C439" s="69"/>
      <c r="D439" s="69"/>
      <c r="E439" s="69"/>
      <c r="F439" s="69"/>
      <c r="G439" s="69"/>
      <c r="H439" s="69"/>
      <c r="I439" s="69"/>
      <c r="J439" s="69"/>
      <c r="K439" s="69"/>
      <c r="L439" s="69"/>
      <c r="M439" s="69"/>
      <c r="N439" s="69"/>
    </row>
    <row r="440" spans="1:14" x14ac:dyDescent="0.25">
      <c r="A440" s="247" t="s">
        <v>123</v>
      </c>
      <c r="B440" s="237"/>
      <c r="C440" s="237"/>
      <c r="D440" s="237"/>
      <c r="E440" s="237"/>
      <c r="F440" s="237"/>
      <c r="G440" s="237"/>
      <c r="H440" s="237"/>
      <c r="I440" s="237"/>
      <c r="J440" s="237"/>
      <c r="K440" s="237"/>
      <c r="L440" s="237"/>
      <c r="M440" s="237"/>
      <c r="N440" s="238"/>
    </row>
    <row r="441" spans="1:14" x14ac:dyDescent="0.25">
      <c r="A441" s="240" t="s">
        <v>76</v>
      </c>
      <c r="B441" s="237"/>
      <c r="C441" s="237"/>
      <c r="D441" s="237"/>
      <c r="E441" s="237"/>
      <c r="F441" s="237"/>
      <c r="G441" s="238"/>
      <c r="H441" s="67" t="s">
        <v>46</v>
      </c>
      <c r="I441" s="248" t="s">
        <v>120</v>
      </c>
      <c r="J441" s="238"/>
      <c r="K441" s="248" t="s">
        <v>47</v>
      </c>
      <c r="L441" s="238"/>
      <c r="M441" s="248" t="s">
        <v>121</v>
      </c>
      <c r="N441" s="238"/>
    </row>
    <row r="442" spans="1:14" x14ac:dyDescent="0.25">
      <c r="A442" s="252" t="str">
        <f>PROFESIONALES!$B$31</f>
        <v>Servicios Públicos</v>
      </c>
      <c r="B442" s="237"/>
      <c r="C442" s="237"/>
      <c r="D442" s="237"/>
      <c r="E442" s="237"/>
      <c r="F442" s="237"/>
      <c r="G442" s="238"/>
      <c r="H442" s="68" t="str">
        <f>PROFESIONALES!$D$31</f>
        <v>MES</v>
      </c>
      <c r="I442" s="239">
        <f>PROFESIONALES!$F$31</f>
        <v>300000</v>
      </c>
      <c r="J442" s="238"/>
      <c r="K442" s="250">
        <f>PROFESIONALES!$H$9/Z22</f>
        <v>0.17647058823529413</v>
      </c>
      <c r="L442" s="251"/>
      <c r="M442" s="239">
        <f>K442*I442</f>
        <v>52941.176470588238</v>
      </c>
      <c r="N442" s="254"/>
    </row>
    <row r="443" spans="1:14" x14ac:dyDescent="0.25">
      <c r="A443" s="252"/>
      <c r="B443" s="237"/>
      <c r="C443" s="237"/>
      <c r="D443" s="237"/>
      <c r="E443" s="237"/>
      <c r="F443" s="237"/>
      <c r="G443" s="238"/>
      <c r="H443" s="68" t="str">
        <f>IF(A443="","",VLOOKUP(A443,AA_Equipos,7,FALSE))</f>
        <v/>
      </c>
      <c r="I443" s="239" t="str">
        <f>IF(A443="","",VLOOKUP(A443,AA_Materiales,8,FALSE))</f>
        <v/>
      </c>
      <c r="J443" s="238"/>
      <c r="K443" s="253"/>
      <c r="L443" s="238"/>
      <c r="M443" s="239" t="str">
        <f>IF(A443="","",I443*K443)</f>
        <v/>
      </c>
      <c r="N443" s="238"/>
    </row>
    <row r="444" spans="1:14" x14ac:dyDescent="0.25">
      <c r="A444" s="249"/>
      <c r="B444" s="237"/>
      <c r="C444" s="237"/>
      <c r="D444" s="237"/>
      <c r="E444" s="237"/>
      <c r="F444" s="237"/>
      <c r="G444" s="238"/>
      <c r="H444" s="68" t="str">
        <f>IF(A444="","",VLOOKUP(A444,AA_Equipos,7,FALSE))</f>
        <v/>
      </c>
      <c r="I444" s="239" t="str">
        <f>IF(A444="","",VLOOKUP(A444,AA_Materiales,8,FALSE))</f>
        <v/>
      </c>
      <c r="J444" s="238"/>
      <c r="K444" s="250"/>
      <c r="L444" s="238"/>
      <c r="M444" s="239" t="str">
        <f>IF(A444="","",I444*K444)</f>
        <v/>
      </c>
      <c r="N444" s="238"/>
    </row>
    <row r="445" spans="1:14" x14ac:dyDescent="0.25">
      <c r="A445" s="249"/>
      <c r="B445" s="237"/>
      <c r="C445" s="237"/>
      <c r="D445" s="237"/>
      <c r="E445" s="237"/>
      <c r="F445" s="237"/>
      <c r="G445" s="238"/>
      <c r="H445" s="68" t="str">
        <f>IF(A445="","",VLOOKUP(A445,AA_Equipos,7,FALSE))</f>
        <v/>
      </c>
      <c r="I445" s="239" t="str">
        <f>IF(A445="","",VLOOKUP(A445,AA_Materiales,8,FALSE))</f>
        <v/>
      </c>
      <c r="J445" s="238"/>
      <c r="K445" s="250"/>
      <c r="L445" s="238"/>
      <c r="M445" s="239" t="str">
        <f>IF(A445="","",I445*K445)</f>
        <v/>
      </c>
      <c r="N445" s="238"/>
    </row>
    <row r="446" spans="1:14" x14ac:dyDescent="0.25">
      <c r="A446" s="249"/>
      <c r="B446" s="237"/>
      <c r="C446" s="237"/>
      <c r="D446" s="237"/>
      <c r="E446" s="237"/>
      <c r="F446" s="237"/>
      <c r="G446" s="238"/>
      <c r="H446" s="68" t="str">
        <f>IF(A446="","",VLOOKUP(A446,AA_Equipos,7,FALSE))</f>
        <v/>
      </c>
      <c r="I446" s="239" t="str">
        <f>IF(A446="","",VLOOKUP(A446,AA_Materiales,8,FALSE))</f>
        <v/>
      </c>
      <c r="J446" s="238"/>
      <c r="K446" s="250"/>
      <c r="L446" s="238"/>
      <c r="M446" s="239" t="str">
        <f>IF(A446="","",I446*K446)</f>
        <v/>
      </c>
      <c r="N446" s="238"/>
    </row>
    <row r="447" spans="1:14" x14ac:dyDescent="0.25">
      <c r="A447" s="69"/>
      <c r="B447" s="69"/>
      <c r="C447" s="69"/>
      <c r="D447" s="69"/>
      <c r="E447" s="69"/>
      <c r="F447" s="69"/>
      <c r="G447" s="69"/>
      <c r="H447" s="69"/>
      <c r="I447" s="69"/>
      <c r="J447" s="69"/>
      <c r="K447" s="240" t="s">
        <v>122</v>
      </c>
      <c r="L447" s="238"/>
      <c r="M447" s="239">
        <f>SUM(M442:N446)</f>
        <v>52941.176470588238</v>
      </c>
      <c r="N447" s="238"/>
    </row>
    <row r="448" spans="1:14" x14ac:dyDescent="0.25">
      <c r="A448" s="69"/>
      <c r="B448" s="69"/>
      <c r="C448" s="69"/>
      <c r="D448" s="69"/>
      <c r="E448" s="69"/>
      <c r="F448" s="69"/>
      <c r="G448" s="69"/>
      <c r="H448" s="69"/>
      <c r="I448" s="69"/>
      <c r="J448" s="69"/>
      <c r="K448" s="69"/>
      <c r="L448" s="69"/>
      <c r="M448" s="69"/>
      <c r="N448" s="69"/>
    </row>
    <row r="449" spans="1:14" x14ac:dyDescent="0.25">
      <c r="A449" s="247" t="s">
        <v>124</v>
      </c>
      <c r="B449" s="237"/>
      <c r="C449" s="237"/>
      <c r="D449" s="237"/>
      <c r="E449" s="237"/>
      <c r="F449" s="237"/>
      <c r="G449" s="237"/>
      <c r="H449" s="237"/>
      <c r="I449" s="237"/>
      <c r="J449" s="237"/>
      <c r="K449" s="237"/>
      <c r="L449" s="237"/>
      <c r="M449" s="237"/>
      <c r="N449" s="238"/>
    </row>
    <row r="450" spans="1:14" x14ac:dyDescent="0.25">
      <c r="A450" s="240" t="s">
        <v>76</v>
      </c>
      <c r="B450" s="237"/>
      <c r="C450" s="237"/>
      <c r="D450" s="237"/>
      <c r="E450" s="237"/>
      <c r="F450" s="237"/>
      <c r="G450" s="238"/>
      <c r="H450" s="67" t="s">
        <v>46</v>
      </c>
      <c r="I450" s="248" t="s">
        <v>120</v>
      </c>
      <c r="J450" s="238"/>
      <c r="K450" s="248" t="s">
        <v>47</v>
      </c>
      <c r="L450" s="238"/>
      <c r="M450" s="248" t="s">
        <v>121</v>
      </c>
      <c r="N450" s="238"/>
    </row>
    <row r="451" spans="1:14" x14ac:dyDescent="0.25">
      <c r="A451" s="249"/>
      <c r="B451" s="237"/>
      <c r="C451" s="237"/>
      <c r="D451" s="237"/>
      <c r="E451" s="237"/>
      <c r="F451" s="237"/>
      <c r="G451" s="238"/>
      <c r="H451" s="68"/>
      <c r="I451" s="239"/>
      <c r="J451" s="238"/>
      <c r="K451" s="250"/>
      <c r="L451" s="251"/>
      <c r="M451" s="239"/>
      <c r="N451" s="238"/>
    </row>
    <row r="452" spans="1:14" x14ac:dyDescent="0.25">
      <c r="A452" s="252"/>
      <c r="B452" s="237"/>
      <c r="C452" s="237"/>
      <c r="D452" s="237"/>
      <c r="E452" s="237"/>
      <c r="F452" s="237"/>
      <c r="G452" s="238"/>
      <c r="H452" s="68"/>
      <c r="I452" s="239"/>
      <c r="J452" s="238"/>
      <c r="K452" s="253"/>
      <c r="L452" s="238"/>
      <c r="M452" s="239"/>
      <c r="N452" s="238"/>
    </row>
    <row r="453" spans="1:14" x14ac:dyDescent="0.25">
      <c r="A453" s="249"/>
      <c r="B453" s="237"/>
      <c r="C453" s="237"/>
      <c r="D453" s="237"/>
      <c r="E453" s="237"/>
      <c r="F453" s="237"/>
      <c r="G453" s="238"/>
      <c r="H453" s="68"/>
      <c r="I453" s="239"/>
      <c r="J453" s="238"/>
      <c r="K453" s="250"/>
      <c r="L453" s="238"/>
      <c r="M453" s="239" t="str">
        <f>IF(A453="","",I453*K453)</f>
        <v/>
      </c>
      <c r="N453" s="238"/>
    </row>
    <row r="454" spans="1:14" x14ac:dyDescent="0.25">
      <c r="A454" s="249"/>
      <c r="B454" s="237"/>
      <c r="C454" s="237"/>
      <c r="D454" s="237"/>
      <c r="E454" s="237"/>
      <c r="F454" s="237"/>
      <c r="G454" s="238"/>
      <c r="H454" s="68"/>
      <c r="I454" s="239"/>
      <c r="J454" s="238"/>
      <c r="K454" s="250"/>
      <c r="L454" s="238"/>
      <c r="M454" s="239" t="str">
        <f>IF(A454="","",I454*K454)</f>
        <v/>
      </c>
      <c r="N454" s="238"/>
    </row>
    <row r="455" spans="1:14" x14ac:dyDescent="0.25">
      <c r="A455" s="249"/>
      <c r="B455" s="237"/>
      <c r="C455" s="237"/>
      <c r="D455" s="237"/>
      <c r="E455" s="237"/>
      <c r="F455" s="237"/>
      <c r="G455" s="238"/>
      <c r="H455" s="68"/>
      <c r="I455" s="239"/>
      <c r="J455" s="238"/>
      <c r="K455" s="250"/>
      <c r="L455" s="238"/>
      <c r="M455" s="239" t="str">
        <f>IF(A455="","",I455*K455)</f>
        <v/>
      </c>
      <c r="N455" s="238"/>
    </row>
    <row r="456" spans="1:14" x14ac:dyDescent="0.25">
      <c r="A456" s="69"/>
      <c r="B456" s="69"/>
      <c r="C456" s="69"/>
      <c r="D456" s="69"/>
      <c r="E456" s="69"/>
      <c r="F456" s="69"/>
      <c r="G456" s="69"/>
      <c r="H456" s="69"/>
      <c r="I456" s="69"/>
      <c r="J456" s="69"/>
      <c r="K456" s="240" t="s">
        <v>122</v>
      </c>
      <c r="L456" s="238"/>
      <c r="M456" s="239">
        <f>SUM(M451:N455)</f>
        <v>0</v>
      </c>
      <c r="N456" s="238"/>
    </row>
    <row r="457" spans="1:14" x14ac:dyDescent="0.25">
      <c r="A457" s="69"/>
      <c r="B457" s="69"/>
      <c r="C457" s="69"/>
      <c r="D457" s="69"/>
      <c r="E457" s="69"/>
      <c r="F457" s="69"/>
      <c r="G457" s="69"/>
      <c r="H457" s="69"/>
      <c r="I457" s="69"/>
      <c r="J457" s="69"/>
      <c r="K457" s="69"/>
      <c r="L457" s="69"/>
      <c r="M457" s="69"/>
      <c r="N457" s="69"/>
    </row>
    <row r="458" spans="1:14" x14ac:dyDescent="0.25">
      <c r="A458" s="247" t="s">
        <v>125</v>
      </c>
      <c r="B458" s="237"/>
      <c r="C458" s="237"/>
      <c r="D458" s="237"/>
      <c r="E458" s="237"/>
      <c r="F458" s="237"/>
      <c r="G458" s="237"/>
      <c r="H458" s="237"/>
      <c r="I458" s="237"/>
      <c r="J458" s="237"/>
      <c r="K458" s="237"/>
      <c r="L458" s="237"/>
      <c r="M458" s="237"/>
      <c r="N458" s="238"/>
    </row>
    <row r="459" spans="1:14" x14ac:dyDescent="0.25">
      <c r="A459" s="240" t="s">
        <v>76</v>
      </c>
      <c r="B459" s="237"/>
      <c r="C459" s="237"/>
      <c r="D459" s="237"/>
      <c r="E459" s="237"/>
      <c r="F459" s="237"/>
      <c r="G459" s="238"/>
      <c r="H459" s="67" t="s">
        <v>46</v>
      </c>
      <c r="I459" s="248" t="s">
        <v>120</v>
      </c>
      <c r="J459" s="238"/>
      <c r="K459" s="70" t="s">
        <v>126</v>
      </c>
      <c r="L459" s="71" t="s">
        <v>128</v>
      </c>
      <c r="M459" s="248" t="s">
        <v>121</v>
      </c>
      <c r="N459" s="238"/>
    </row>
    <row r="460" spans="1:14" x14ac:dyDescent="0.25">
      <c r="A460" s="236" t="str">
        <f>PROFESIONALES!$B$9</f>
        <v>Director de consultoria</v>
      </c>
      <c r="B460" s="237"/>
      <c r="C460" s="237"/>
      <c r="D460" s="237"/>
      <c r="E460" s="237"/>
      <c r="F460" s="237"/>
      <c r="G460" s="238"/>
      <c r="H460" s="68" t="s">
        <v>80</v>
      </c>
      <c r="I460" s="239">
        <f>PROFESIONALES!$F$9</f>
        <v>7691776</v>
      </c>
      <c r="J460" s="238"/>
      <c r="K460" s="45">
        <f>PROFESIONALES!I$24</f>
        <v>2</v>
      </c>
      <c r="L460" s="72">
        <f>V6*AG6*30</f>
        <v>1.0588235294117649</v>
      </c>
      <c r="M460" s="239">
        <f t="shared" ref="M460:M467" si="27">I460*K460*L460/30</f>
        <v>542948.8941176472</v>
      </c>
      <c r="N460" s="238"/>
    </row>
    <row r="461" spans="1:14" x14ac:dyDescent="0.25">
      <c r="A461" s="236" t="str">
        <f>PROFESIONALES!$B$20</f>
        <v>Delineante</v>
      </c>
      <c r="B461" s="237"/>
      <c r="C461" s="237"/>
      <c r="D461" s="237"/>
      <c r="E461" s="237"/>
      <c r="F461" s="237"/>
      <c r="G461" s="238"/>
      <c r="H461" s="68" t="s">
        <v>80</v>
      </c>
      <c r="I461" s="239">
        <f>PROFESIONALES!$F$20</f>
        <v>2751081</v>
      </c>
      <c r="J461" s="238"/>
      <c r="K461" s="45">
        <f>PROFESIONALES!I$24</f>
        <v>2</v>
      </c>
      <c r="L461" s="45">
        <f>AG18*V18*30</f>
        <v>3.6000000000000005</v>
      </c>
      <c r="M461" s="239">
        <f t="shared" si="27"/>
        <v>660259.44000000006</v>
      </c>
      <c r="N461" s="238"/>
    </row>
    <row r="462" spans="1:14" x14ac:dyDescent="0.25">
      <c r="A462" s="236" t="str">
        <f>PROFESIONALES!$B$15</f>
        <v>Profesional de apoyo</v>
      </c>
      <c r="B462" s="237"/>
      <c r="C462" s="237"/>
      <c r="D462" s="237"/>
      <c r="E462" s="237"/>
      <c r="F462" s="237"/>
      <c r="G462" s="238"/>
      <c r="H462" s="68" t="s">
        <v>80</v>
      </c>
      <c r="I462" s="239">
        <f>PROFESIONALES!$F$15</f>
        <v>5582300</v>
      </c>
      <c r="J462" s="238"/>
      <c r="K462" s="45">
        <f>PROFESIONALES!I$24</f>
        <v>2</v>
      </c>
      <c r="L462" s="45">
        <f>V12*AG12*30</f>
        <v>5.2941176470588234</v>
      </c>
      <c r="M462" s="239">
        <f t="shared" si="27"/>
        <v>1970223.5294117646</v>
      </c>
      <c r="N462" s="238"/>
    </row>
    <row r="463" spans="1:14" x14ac:dyDescent="0.25">
      <c r="A463" s="236" t="str">
        <f>PROFESIONALES!$B$10</f>
        <v>Especialista Estructural</v>
      </c>
      <c r="B463" s="237"/>
      <c r="C463" s="237"/>
      <c r="D463" s="237"/>
      <c r="E463" s="237"/>
      <c r="F463" s="237"/>
      <c r="G463" s="238"/>
      <c r="H463" s="68" t="s">
        <v>80</v>
      </c>
      <c r="I463" s="239">
        <f>PROFESIONALES!$F$10</f>
        <v>6573098</v>
      </c>
      <c r="J463" s="238"/>
      <c r="K463" s="45">
        <f>PROFESIONALES!I$24</f>
        <v>2</v>
      </c>
      <c r="L463" s="45">
        <f>V7*AG7*30</f>
        <v>0.90000000000000013</v>
      </c>
      <c r="M463" s="239">
        <f t="shared" si="27"/>
        <v>394385.88000000006</v>
      </c>
      <c r="N463" s="238"/>
    </row>
    <row r="464" spans="1:14" x14ac:dyDescent="0.25">
      <c r="A464" s="236" t="str">
        <f>PROFESIONALES!B$12</f>
        <v>Especialista Hidráulico</v>
      </c>
      <c r="B464" s="237"/>
      <c r="C464" s="237"/>
      <c r="D464" s="237"/>
      <c r="E464" s="237"/>
      <c r="F464" s="237"/>
      <c r="G464" s="238"/>
      <c r="H464" s="68" t="s">
        <v>80</v>
      </c>
      <c r="I464" s="239">
        <f>PROFESIONALES!$F$12</f>
        <v>6356217</v>
      </c>
      <c r="J464" s="238"/>
      <c r="K464" s="45">
        <f>PROFESIONALES!I$24</f>
        <v>2</v>
      </c>
      <c r="L464" s="45">
        <f>AG9*V9*30</f>
        <v>0.90000000000000013</v>
      </c>
      <c r="M464" s="239">
        <f t="shared" si="27"/>
        <v>381373.02000000008</v>
      </c>
      <c r="N464" s="238"/>
    </row>
    <row r="465" spans="1:14" x14ac:dyDescent="0.25">
      <c r="A465" s="236" t="str">
        <f>PROFESIONALES!$B$14</f>
        <v xml:space="preserve">Especialista Veterinario </v>
      </c>
      <c r="B465" s="237"/>
      <c r="C465" s="237"/>
      <c r="D465" s="237"/>
      <c r="E465" s="237"/>
      <c r="F465" s="237"/>
      <c r="G465" s="238"/>
      <c r="H465" s="68" t="s">
        <v>80</v>
      </c>
      <c r="I465" s="239">
        <f>PROFESIONALES!$F$14</f>
        <v>6356217</v>
      </c>
      <c r="J465" s="238"/>
      <c r="K465" s="45">
        <f>PROFESIONALES!I$24</f>
        <v>2</v>
      </c>
      <c r="L465" s="45">
        <v>2.0002717349792523</v>
      </c>
      <c r="M465" s="239">
        <f t="shared" si="27"/>
        <v>847610.74709964124</v>
      </c>
      <c r="N465" s="238"/>
    </row>
    <row r="466" spans="1:14" x14ac:dyDescent="0.25">
      <c r="A466" s="236" t="str">
        <f>PROFESIONALES!$B$16</f>
        <v>Topógrafo</v>
      </c>
      <c r="B466" s="237"/>
      <c r="C466" s="237"/>
      <c r="D466" s="237"/>
      <c r="E466" s="237"/>
      <c r="F466" s="237"/>
      <c r="G466" s="238"/>
      <c r="H466" s="68" t="s">
        <v>80</v>
      </c>
      <c r="I466" s="239">
        <f>PROFESIONALES!$F$16</f>
        <v>4183335</v>
      </c>
      <c r="J466" s="238"/>
      <c r="K466" s="45">
        <f>PROFESIONALES!I$24</f>
        <v>2</v>
      </c>
      <c r="L466" s="45">
        <f>V13*AG13*30</f>
        <v>1.3499999999999999</v>
      </c>
      <c r="M466" s="239">
        <f t="shared" si="27"/>
        <v>376500.14999999997</v>
      </c>
      <c r="N466" s="238"/>
    </row>
    <row r="467" spans="1:14" x14ac:dyDescent="0.25">
      <c r="A467" s="236" t="str">
        <f>PROFESIONALES!$B$18</f>
        <v>Profesional Arquitecto</v>
      </c>
      <c r="B467" s="237"/>
      <c r="C467" s="237"/>
      <c r="D467" s="237"/>
      <c r="E467" s="237"/>
      <c r="F467" s="237"/>
      <c r="G467" s="238"/>
      <c r="H467" s="68" t="s">
        <v>80</v>
      </c>
      <c r="I467" s="239">
        <f>PROFESIONALES!$F$18</f>
        <v>5582300</v>
      </c>
      <c r="J467" s="238"/>
      <c r="K467" s="45">
        <f>PROFESIONALES!I$24</f>
        <v>2</v>
      </c>
      <c r="L467" s="45">
        <f>V15*AG15*30</f>
        <v>4.0500000000000007</v>
      </c>
      <c r="M467" s="239">
        <f t="shared" si="27"/>
        <v>1507221.0000000002</v>
      </c>
      <c r="N467" s="238"/>
    </row>
    <row r="468" spans="1:14" x14ac:dyDescent="0.25">
      <c r="A468" s="69"/>
      <c r="B468" s="69"/>
      <c r="C468" s="69"/>
      <c r="D468" s="69"/>
      <c r="E468" s="69"/>
      <c r="F468" s="69"/>
      <c r="G468" s="69"/>
      <c r="H468" s="69"/>
      <c r="I468" s="69"/>
      <c r="J468" s="69"/>
      <c r="K468" s="240" t="s">
        <v>122</v>
      </c>
      <c r="L468" s="238"/>
      <c r="M468" s="239">
        <f>SUM(M460:N467)</f>
        <v>6680522.6606290536</v>
      </c>
      <c r="N468" s="238"/>
    </row>
    <row r="470" spans="1:14" x14ac:dyDescent="0.25">
      <c r="A470" s="241" t="str">
        <f>Productos!$B$19</f>
        <v>Presupuesto de obras requeridas, dotación, insumos y equipos necesarios para la puesta en funcionamiento del CENTRO DE BIENESTAR ANIMAL, incluye Memorias de cantidades de obra detalladas por componente, Análisis de precios unitarios, EDT, EDO</v>
      </c>
      <c r="B470" s="242"/>
      <c r="C470" s="242"/>
      <c r="D470" s="242"/>
      <c r="E470" s="242"/>
      <c r="F470" s="242"/>
      <c r="G470" s="242"/>
      <c r="H470" s="242"/>
      <c r="I470" s="242"/>
      <c r="J470" s="242"/>
      <c r="K470" s="242"/>
      <c r="L470" s="242"/>
      <c r="M470" s="242"/>
      <c r="N470" s="243"/>
    </row>
    <row r="471" spans="1:14" x14ac:dyDescent="0.25">
      <c r="A471" s="244"/>
      <c r="B471" s="245"/>
      <c r="C471" s="245"/>
      <c r="D471" s="245"/>
      <c r="E471" s="245"/>
      <c r="F471" s="245"/>
      <c r="G471" s="245"/>
      <c r="H471" s="245"/>
      <c r="I471" s="245"/>
      <c r="J471" s="245"/>
      <c r="K471" s="245"/>
      <c r="L471" s="245"/>
      <c r="M471" s="245"/>
      <c r="N471" s="246"/>
    </row>
    <row r="472" spans="1:14" x14ac:dyDescent="0.25">
      <c r="A472" s="39">
        <v>1</v>
      </c>
      <c r="B472" s="39">
        <v>2</v>
      </c>
      <c r="C472" s="39">
        <v>3</v>
      </c>
      <c r="D472" s="39">
        <v>4</v>
      </c>
      <c r="E472" s="39">
        <v>5</v>
      </c>
      <c r="F472" s="39">
        <v>6</v>
      </c>
      <c r="G472" s="39">
        <v>7</v>
      </c>
      <c r="H472" s="39">
        <v>8</v>
      </c>
      <c r="I472" s="39">
        <v>9</v>
      </c>
      <c r="J472" s="39">
        <v>10</v>
      </c>
      <c r="K472" s="39">
        <v>11</v>
      </c>
      <c r="L472" s="39">
        <v>12</v>
      </c>
      <c r="M472" s="39">
        <v>13</v>
      </c>
      <c r="N472" s="39">
        <v>14</v>
      </c>
    </row>
    <row r="473" spans="1:14" ht="15.75" x14ac:dyDescent="0.3">
      <c r="A473" s="114" t="str">
        <f>Productos!A19</f>
        <v>A012</v>
      </c>
      <c r="B473" s="59" t="str">
        <f>A470</f>
        <v>Presupuesto de obras requeridas, dotación, insumos y equipos necesarios para la puesta en funcionamiento del CENTRO DE BIENESTAR ANIMAL, incluye Memorias de cantidades de obra detalladas por componente, Análisis de precios unitarios, EDT, EDO</v>
      </c>
      <c r="C473" s="85" t="s">
        <v>113</v>
      </c>
      <c r="D473" s="60" t="s">
        <v>127</v>
      </c>
      <c r="E473" s="86" t="s">
        <v>114</v>
      </c>
      <c r="F473" s="61">
        <f>H473+J473+L473+N473</f>
        <v>4485723.2896499997</v>
      </c>
      <c r="G473" s="86" t="s">
        <v>115</v>
      </c>
      <c r="H473" s="62">
        <f>M490</f>
        <v>52941.176470588238</v>
      </c>
      <c r="I473" s="86" t="s">
        <v>116</v>
      </c>
      <c r="J473" s="63">
        <f>M481</f>
        <v>352941.17647058825</v>
      </c>
      <c r="K473" s="86" t="s">
        <v>117</v>
      </c>
      <c r="L473" s="62">
        <f>M499</f>
        <v>0</v>
      </c>
      <c r="M473" s="86" t="s">
        <v>118</v>
      </c>
      <c r="N473" s="64">
        <f>M508</f>
        <v>4079840.9367088228</v>
      </c>
    </row>
    <row r="474" spans="1:14" x14ac:dyDescent="0.25">
      <c r="A474" s="65"/>
      <c r="B474" s="65"/>
      <c r="C474" s="65"/>
      <c r="D474" s="65"/>
      <c r="E474" s="65"/>
      <c r="F474" s="172"/>
      <c r="G474" s="65"/>
      <c r="H474" s="66"/>
      <c r="I474" s="66"/>
      <c r="J474" s="65"/>
      <c r="K474" s="65"/>
      <c r="L474" s="65"/>
      <c r="M474" s="65"/>
      <c r="N474" s="65"/>
    </row>
    <row r="475" spans="1:14" x14ac:dyDescent="0.25">
      <c r="A475" s="247" t="s">
        <v>119</v>
      </c>
      <c r="B475" s="237"/>
      <c r="C475" s="237"/>
      <c r="D475" s="237"/>
      <c r="E475" s="237"/>
      <c r="F475" s="237"/>
      <c r="G475" s="237"/>
      <c r="H475" s="237"/>
      <c r="I475" s="237"/>
      <c r="J475" s="237"/>
      <c r="K475" s="237"/>
      <c r="L475" s="237"/>
      <c r="M475" s="237"/>
      <c r="N475" s="238"/>
    </row>
    <row r="476" spans="1:14" x14ac:dyDescent="0.25">
      <c r="A476" s="240" t="s">
        <v>76</v>
      </c>
      <c r="B476" s="237"/>
      <c r="C476" s="237"/>
      <c r="D476" s="237"/>
      <c r="E476" s="237"/>
      <c r="F476" s="237"/>
      <c r="G476" s="238"/>
      <c r="H476" s="67" t="s">
        <v>46</v>
      </c>
      <c r="I476" s="248" t="s">
        <v>120</v>
      </c>
      <c r="J476" s="238"/>
      <c r="K476" s="248" t="s">
        <v>47</v>
      </c>
      <c r="L476" s="238"/>
      <c r="M476" s="248" t="s">
        <v>121</v>
      </c>
      <c r="N476" s="238"/>
    </row>
    <row r="477" spans="1:14" x14ac:dyDescent="0.25">
      <c r="A477" s="249" t="str">
        <f>PROFESIONALES!$B$30</f>
        <v>Alquiler oficina</v>
      </c>
      <c r="B477" s="237"/>
      <c r="C477" s="237"/>
      <c r="D477" s="237"/>
      <c r="E477" s="237"/>
      <c r="F477" s="237"/>
      <c r="G477" s="238"/>
      <c r="H477" s="68" t="str">
        <f>PROFESIONALES!$D$30</f>
        <v>MES</v>
      </c>
      <c r="I477" s="239">
        <f>PROFESIONALES!$F$30</f>
        <v>500000</v>
      </c>
      <c r="J477" s="238"/>
      <c r="K477" s="250">
        <f>PROFESIONALES!H30/APUS!Z22</f>
        <v>0.17647058823529413</v>
      </c>
      <c r="L477" s="238"/>
      <c r="M477" s="239">
        <f>K477*I477</f>
        <v>88235.294117647063</v>
      </c>
      <c r="N477" s="254"/>
    </row>
    <row r="478" spans="1:14" x14ac:dyDescent="0.25">
      <c r="A478" s="249" t="str">
        <f>PROFESIONALES!$B$32</f>
        <v>Gastos de oficina (Impresión de informes y planos)</v>
      </c>
      <c r="B478" s="237"/>
      <c r="C478" s="237"/>
      <c r="D478" s="237"/>
      <c r="E478" s="237"/>
      <c r="F478" s="237"/>
      <c r="G478" s="238"/>
      <c r="H478" s="68" t="str">
        <f>PROFESIONALES!$D$32</f>
        <v>COPIA</v>
      </c>
      <c r="I478" s="239">
        <f>PROFESIONALES!$F$32</f>
        <v>1500000</v>
      </c>
      <c r="J478" s="238"/>
      <c r="K478" s="250">
        <f>PROFESIONALES!$H$32*PROFESIONALES!E32/Z22</f>
        <v>0.17647058823529413</v>
      </c>
      <c r="L478" s="238"/>
      <c r="M478" s="239">
        <f t="shared" ref="M478" si="28">K478*I478</f>
        <v>264705.8823529412</v>
      </c>
      <c r="N478" s="254"/>
    </row>
    <row r="479" spans="1:14" x14ac:dyDescent="0.25">
      <c r="A479" s="255"/>
      <c r="B479" s="256"/>
      <c r="C479" s="256"/>
      <c r="D479" s="256"/>
      <c r="E479" s="256"/>
      <c r="F479" s="256"/>
      <c r="G479" s="257"/>
      <c r="H479" s="73"/>
      <c r="I479" s="258"/>
      <c r="J479" s="257"/>
      <c r="K479" s="259"/>
      <c r="L479" s="257"/>
      <c r="M479" s="258"/>
      <c r="N479" s="257"/>
    </row>
    <row r="480" spans="1:14" x14ac:dyDescent="0.25">
      <c r="A480" s="249"/>
      <c r="B480" s="237"/>
      <c r="C480" s="237"/>
      <c r="D480" s="237"/>
      <c r="E480" s="237"/>
      <c r="F480" s="237"/>
      <c r="G480" s="238"/>
      <c r="H480" s="68" t="str">
        <f>IF(A480="","",VLOOKUP(A480,AA_Materiales,7,FALSE))</f>
        <v/>
      </c>
      <c r="I480" s="239" t="str">
        <f>IF(A480="","",VLOOKUP(A480,AA_Materiales,8,FALSE))</f>
        <v/>
      </c>
      <c r="J480" s="238"/>
      <c r="K480" s="250"/>
      <c r="L480" s="238"/>
      <c r="M480" s="239" t="str">
        <f>IF(A480="","",I480*K480)</f>
        <v/>
      </c>
      <c r="N480" s="238"/>
    </row>
    <row r="481" spans="1:14" x14ac:dyDescent="0.25">
      <c r="A481" s="69"/>
      <c r="B481" s="69"/>
      <c r="C481" s="69"/>
      <c r="D481" s="69"/>
      <c r="E481" s="69"/>
      <c r="F481" s="69"/>
      <c r="G481" s="69"/>
      <c r="H481" s="69"/>
      <c r="I481" s="69"/>
      <c r="J481" s="69"/>
      <c r="K481" s="240" t="s">
        <v>122</v>
      </c>
      <c r="L481" s="238"/>
      <c r="M481" s="239">
        <f>SUM(M477:N480)</f>
        <v>352941.17647058825</v>
      </c>
      <c r="N481" s="238"/>
    </row>
    <row r="482" spans="1:14" x14ac:dyDescent="0.25">
      <c r="A482" s="69"/>
      <c r="B482" s="69"/>
      <c r="C482" s="69"/>
      <c r="D482" s="69"/>
      <c r="E482" s="69"/>
      <c r="F482" s="69"/>
      <c r="G482" s="69"/>
      <c r="H482" s="69"/>
      <c r="I482" s="69"/>
      <c r="J482" s="69"/>
      <c r="K482" s="69"/>
      <c r="L482" s="69"/>
      <c r="M482" s="69"/>
      <c r="N482" s="69"/>
    </row>
    <row r="483" spans="1:14" x14ac:dyDescent="0.25">
      <c r="A483" s="247" t="s">
        <v>123</v>
      </c>
      <c r="B483" s="237"/>
      <c r="C483" s="237"/>
      <c r="D483" s="237"/>
      <c r="E483" s="237"/>
      <c r="F483" s="237"/>
      <c r="G483" s="237"/>
      <c r="H483" s="237"/>
      <c r="I483" s="237"/>
      <c r="J483" s="237"/>
      <c r="K483" s="237"/>
      <c r="L483" s="237"/>
      <c r="M483" s="237"/>
      <c r="N483" s="238"/>
    </row>
    <row r="484" spans="1:14" x14ac:dyDescent="0.25">
      <c r="A484" s="240" t="s">
        <v>76</v>
      </c>
      <c r="B484" s="237"/>
      <c r="C484" s="237"/>
      <c r="D484" s="237"/>
      <c r="E484" s="237"/>
      <c r="F484" s="237"/>
      <c r="G484" s="238"/>
      <c r="H484" s="67" t="s">
        <v>46</v>
      </c>
      <c r="I484" s="248" t="s">
        <v>120</v>
      </c>
      <c r="J484" s="238"/>
      <c r="K484" s="248" t="s">
        <v>47</v>
      </c>
      <c r="L484" s="238"/>
      <c r="M484" s="248" t="s">
        <v>121</v>
      </c>
      <c r="N484" s="238"/>
    </row>
    <row r="485" spans="1:14" x14ac:dyDescent="0.25">
      <c r="A485" s="252" t="str">
        <f>PROFESIONALES!$B$31</f>
        <v>Servicios Públicos</v>
      </c>
      <c r="B485" s="237"/>
      <c r="C485" s="237"/>
      <c r="D485" s="237"/>
      <c r="E485" s="237"/>
      <c r="F485" s="237"/>
      <c r="G485" s="238"/>
      <c r="H485" s="68" t="str">
        <f>PROFESIONALES!$D$31</f>
        <v>MES</v>
      </c>
      <c r="I485" s="239">
        <f>PROFESIONALES!$F$31</f>
        <v>300000</v>
      </c>
      <c r="J485" s="238"/>
      <c r="K485" s="250">
        <f>PROFESIONALES!$H$9/Z22</f>
        <v>0.17647058823529413</v>
      </c>
      <c r="L485" s="251"/>
      <c r="M485" s="239">
        <f>K485*I485</f>
        <v>52941.176470588238</v>
      </c>
      <c r="N485" s="254"/>
    </row>
    <row r="486" spans="1:14" x14ac:dyDescent="0.25">
      <c r="A486" s="252"/>
      <c r="B486" s="237"/>
      <c r="C486" s="237"/>
      <c r="D486" s="237"/>
      <c r="E486" s="237"/>
      <c r="F486" s="237"/>
      <c r="G486" s="238"/>
      <c r="H486" s="68" t="str">
        <f>IF(A486="","",VLOOKUP(A486,AA_Equipos,7,FALSE))</f>
        <v/>
      </c>
      <c r="I486" s="239" t="str">
        <f>IF(A486="","",VLOOKUP(A486,AA_Materiales,8,FALSE))</f>
        <v/>
      </c>
      <c r="J486" s="238"/>
      <c r="K486" s="253"/>
      <c r="L486" s="238"/>
      <c r="M486" s="239" t="str">
        <f>IF(A486="","",I486*K486)</f>
        <v/>
      </c>
      <c r="N486" s="238"/>
    </row>
    <row r="487" spans="1:14" x14ac:dyDescent="0.25">
      <c r="A487" s="249"/>
      <c r="B487" s="237"/>
      <c r="C487" s="237"/>
      <c r="D487" s="237"/>
      <c r="E487" s="237"/>
      <c r="F487" s="237"/>
      <c r="G487" s="238"/>
      <c r="H487" s="68" t="str">
        <f>IF(A487="","",VLOOKUP(A487,AA_Equipos,7,FALSE))</f>
        <v/>
      </c>
      <c r="I487" s="239" t="str">
        <f>IF(A487="","",VLOOKUP(A487,AA_Materiales,8,FALSE))</f>
        <v/>
      </c>
      <c r="J487" s="238"/>
      <c r="K487" s="250"/>
      <c r="L487" s="238"/>
      <c r="M487" s="239" t="str">
        <f>IF(A487="","",I487*K487)</f>
        <v/>
      </c>
      <c r="N487" s="238"/>
    </row>
    <row r="488" spans="1:14" x14ac:dyDescent="0.25">
      <c r="A488" s="249"/>
      <c r="B488" s="237"/>
      <c r="C488" s="237"/>
      <c r="D488" s="237"/>
      <c r="E488" s="237"/>
      <c r="F488" s="237"/>
      <c r="G488" s="238"/>
      <c r="H488" s="68" t="str">
        <f>IF(A488="","",VLOOKUP(A488,AA_Equipos,7,FALSE))</f>
        <v/>
      </c>
      <c r="I488" s="239" t="str">
        <f>IF(A488="","",VLOOKUP(A488,AA_Materiales,8,FALSE))</f>
        <v/>
      </c>
      <c r="J488" s="238"/>
      <c r="K488" s="250"/>
      <c r="L488" s="238"/>
      <c r="M488" s="239" t="str">
        <f>IF(A488="","",I488*K488)</f>
        <v/>
      </c>
      <c r="N488" s="238"/>
    </row>
    <row r="489" spans="1:14" x14ac:dyDescent="0.25">
      <c r="A489" s="249"/>
      <c r="B489" s="237"/>
      <c r="C489" s="237"/>
      <c r="D489" s="237"/>
      <c r="E489" s="237"/>
      <c r="F489" s="237"/>
      <c r="G489" s="238"/>
      <c r="H489" s="68" t="str">
        <f>IF(A489="","",VLOOKUP(A489,AA_Equipos,7,FALSE))</f>
        <v/>
      </c>
      <c r="I489" s="239" t="str">
        <f>IF(A489="","",VLOOKUP(A489,AA_Materiales,8,FALSE))</f>
        <v/>
      </c>
      <c r="J489" s="238"/>
      <c r="K489" s="250"/>
      <c r="L489" s="238"/>
      <c r="M489" s="239" t="str">
        <f>IF(A489="","",I489*K489)</f>
        <v/>
      </c>
      <c r="N489" s="238"/>
    </row>
    <row r="490" spans="1:14" x14ac:dyDescent="0.25">
      <c r="A490" s="69"/>
      <c r="B490" s="69"/>
      <c r="C490" s="69"/>
      <c r="D490" s="69"/>
      <c r="E490" s="69"/>
      <c r="F490" s="69"/>
      <c r="G490" s="69"/>
      <c r="H490" s="69"/>
      <c r="I490" s="69"/>
      <c r="J490" s="69"/>
      <c r="K490" s="240" t="s">
        <v>122</v>
      </c>
      <c r="L490" s="238"/>
      <c r="M490" s="239">
        <f>SUM(M485:N489)</f>
        <v>52941.176470588238</v>
      </c>
      <c r="N490" s="238"/>
    </row>
    <row r="491" spans="1:14" x14ac:dyDescent="0.25">
      <c r="A491" s="69"/>
      <c r="B491" s="69"/>
      <c r="C491" s="69"/>
      <c r="D491" s="69"/>
      <c r="E491" s="69"/>
      <c r="F491" s="69"/>
      <c r="G491" s="69"/>
      <c r="H491" s="69"/>
      <c r="I491" s="69"/>
      <c r="J491" s="69"/>
      <c r="K491" s="69"/>
      <c r="L491" s="69"/>
      <c r="M491" s="69"/>
      <c r="N491" s="69"/>
    </row>
    <row r="492" spans="1:14" x14ac:dyDescent="0.25">
      <c r="A492" s="247" t="s">
        <v>124</v>
      </c>
      <c r="B492" s="237"/>
      <c r="C492" s="237"/>
      <c r="D492" s="237"/>
      <c r="E492" s="237"/>
      <c r="F492" s="237"/>
      <c r="G492" s="237"/>
      <c r="H492" s="237"/>
      <c r="I492" s="237"/>
      <c r="J492" s="237"/>
      <c r="K492" s="237"/>
      <c r="L492" s="237"/>
      <c r="M492" s="237"/>
      <c r="N492" s="238"/>
    </row>
    <row r="493" spans="1:14" x14ac:dyDescent="0.25">
      <c r="A493" s="240" t="s">
        <v>76</v>
      </c>
      <c r="B493" s="237"/>
      <c r="C493" s="237"/>
      <c r="D493" s="237"/>
      <c r="E493" s="237"/>
      <c r="F493" s="237"/>
      <c r="G493" s="238"/>
      <c r="H493" s="67" t="s">
        <v>46</v>
      </c>
      <c r="I493" s="248" t="s">
        <v>120</v>
      </c>
      <c r="J493" s="238"/>
      <c r="K493" s="248" t="s">
        <v>47</v>
      </c>
      <c r="L493" s="238"/>
      <c r="M493" s="248" t="s">
        <v>121</v>
      </c>
      <c r="N493" s="238"/>
    </row>
    <row r="494" spans="1:14" x14ac:dyDescent="0.25">
      <c r="A494" s="249"/>
      <c r="B494" s="237"/>
      <c r="C494" s="237"/>
      <c r="D494" s="237"/>
      <c r="E494" s="237"/>
      <c r="F494" s="237"/>
      <c r="G494" s="238"/>
      <c r="H494" s="68"/>
      <c r="I494" s="239"/>
      <c r="J494" s="238"/>
      <c r="K494" s="250"/>
      <c r="L494" s="251"/>
      <c r="M494" s="239"/>
      <c r="N494" s="238"/>
    </row>
    <row r="495" spans="1:14" x14ac:dyDescent="0.25">
      <c r="A495" s="252"/>
      <c r="B495" s="237"/>
      <c r="C495" s="237"/>
      <c r="D495" s="237"/>
      <c r="E495" s="237"/>
      <c r="F495" s="237"/>
      <c r="G495" s="238"/>
      <c r="H495" s="68"/>
      <c r="I495" s="239"/>
      <c r="J495" s="238"/>
      <c r="K495" s="253"/>
      <c r="L495" s="238"/>
      <c r="M495" s="239"/>
      <c r="N495" s="238"/>
    </row>
    <row r="496" spans="1:14" x14ac:dyDescent="0.25">
      <c r="A496" s="249"/>
      <c r="B496" s="237"/>
      <c r="C496" s="237"/>
      <c r="D496" s="237"/>
      <c r="E496" s="237"/>
      <c r="F496" s="237"/>
      <c r="G496" s="238"/>
      <c r="H496" s="68"/>
      <c r="I496" s="239"/>
      <c r="J496" s="238"/>
      <c r="K496" s="250"/>
      <c r="L496" s="238"/>
      <c r="M496" s="239" t="str">
        <f>IF(A496="","",I496*K496)</f>
        <v/>
      </c>
      <c r="N496" s="238"/>
    </row>
    <row r="497" spans="1:14" x14ac:dyDescent="0.25">
      <c r="A497" s="249"/>
      <c r="B497" s="237"/>
      <c r="C497" s="237"/>
      <c r="D497" s="237"/>
      <c r="E497" s="237"/>
      <c r="F497" s="237"/>
      <c r="G497" s="238"/>
      <c r="H497" s="68"/>
      <c r="I497" s="239"/>
      <c r="J497" s="238"/>
      <c r="K497" s="250"/>
      <c r="L497" s="238"/>
      <c r="M497" s="239" t="str">
        <f>IF(A497="","",I497*K497)</f>
        <v/>
      </c>
      <c r="N497" s="238"/>
    </row>
    <row r="498" spans="1:14" x14ac:dyDescent="0.25">
      <c r="A498" s="249"/>
      <c r="B498" s="237"/>
      <c r="C498" s="237"/>
      <c r="D498" s="237"/>
      <c r="E498" s="237"/>
      <c r="F498" s="237"/>
      <c r="G498" s="238"/>
      <c r="H498" s="68"/>
      <c r="I498" s="239"/>
      <c r="J498" s="238"/>
      <c r="K498" s="250"/>
      <c r="L498" s="238"/>
      <c r="M498" s="239" t="str">
        <f>IF(A498="","",I498*K498)</f>
        <v/>
      </c>
      <c r="N498" s="238"/>
    </row>
    <row r="499" spans="1:14" x14ac:dyDescent="0.25">
      <c r="A499" s="69"/>
      <c r="B499" s="69"/>
      <c r="C499" s="69"/>
      <c r="D499" s="69"/>
      <c r="E499" s="69"/>
      <c r="F499" s="69"/>
      <c r="G499" s="69"/>
      <c r="H499" s="69"/>
      <c r="I499" s="69"/>
      <c r="J499" s="69"/>
      <c r="K499" s="240" t="s">
        <v>122</v>
      </c>
      <c r="L499" s="238"/>
      <c r="M499" s="239">
        <f>SUM(M494:N498)</f>
        <v>0</v>
      </c>
      <c r="N499" s="238"/>
    </row>
    <row r="500" spans="1:14" x14ac:dyDescent="0.25">
      <c r="A500" s="69"/>
      <c r="B500" s="69"/>
      <c r="C500" s="69"/>
      <c r="D500" s="69"/>
      <c r="E500" s="69"/>
      <c r="F500" s="69"/>
      <c r="G500" s="69"/>
      <c r="H500" s="69"/>
      <c r="I500" s="69"/>
      <c r="J500" s="69"/>
      <c r="K500" s="69"/>
      <c r="L500" s="69"/>
      <c r="M500" s="69"/>
      <c r="N500" s="69"/>
    </row>
    <row r="501" spans="1:14" x14ac:dyDescent="0.25">
      <c r="A501" s="247" t="s">
        <v>125</v>
      </c>
      <c r="B501" s="237"/>
      <c r="C501" s="237"/>
      <c r="D501" s="237"/>
      <c r="E501" s="237"/>
      <c r="F501" s="237"/>
      <c r="G501" s="237"/>
      <c r="H501" s="237"/>
      <c r="I501" s="237"/>
      <c r="J501" s="237"/>
      <c r="K501" s="237"/>
      <c r="L501" s="237"/>
      <c r="M501" s="237"/>
      <c r="N501" s="238"/>
    </row>
    <row r="502" spans="1:14" x14ac:dyDescent="0.25">
      <c r="A502" s="240" t="s">
        <v>76</v>
      </c>
      <c r="B502" s="237"/>
      <c r="C502" s="237"/>
      <c r="D502" s="237"/>
      <c r="E502" s="237"/>
      <c r="F502" s="237"/>
      <c r="G502" s="238"/>
      <c r="H502" s="67" t="s">
        <v>46</v>
      </c>
      <c r="I502" s="248" t="s">
        <v>120</v>
      </c>
      <c r="J502" s="238"/>
      <c r="K502" s="70" t="s">
        <v>126</v>
      </c>
      <c r="L502" s="71" t="s">
        <v>128</v>
      </c>
      <c r="M502" s="248" t="s">
        <v>121</v>
      </c>
      <c r="N502" s="238"/>
    </row>
    <row r="503" spans="1:14" x14ac:dyDescent="0.25">
      <c r="A503" s="236" t="str">
        <f>PROFESIONALES!$B$9</f>
        <v>Director de consultoria</v>
      </c>
      <c r="B503" s="237"/>
      <c r="C503" s="237"/>
      <c r="D503" s="237"/>
      <c r="E503" s="237"/>
      <c r="F503" s="237"/>
      <c r="G503" s="238"/>
      <c r="H503" s="68" t="s">
        <v>80</v>
      </c>
      <c r="I503" s="239">
        <f>PROFESIONALES!$F$9</f>
        <v>7691776</v>
      </c>
      <c r="J503" s="238"/>
      <c r="K503" s="45">
        <f>PROFESIONALES!I$24</f>
        <v>2</v>
      </c>
      <c r="L503" s="72">
        <f>V6*AH6*30</f>
        <v>1.0588235294117649</v>
      </c>
      <c r="M503" s="239">
        <f t="shared" ref="M503:M507" si="29">I503*K503*L503/30</f>
        <v>542948.8941176472</v>
      </c>
      <c r="N503" s="238"/>
    </row>
    <row r="504" spans="1:14" x14ac:dyDescent="0.25">
      <c r="A504" s="236" t="str">
        <f>PROFESIONALES!$B$19</f>
        <v>Profesional de presupuestos</v>
      </c>
      <c r="B504" s="237"/>
      <c r="C504" s="237"/>
      <c r="D504" s="237"/>
      <c r="E504" s="237"/>
      <c r="F504" s="237"/>
      <c r="G504" s="238"/>
      <c r="H504" s="68" t="s">
        <v>80</v>
      </c>
      <c r="I504" s="239">
        <f>PROFESIONALES!$F$19</f>
        <v>5582300</v>
      </c>
      <c r="J504" s="238"/>
      <c r="K504" s="45">
        <f>PROFESIONALES!I$24</f>
        <v>2</v>
      </c>
      <c r="L504" s="45">
        <f>V17*AH17*30</f>
        <v>3.1500000000000004</v>
      </c>
      <c r="M504" s="239">
        <f t="shared" si="29"/>
        <v>1172283.0000000002</v>
      </c>
      <c r="N504" s="238"/>
    </row>
    <row r="505" spans="1:14" x14ac:dyDescent="0.25">
      <c r="A505" s="236" t="str">
        <f>PROFESIONALES!$B$15</f>
        <v>Profesional de apoyo</v>
      </c>
      <c r="B505" s="237"/>
      <c r="C505" s="237"/>
      <c r="D505" s="237"/>
      <c r="E505" s="237"/>
      <c r="F505" s="237"/>
      <c r="G505" s="238"/>
      <c r="H505" s="68" t="s">
        <v>80</v>
      </c>
      <c r="I505" s="239">
        <f>PROFESIONALES!$F$15</f>
        <v>5582300</v>
      </c>
      <c r="J505" s="238"/>
      <c r="K505" s="45">
        <f>PROFESIONALES!I$24</f>
        <v>2</v>
      </c>
      <c r="L505" s="45">
        <f>V12*AH12*30</f>
        <v>5.2941176470588234</v>
      </c>
      <c r="M505" s="239">
        <f t="shared" si="29"/>
        <v>1970223.5294117646</v>
      </c>
      <c r="N505" s="238"/>
    </row>
    <row r="506" spans="1:14" x14ac:dyDescent="0.25">
      <c r="A506" s="236" t="str">
        <f>PROFESIONALES!$B$11</f>
        <v>Especialista en Geotecnia</v>
      </c>
      <c r="B506" s="237"/>
      <c r="C506" s="237"/>
      <c r="D506" s="237"/>
      <c r="E506" s="237"/>
      <c r="F506" s="237"/>
      <c r="G506" s="238"/>
      <c r="H506" s="68" t="s">
        <v>80</v>
      </c>
      <c r="I506" s="239">
        <f>PROFESIONALES!$F$11</f>
        <v>6573098</v>
      </c>
      <c r="J506" s="238"/>
      <c r="K506" s="45">
        <f>PROFESIONALES!I$24</f>
        <v>2</v>
      </c>
      <c r="L506" s="45">
        <v>0.89999916290479298</v>
      </c>
      <c r="M506" s="239">
        <f t="shared" si="29"/>
        <v>394385.51317941124</v>
      </c>
      <c r="N506" s="238"/>
    </row>
    <row r="507" spans="1:14" x14ac:dyDescent="0.25">
      <c r="A507" s="236"/>
      <c r="B507" s="237"/>
      <c r="C507" s="237"/>
      <c r="D507" s="237"/>
      <c r="E507" s="237"/>
      <c r="F507" s="237"/>
      <c r="G507" s="238"/>
      <c r="H507" s="68" t="s">
        <v>80</v>
      </c>
      <c r="I507" s="239"/>
      <c r="J507" s="238"/>
      <c r="K507" s="45">
        <f>PROFESIONALES!I$24</f>
        <v>2</v>
      </c>
      <c r="L507" s="45"/>
      <c r="M507" s="239">
        <f t="shared" si="29"/>
        <v>0</v>
      </c>
      <c r="N507" s="238"/>
    </row>
    <row r="508" spans="1:14" x14ac:dyDescent="0.25">
      <c r="A508" s="69"/>
      <c r="B508" s="69"/>
      <c r="C508" s="69"/>
      <c r="D508" s="69"/>
      <c r="E508" s="69"/>
      <c r="F508" s="69"/>
      <c r="G508" s="69"/>
      <c r="H508" s="69"/>
      <c r="I508" s="69"/>
      <c r="J508" s="69"/>
      <c r="K508" s="240" t="s">
        <v>122</v>
      </c>
      <c r="L508" s="238"/>
      <c r="M508" s="239">
        <f>SUM(M503:N507)</f>
        <v>4079840.9367088228</v>
      </c>
      <c r="N508" s="238"/>
    </row>
    <row r="510" spans="1:14" x14ac:dyDescent="0.25">
      <c r="A510" s="241" t="str">
        <f>Productos!$B$20</f>
        <v>Cronograma de ejecución y flujo de fondos de inversión, en PROJECT. .</v>
      </c>
      <c r="B510" s="242"/>
      <c r="C510" s="242"/>
      <c r="D510" s="242"/>
      <c r="E510" s="242"/>
      <c r="F510" s="242"/>
      <c r="G510" s="242"/>
      <c r="H510" s="242"/>
      <c r="I510" s="242"/>
      <c r="J510" s="242"/>
      <c r="K510" s="242"/>
      <c r="L510" s="242"/>
      <c r="M510" s="242"/>
      <c r="N510" s="243"/>
    </row>
    <row r="511" spans="1:14" x14ac:dyDescent="0.25">
      <c r="A511" s="244"/>
      <c r="B511" s="245"/>
      <c r="C511" s="245"/>
      <c r="D511" s="245"/>
      <c r="E511" s="245"/>
      <c r="F511" s="245"/>
      <c r="G511" s="245"/>
      <c r="H511" s="245"/>
      <c r="I511" s="245"/>
      <c r="J511" s="245"/>
      <c r="K511" s="245"/>
      <c r="L511" s="245"/>
      <c r="M511" s="245"/>
      <c r="N511" s="246"/>
    </row>
    <row r="512" spans="1:14" x14ac:dyDescent="0.25">
      <c r="A512" s="39">
        <v>1</v>
      </c>
      <c r="B512" s="39">
        <v>2</v>
      </c>
      <c r="C512" s="39">
        <v>3</v>
      </c>
      <c r="D512" s="39">
        <v>4</v>
      </c>
      <c r="E512" s="39">
        <v>5</v>
      </c>
      <c r="F512" s="39">
        <v>6</v>
      </c>
      <c r="G512" s="39">
        <v>7</v>
      </c>
      <c r="H512" s="39">
        <v>8</v>
      </c>
      <c r="I512" s="39">
        <v>9</v>
      </c>
      <c r="J512" s="39">
        <v>10</v>
      </c>
      <c r="K512" s="39">
        <v>11</v>
      </c>
      <c r="L512" s="39">
        <v>12</v>
      </c>
      <c r="M512" s="39">
        <v>13</v>
      </c>
      <c r="N512" s="39">
        <v>14</v>
      </c>
    </row>
    <row r="513" spans="1:14" ht="15.75" x14ac:dyDescent="0.3">
      <c r="A513" s="114" t="str">
        <f>Productos!A20</f>
        <v>A013</v>
      </c>
      <c r="B513" s="59" t="str">
        <f>A510</f>
        <v>Cronograma de ejecución y flujo de fondos de inversión, en PROJECT. .</v>
      </c>
      <c r="C513" s="85" t="s">
        <v>113</v>
      </c>
      <c r="D513" s="60" t="s">
        <v>127</v>
      </c>
      <c r="E513" s="86" t="s">
        <v>114</v>
      </c>
      <c r="F513" s="61">
        <f>H513+J513+L513+N513</f>
        <v>3002789.2764705881</v>
      </c>
      <c r="G513" s="86" t="s">
        <v>115</v>
      </c>
      <c r="H513" s="62">
        <f>M530</f>
        <v>52941.176470588238</v>
      </c>
      <c r="I513" s="86" t="s">
        <v>116</v>
      </c>
      <c r="J513" s="63">
        <f>M521</f>
        <v>352941.17647058825</v>
      </c>
      <c r="K513" s="86" t="s">
        <v>117</v>
      </c>
      <c r="L513" s="62">
        <f>M539</f>
        <v>0</v>
      </c>
      <c r="M513" s="86" t="s">
        <v>118</v>
      </c>
      <c r="N513" s="64">
        <f>M548</f>
        <v>2596906.9235294117</v>
      </c>
    </row>
    <row r="514" spans="1:14" x14ac:dyDescent="0.25">
      <c r="A514" s="65"/>
      <c r="B514" s="65"/>
      <c r="C514" s="65"/>
      <c r="D514" s="65"/>
      <c r="E514" s="65"/>
      <c r="F514" s="65"/>
      <c r="G514" s="65"/>
      <c r="H514" s="66"/>
      <c r="I514" s="66"/>
      <c r="J514" s="65"/>
      <c r="K514" s="65"/>
      <c r="L514" s="65"/>
      <c r="M514" s="65"/>
      <c r="N514" s="65"/>
    </row>
    <row r="515" spans="1:14" x14ac:dyDescent="0.25">
      <c r="A515" s="247" t="s">
        <v>119</v>
      </c>
      <c r="B515" s="237"/>
      <c r="C515" s="237"/>
      <c r="D515" s="237"/>
      <c r="E515" s="237"/>
      <c r="F515" s="237"/>
      <c r="G515" s="237"/>
      <c r="H515" s="237"/>
      <c r="I515" s="237"/>
      <c r="J515" s="237"/>
      <c r="K515" s="237"/>
      <c r="L515" s="237"/>
      <c r="M515" s="237"/>
      <c r="N515" s="238"/>
    </row>
    <row r="516" spans="1:14" x14ac:dyDescent="0.25">
      <c r="A516" s="240" t="s">
        <v>76</v>
      </c>
      <c r="B516" s="237"/>
      <c r="C516" s="237"/>
      <c r="D516" s="237"/>
      <c r="E516" s="237"/>
      <c r="F516" s="237"/>
      <c r="G516" s="238"/>
      <c r="H516" s="67" t="s">
        <v>46</v>
      </c>
      <c r="I516" s="248" t="s">
        <v>120</v>
      </c>
      <c r="J516" s="238"/>
      <c r="K516" s="248" t="s">
        <v>47</v>
      </c>
      <c r="L516" s="238"/>
      <c r="M516" s="248" t="s">
        <v>121</v>
      </c>
      <c r="N516" s="238"/>
    </row>
    <row r="517" spans="1:14" x14ac:dyDescent="0.25">
      <c r="A517" s="249" t="str">
        <f>PROFESIONALES!$B$30</f>
        <v>Alquiler oficina</v>
      </c>
      <c r="B517" s="237"/>
      <c r="C517" s="237"/>
      <c r="D517" s="237"/>
      <c r="E517" s="237"/>
      <c r="F517" s="237"/>
      <c r="G517" s="238"/>
      <c r="H517" s="68" t="str">
        <f>PROFESIONALES!$D$30</f>
        <v>MES</v>
      </c>
      <c r="I517" s="239">
        <f>PROFESIONALES!$F$30</f>
        <v>500000</v>
      </c>
      <c r="J517" s="238"/>
      <c r="K517" s="250">
        <f>PROFESIONALES!H30/APUS!Z22</f>
        <v>0.17647058823529413</v>
      </c>
      <c r="L517" s="238"/>
      <c r="M517" s="239">
        <f>K517*I517</f>
        <v>88235.294117647063</v>
      </c>
      <c r="N517" s="254"/>
    </row>
    <row r="518" spans="1:14" x14ac:dyDescent="0.25">
      <c r="A518" s="249" t="str">
        <f>PROFESIONALES!$B$32</f>
        <v>Gastos de oficina (Impresión de informes y planos)</v>
      </c>
      <c r="B518" s="237"/>
      <c r="C518" s="237"/>
      <c r="D518" s="237"/>
      <c r="E518" s="237"/>
      <c r="F518" s="237"/>
      <c r="G518" s="238"/>
      <c r="H518" s="68" t="str">
        <f>PROFESIONALES!$D$32</f>
        <v>COPIA</v>
      </c>
      <c r="I518" s="239">
        <f>PROFESIONALES!$F$32</f>
        <v>1500000</v>
      </c>
      <c r="J518" s="238"/>
      <c r="K518" s="250">
        <f>PROFESIONALES!$H$32*PROFESIONALES!E32/Z22</f>
        <v>0.17647058823529413</v>
      </c>
      <c r="L518" s="238"/>
      <c r="M518" s="239">
        <f t="shared" ref="M518" si="30">K518*I518</f>
        <v>264705.8823529412</v>
      </c>
      <c r="N518" s="254"/>
    </row>
    <row r="519" spans="1:14" x14ac:dyDescent="0.25">
      <c r="A519" s="255"/>
      <c r="B519" s="256"/>
      <c r="C519" s="256"/>
      <c r="D519" s="256"/>
      <c r="E519" s="256"/>
      <c r="F519" s="256"/>
      <c r="G519" s="257"/>
      <c r="H519" s="73"/>
      <c r="I519" s="258"/>
      <c r="J519" s="257"/>
      <c r="K519" s="259"/>
      <c r="L519" s="257"/>
      <c r="M519" s="258"/>
      <c r="N519" s="257"/>
    </row>
    <row r="520" spans="1:14" x14ac:dyDescent="0.25">
      <c r="A520" s="249"/>
      <c r="B520" s="237"/>
      <c r="C520" s="237"/>
      <c r="D520" s="237"/>
      <c r="E520" s="237"/>
      <c r="F520" s="237"/>
      <c r="G520" s="238"/>
      <c r="H520" s="68" t="str">
        <f>IF(A520="","",VLOOKUP(A520,AA_Materiales,7,FALSE))</f>
        <v/>
      </c>
      <c r="I520" s="239" t="str">
        <f>IF(A520="","",VLOOKUP(A520,AA_Materiales,8,FALSE))</f>
        <v/>
      </c>
      <c r="J520" s="238"/>
      <c r="K520" s="250"/>
      <c r="L520" s="238"/>
      <c r="M520" s="239" t="str">
        <f>IF(A520="","",I520*K520)</f>
        <v/>
      </c>
      <c r="N520" s="238"/>
    </row>
    <row r="521" spans="1:14" x14ac:dyDescent="0.25">
      <c r="A521" s="69"/>
      <c r="B521" s="69"/>
      <c r="C521" s="69"/>
      <c r="D521" s="69"/>
      <c r="E521" s="69"/>
      <c r="F521" s="69"/>
      <c r="G521" s="69"/>
      <c r="H521" s="69"/>
      <c r="I521" s="69"/>
      <c r="J521" s="69"/>
      <c r="K521" s="240" t="s">
        <v>122</v>
      </c>
      <c r="L521" s="238"/>
      <c r="M521" s="239">
        <f>SUM(M517:N520)</f>
        <v>352941.17647058825</v>
      </c>
      <c r="N521" s="238"/>
    </row>
    <row r="522" spans="1:14" x14ac:dyDescent="0.25">
      <c r="A522" s="69"/>
      <c r="B522" s="69"/>
      <c r="C522" s="69"/>
      <c r="D522" s="69"/>
      <c r="E522" s="69"/>
      <c r="F522" s="69"/>
      <c r="G522" s="69"/>
      <c r="H522" s="69"/>
      <c r="I522" s="69"/>
      <c r="J522" s="69"/>
      <c r="K522" s="69"/>
      <c r="L522" s="69"/>
      <c r="M522" s="69"/>
      <c r="N522" s="69"/>
    </row>
    <row r="523" spans="1:14" x14ac:dyDescent="0.25">
      <c r="A523" s="247" t="s">
        <v>123</v>
      </c>
      <c r="B523" s="237"/>
      <c r="C523" s="237"/>
      <c r="D523" s="237"/>
      <c r="E523" s="237"/>
      <c r="F523" s="237"/>
      <c r="G523" s="237"/>
      <c r="H523" s="237"/>
      <c r="I523" s="237"/>
      <c r="J523" s="237"/>
      <c r="K523" s="237"/>
      <c r="L523" s="237"/>
      <c r="M523" s="237"/>
      <c r="N523" s="238"/>
    </row>
    <row r="524" spans="1:14" x14ac:dyDescent="0.25">
      <c r="A524" s="240" t="s">
        <v>76</v>
      </c>
      <c r="B524" s="237"/>
      <c r="C524" s="237"/>
      <c r="D524" s="237"/>
      <c r="E524" s="237"/>
      <c r="F524" s="237"/>
      <c r="G524" s="238"/>
      <c r="H524" s="67" t="s">
        <v>46</v>
      </c>
      <c r="I524" s="248" t="s">
        <v>120</v>
      </c>
      <c r="J524" s="238"/>
      <c r="K524" s="248" t="s">
        <v>47</v>
      </c>
      <c r="L524" s="238"/>
      <c r="M524" s="248" t="s">
        <v>121</v>
      </c>
      <c r="N524" s="238"/>
    </row>
    <row r="525" spans="1:14" x14ac:dyDescent="0.25">
      <c r="A525" s="252" t="str">
        <f>PROFESIONALES!$B$31</f>
        <v>Servicios Públicos</v>
      </c>
      <c r="B525" s="237"/>
      <c r="C525" s="237"/>
      <c r="D525" s="237"/>
      <c r="E525" s="237"/>
      <c r="F525" s="237"/>
      <c r="G525" s="238"/>
      <c r="H525" s="68" t="str">
        <f>PROFESIONALES!$D$31</f>
        <v>MES</v>
      </c>
      <c r="I525" s="239">
        <f>PROFESIONALES!$F$31</f>
        <v>300000</v>
      </c>
      <c r="J525" s="238"/>
      <c r="K525" s="250">
        <f>PROFESIONALES!$H$9/Z22</f>
        <v>0.17647058823529413</v>
      </c>
      <c r="L525" s="251"/>
      <c r="M525" s="239">
        <f>K525*I525</f>
        <v>52941.176470588238</v>
      </c>
      <c r="N525" s="238"/>
    </row>
    <row r="526" spans="1:14" x14ac:dyDescent="0.25">
      <c r="A526" s="252"/>
      <c r="B526" s="237"/>
      <c r="C526" s="237"/>
      <c r="D526" s="237"/>
      <c r="E526" s="237"/>
      <c r="F526" s="237"/>
      <c r="G526" s="238"/>
      <c r="H526" s="68" t="str">
        <f>IF(A526="","",VLOOKUP(A526,AA_Equipos,7,FALSE))</f>
        <v/>
      </c>
      <c r="I526" s="239" t="str">
        <f>IF(A526="","",VLOOKUP(A526,AA_Materiales,8,FALSE))</f>
        <v/>
      </c>
      <c r="J526" s="238"/>
      <c r="K526" s="253"/>
      <c r="L526" s="238"/>
      <c r="M526" s="239" t="str">
        <f>IF(A526="","",I526*K526)</f>
        <v/>
      </c>
      <c r="N526" s="238"/>
    </row>
    <row r="527" spans="1:14" x14ac:dyDescent="0.25">
      <c r="A527" s="249"/>
      <c r="B527" s="237"/>
      <c r="C527" s="237"/>
      <c r="D527" s="237"/>
      <c r="E527" s="237"/>
      <c r="F527" s="237"/>
      <c r="G527" s="238"/>
      <c r="H527" s="68" t="str">
        <f>IF(A527="","",VLOOKUP(A527,AA_Equipos,7,FALSE))</f>
        <v/>
      </c>
      <c r="I527" s="239" t="str">
        <f>IF(A527="","",VLOOKUP(A527,AA_Materiales,8,FALSE))</f>
        <v/>
      </c>
      <c r="J527" s="238"/>
      <c r="K527" s="250"/>
      <c r="L527" s="238"/>
      <c r="M527" s="239" t="str">
        <f>IF(A527="","",I527*K527)</f>
        <v/>
      </c>
      <c r="N527" s="238"/>
    </row>
    <row r="528" spans="1:14" x14ac:dyDescent="0.25">
      <c r="A528" s="249"/>
      <c r="B528" s="237"/>
      <c r="C528" s="237"/>
      <c r="D528" s="237"/>
      <c r="E528" s="237"/>
      <c r="F528" s="237"/>
      <c r="G528" s="238"/>
      <c r="H528" s="68" t="str">
        <f>IF(A528="","",VLOOKUP(A528,AA_Equipos,7,FALSE))</f>
        <v/>
      </c>
      <c r="I528" s="239" t="str">
        <f>IF(A528="","",VLOOKUP(A528,AA_Materiales,8,FALSE))</f>
        <v/>
      </c>
      <c r="J528" s="238"/>
      <c r="K528" s="250"/>
      <c r="L528" s="238"/>
      <c r="M528" s="239" t="str">
        <f>IF(A528="","",I528*K528)</f>
        <v/>
      </c>
      <c r="N528" s="238"/>
    </row>
    <row r="529" spans="1:14" x14ac:dyDescent="0.25">
      <c r="A529" s="249"/>
      <c r="B529" s="237"/>
      <c r="C529" s="237"/>
      <c r="D529" s="237"/>
      <c r="E529" s="237"/>
      <c r="F529" s="237"/>
      <c r="G529" s="238"/>
      <c r="H529" s="68" t="str">
        <f>IF(A529="","",VLOOKUP(A529,AA_Equipos,7,FALSE))</f>
        <v/>
      </c>
      <c r="I529" s="239" t="str">
        <f>IF(A529="","",VLOOKUP(A529,AA_Materiales,8,FALSE))</f>
        <v/>
      </c>
      <c r="J529" s="238"/>
      <c r="K529" s="250"/>
      <c r="L529" s="238"/>
      <c r="M529" s="239" t="str">
        <f>IF(A529="","",I529*K529)</f>
        <v/>
      </c>
      <c r="N529" s="238"/>
    </row>
    <row r="530" spans="1:14" x14ac:dyDescent="0.25">
      <c r="A530" s="69"/>
      <c r="B530" s="69"/>
      <c r="C530" s="69"/>
      <c r="D530" s="69"/>
      <c r="E530" s="69"/>
      <c r="F530" s="69"/>
      <c r="G530" s="69"/>
      <c r="H530" s="69"/>
      <c r="I530" s="69"/>
      <c r="J530" s="69"/>
      <c r="K530" s="240" t="s">
        <v>122</v>
      </c>
      <c r="L530" s="238"/>
      <c r="M530" s="239">
        <f>SUM(M525:N529)</f>
        <v>52941.176470588238</v>
      </c>
      <c r="N530" s="238"/>
    </row>
    <row r="531" spans="1:14" x14ac:dyDescent="0.25">
      <c r="A531" s="69"/>
      <c r="B531" s="69"/>
      <c r="C531" s="69"/>
      <c r="D531" s="69"/>
      <c r="E531" s="69"/>
      <c r="F531" s="69"/>
      <c r="G531" s="69"/>
      <c r="H531" s="69"/>
      <c r="I531" s="69"/>
      <c r="J531" s="69"/>
      <c r="K531" s="69"/>
      <c r="L531" s="69"/>
      <c r="M531" s="69"/>
      <c r="N531" s="69"/>
    </row>
    <row r="532" spans="1:14" x14ac:dyDescent="0.25">
      <c r="A532" s="247" t="s">
        <v>124</v>
      </c>
      <c r="B532" s="237"/>
      <c r="C532" s="237"/>
      <c r="D532" s="237"/>
      <c r="E532" s="237"/>
      <c r="F532" s="237"/>
      <c r="G532" s="237"/>
      <c r="H532" s="237"/>
      <c r="I532" s="237"/>
      <c r="J532" s="237"/>
      <c r="K532" s="237"/>
      <c r="L532" s="237"/>
      <c r="M532" s="237"/>
      <c r="N532" s="238"/>
    </row>
    <row r="533" spans="1:14" x14ac:dyDescent="0.25">
      <c r="A533" s="240" t="s">
        <v>76</v>
      </c>
      <c r="B533" s="237"/>
      <c r="C533" s="237"/>
      <c r="D533" s="237"/>
      <c r="E533" s="237"/>
      <c r="F533" s="237"/>
      <c r="G533" s="238"/>
      <c r="H533" s="67" t="s">
        <v>46</v>
      </c>
      <c r="I533" s="248" t="s">
        <v>120</v>
      </c>
      <c r="J533" s="238"/>
      <c r="K533" s="248" t="s">
        <v>47</v>
      </c>
      <c r="L533" s="238"/>
      <c r="M533" s="248" t="s">
        <v>121</v>
      </c>
      <c r="N533" s="238"/>
    </row>
    <row r="534" spans="1:14" x14ac:dyDescent="0.25">
      <c r="A534" s="249"/>
      <c r="B534" s="237"/>
      <c r="C534" s="237"/>
      <c r="D534" s="237"/>
      <c r="E534" s="237"/>
      <c r="F534" s="237"/>
      <c r="G534" s="238"/>
      <c r="H534" s="68"/>
      <c r="I534" s="239"/>
      <c r="J534" s="238"/>
      <c r="K534" s="250"/>
      <c r="L534" s="251"/>
      <c r="M534" s="239"/>
      <c r="N534" s="238"/>
    </row>
    <row r="535" spans="1:14" x14ac:dyDescent="0.25">
      <c r="A535" s="252"/>
      <c r="B535" s="237"/>
      <c r="C535" s="237"/>
      <c r="D535" s="237"/>
      <c r="E535" s="237"/>
      <c r="F535" s="237"/>
      <c r="G535" s="238"/>
      <c r="H535" s="68"/>
      <c r="I535" s="239"/>
      <c r="J535" s="238"/>
      <c r="K535" s="253"/>
      <c r="L535" s="238"/>
      <c r="M535" s="239"/>
      <c r="N535" s="238"/>
    </row>
    <row r="536" spans="1:14" x14ac:dyDescent="0.25">
      <c r="A536" s="249"/>
      <c r="B536" s="237"/>
      <c r="C536" s="237"/>
      <c r="D536" s="237"/>
      <c r="E536" s="237"/>
      <c r="F536" s="237"/>
      <c r="G536" s="238"/>
      <c r="H536" s="68"/>
      <c r="I536" s="239"/>
      <c r="J536" s="238"/>
      <c r="K536" s="250"/>
      <c r="L536" s="238"/>
      <c r="M536" s="239" t="str">
        <f>IF(A536="","",I536*K536)</f>
        <v/>
      </c>
      <c r="N536" s="238"/>
    </row>
    <row r="537" spans="1:14" x14ac:dyDescent="0.25">
      <c r="A537" s="249"/>
      <c r="B537" s="237"/>
      <c r="C537" s="237"/>
      <c r="D537" s="237"/>
      <c r="E537" s="237"/>
      <c r="F537" s="237"/>
      <c r="G537" s="238"/>
      <c r="H537" s="68"/>
      <c r="I537" s="239"/>
      <c r="J537" s="238"/>
      <c r="K537" s="250"/>
      <c r="L537" s="238"/>
      <c r="M537" s="239" t="str">
        <f>IF(A537="","",I537*K537)</f>
        <v/>
      </c>
      <c r="N537" s="238"/>
    </row>
    <row r="538" spans="1:14" x14ac:dyDescent="0.25">
      <c r="A538" s="249"/>
      <c r="B538" s="237"/>
      <c r="C538" s="237"/>
      <c r="D538" s="237"/>
      <c r="E538" s="237"/>
      <c r="F538" s="237"/>
      <c r="G538" s="238"/>
      <c r="H538" s="68"/>
      <c r="I538" s="239"/>
      <c r="J538" s="238"/>
      <c r="K538" s="250"/>
      <c r="L538" s="238"/>
      <c r="M538" s="239" t="str">
        <f>IF(A538="","",I538*K538)</f>
        <v/>
      </c>
      <c r="N538" s="238"/>
    </row>
    <row r="539" spans="1:14" x14ac:dyDescent="0.25">
      <c r="A539" s="69"/>
      <c r="B539" s="69"/>
      <c r="C539" s="69"/>
      <c r="D539" s="69"/>
      <c r="E539" s="69"/>
      <c r="F539" s="69"/>
      <c r="G539" s="69"/>
      <c r="H539" s="69"/>
      <c r="I539" s="69"/>
      <c r="J539" s="69"/>
      <c r="K539" s="240" t="s">
        <v>122</v>
      </c>
      <c r="L539" s="238"/>
      <c r="M539" s="239">
        <f>SUM(M534:N538)</f>
        <v>0</v>
      </c>
      <c r="N539" s="238"/>
    </row>
    <row r="540" spans="1:14" x14ac:dyDescent="0.25">
      <c r="A540" s="69"/>
      <c r="B540" s="69"/>
      <c r="C540" s="69"/>
      <c r="D540" s="69"/>
      <c r="E540" s="69"/>
      <c r="F540" s="69"/>
      <c r="G540" s="69"/>
      <c r="H540" s="69"/>
      <c r="I540" s="69"/>
      <c r="J540" s="69"/>
      <c r="K540" s="69"/>
      <c r="L540" s="69"/>
      <c r="M540" s="69"/>
      <c r="N540" s="69"/>
    </row>
    <row r="541" spans="1:14" x14ac:dyDescent="0.25">
      <c r="A541" s="247" t="s">
        <v>125</v>
      </c>
      <c r="B541" s="237"/>
      <c r="C541" s="237"/>
      <c r="D541" s="237"/>
      <c r="E541" s="237"/>
      <c r="F541" s="237"/>
      <c r="G541" s="237"/>
      <c r="H541" s="237"/>
      <c r="I541" s="237"/>
      <c r="J541" s="237"/>
      <c r="K541" s="237"/>
      <c r="L541" s="237"/>
      <c r="M541" s="237"/>
      <c r="N541" s="238"/>
    </row>
    <row r="542" spans="1:14" x14ac:dyDescent="0.25">
      <c r="A542" s="240" t="s">
        <v>76</v>
      </c>
      <c r="B542" s="237"/>
      <c r="C542" s="237"/>
      <c r="D542" s="237"/>
      <c r="E542" s="237"/>
      <c r="F542" s="237"/>
      <c r="G542" s="238"/>
      <c r="H542" s="67" t="s">
        <v>46</v>
      </c>
      <c r="I542" s="248" t="s">
        <v>120</v>
      </c>
      <c r="J542" s="238"/>
      <c r="K542" s="70" t="s">
        <v>126</v>
      </c>
      <c r="L542" s="71" t="s">
        <v>128</v>
      </c>
      <c r="M542" s="248" t="s">
        <v>121</v>
      </c>
      <c r="N542" s="238"/>
    </row>
    <row r="543" spans="1:14" x14ac:dyDescent="0.25">
      <c r="A543" s="236" t="str">
        <f>PROFESIONALES!$B$9</f>
        <v>Director de consultoria</v>
      </c>
      <c r="B543" s="237"/>
      <c r="C543" s="237"/>
      <c r="D543" s="237"/>
      <c r="E543" s="237"/>
      <c r="F543" s="237"/>
      <c r="G543" s="238"/>
      <c r="H543" s="68" t="s">
        <v>80</v>
      </c>
      <c r="I543" s="239">
        <f>PROFESIONALES!$F$9</f>
        <v>7691776</v>
      </c>
      <c r="J543" s="238"/>
      <c r="K543" s="45">
        <f>PROFESIONALES!I$24</f>
        <v>2</v>
      </c>
      <c r="L543" s="72">
        <f>V6*AI6*30</f>
        <v>1.0588235294117649</v>
      </c>
      <c r="M543" s="239">
        <f>I543*K543*L543/30</f>
        <v>542948.8941176472</v>
      </c>
      <c r="N543" s="238"/>
    </row>
    <row r="544" spans="1:14" x14ac:dyDescent="0.25">
      <c r="A544" s="236" t="str">
        <f>PROFESIONALES!$B$19</f>
        <v>Profesional de presupuestos</v>
      </c>
      <c r="B544" s="237"/>
      <c r="C544" s="237"/>
      <c r="D544" s="237"/>
      <c r="E544" s="237"/>
      <c r="F544" s="237"/>
      <c r="G544" s="238"/>
      <c r="H544" s="68" t="s">
        <v>80</v>
      </c>
      <c r="I544" s="239">
        <f>PROFESIONALES!$F$19</f>
        <v>5582300</v>
      </c>
      <c r="J544" s="238"/>
      <c r="K544" s="45">
        <f>PROFESIONALES!I$24</f>
        <v>2</v>
      </c>
      <c r="L544" s="45">
        <f>V17*AI17*30</f>
        <v>0.22500000000000003</v>
      </c>
      <c r="M544" s="239">
        <f>I544*K544*L544/30</f>
        <v>83734.500000000015</v>
      </c>
      <c r="N544" s="238"/>
    </row>
    <row r="545" spans="1:14" x14ac:dyDescent="0.25">
      <c r="A545" s="236" t="str">
        <f>PROFESIONALES!$B$15</f>
        <v>Profesional de apoyo</v>
      </c>
      <c r="B545" s="237"/>
      <c r="C545" s="237"/>
      <c r="D545" s="237"/>
      <c r="E545" s="237"/>
      <c r="F545" s="237"/>
      <c r="G545" s="238"/>
      <c r="H545" s="68" t="s">
        <v>80</v>
      </c>
      <c r="I545" s="239">
        <f>PROFESIONALES!$F$15</f>
        <v>5582300</v>
      </c>
      <c r="J545" s="238"/>
      <c r="K545" s="45">
        <f>PROFESIONALES!I$24</f>
        <v>2</v>
      </c>
      <c r="L545" s="45">
        <f>V12*AI12*30</f>
        <v>5.2941176470588234</v>
      </c>
      <c r="M545" s="239">
        <f>I545*K545*L545/30</f>
        <v>1970223.5294117646</v>
      </c>
      <c r="N545" s="238"/>
    </row>
    <row r="546" spans="1:14" x14ac:dyDescent="0.25">
      <c r="A546" s="236"/>
      <c r="B546" s="237"/>
      <c r="C546" s="237"/>
      <c r="D546" s="237"/>
      <c r="E546" s="237"/>
      <c r="F546" s="237"/>
      <c r="G546" s="238"/>
      <c r="H546" s="68"/>
      <c r="I546" s="239"/>
      <c r="J546" s="238"/>
      <c r="K546" s="45"/>
      <c r="L546" s="45"/>
      <c r="M546" s="239"/>
      <c r="N546" s="238"/>
    </row>
    <row r="547" spans="1:14" x14ac:dyDescent="0.25">
      <c r="A547" s="277"/>
      <c r="B547" s="237"/>
      <c r="C547" s="237"/>
      <c r="D547" s="237"/>
      <c r="E547" s="237"/>
      <c r="F547" s="237"/>
      <c r="G547" s="238"/>
      <c r="H547" s="68" t="str">
        <f>IF(A547="","",VLOOKUP(A547,AA_Cuadrillas,4,FALSE))</f>
        <v/>
      </c>
      <c r="I547" s="239" t="str">
        <f>IF(A547="","",VLOOKUP(A547,AA_Cuadrillas,5,FALSE))</f>
        <v/>
      </c>
      <c r="J547" s="238"/>
      <c r="K547" s="45" t="str">
        <f>IF(A547="","",'[1]04'!$I$2)</f>
        <v/>
      </c>
      <c r="L547" s="72"/>
      <c r="M547" s="239" t="str">
        <f>IF(A547="","",I547*K547*L547)</f>
        <v/>
      </c>
      <c r="N547" s="238"/>
    </row>
    <row r="548" spans="1:14" x14ac:dyDescent="0.25">
      <c r="A548" s="69"/>
      <c r="B548" s="69"/>
      <c r="C548" s="69"/>
      <c r="D548" s="69"/>
      <c r="E548" s="69"/>
      <c r="F548" s="69"/>
      <c r="G548" s="69"/>
      <c r="H548" s="69"/>
      <c r="I548" s="69"/>
      <c r="J548" s="69"/>
      <c r="K548" s="240" t="s">
        <v>122</v>
      </c>
      <c r="L548" s="238"/>
      <c r="M548" s="239">
        <f>SUM(M543:N547)</f>
        <v>2596906.9235294117</v>
      </c>
      <c r="N548" s="238"/>
    </row>
    <row r="550" spans="1:14" x14ac:dyDescent="0.25">
      <c r="A550" s="241" t="str">
        <f>Productos!$B$21</f>
        <v>Especificaciones y fichas técnicas de cada uno de los componentes  del proyecto</v>
      </c>
      <c r="B550" s="242"/>
      <c r="C550" s="242"/>
      <c r="D550" s="242"/>
      <c r="E550" s="242"/>
      <c r="F550" s="242"/>
      <c r="G550" s="242"/>
      <c r="H550" s="242"/>
      <c r="I550" s="242"/>
      <c r="J550" s="242"/>
      <c r="K550" s="242"/>
      <c r="L550" s="242"/>
      <c r="M550" s="242"/>
      <c r="N550" s="243"/>
    </row>
    <row r="551" spans="1:14" x14ac:dyDescent="0.25">
      <c r="A551" s="244"/>
      <c r="B551" s="245"/>
      <c r="C551" s="245"/>
      <c r="D551" s="245"/>
      <c r="E551" s="245"/>
      <c r="F551" s="245"/>
      <c r="G551" s="245"/>
      <c r="H551" s="245"/>
      <c r="I551" s="245"/>
      <c r="J551" s="245"/>
      <c r="K551" s="245"/>
      <c r="L551" s="245"/>
      <c r="M551" s="245"/>
      <c r="N551" s="246"/>
    </row>
    <row r="552" spans="1:14" x14ac:dyDescent="0.25">
      <c r="A552" s="39">
        <v>1</v>
      </c>
      <c r="B552" s="39">
        <v>2</v>
      </c>
      <c r="C552" s="39">
        <v>3</v>
      </c>
      <c r="D552" s="39">
        <v>4</v>
      </c>
      <c r="E552" s="39">
        <v>5</v>
      </c>
      <c r="F552" s="39">
        <v>6</v>
      </c>
      <c r="G552" s="39">
        <v>7</v>
      </c>
      <c r="H552" s="39">
        <v>8</v>
      </c>
      <c r="I552" s="39">
        <v>9</v>
      </c>
      <c r="J552" s="39">
        <v>10</v>
      </c>
      <c r="K552" s="39">
        <v>11</v>
      </c>
      <c r="L552" s="39">
        <v>12</v>
      </c>
      <c r="M552" s="39">
        <v>13</v>
      </c>
      <c r="N552" s="39">
        <v>14</v>
      </c>
    </row>
    <row r="553" spans="1:14" ht="15.75" x14ac:dyDescent="0.3">
      <c r="A553" s="114" t="str">
        <f>Productos!A21</f>
        <v>A014</v>
      </c>
      <c r="B553" s="59" t="str">
        <f>A550</f>
        <v>Especificaciones y fichas técnicas de cada uno de los componentes  del proyecto</v>
      </c>
      <c r="C553" s="85" t="s">
        <v>113</v>
      </c>
      <c r="D553" s="60" t="s">
        <v>127</v>
      </c>
      <c r="E553" s="86" t="s">
        <v>114</v>
      </c>
      <c r="F553" s="61">
        <f>H553+J553+L553+N553</f>
        <v>3896008.19372549</v>
      </c>
      <c r="G553" s="86" t="s">
        <v>115</v>
      </c>
      <c r="H553" s="62">
        <f>M570</f>
        <v>52941.176470588238</v>
      </c>
      <c r="I553" s="86" t="s">
        <v>116</v>
      </c>
      <c r="J553" s="63">
        <f>M561</f>
        <v>352941.17647058825</v>
      </c>
      <c r="K553" s="86" t="s">
        <v>117</v>
      </c>
      <c r="L553" s="62">
        <f>M579</f>
        <v>0</v>
      </c>
      <c r="M553" s="86" t="s">
        <v>118</v>
      </c>
      <c r="N553" s="64">
        <f>M589</f>
        <v>3490125.8407843136</v>
      </c>
    </row>
    <row r="554" spans="1:14" x14ac:dyDescent="0.25">
      <c r="A554" s="65"/>
      <c r="B554" s="65"/>
      <c r="C554" s="65"/>
      <c r="D554" s="65"/>
      <c r="E554" s="65"/>
      <c r="F554" s="65"/>
      <c r="G554" s="65"/>
      <c r="H554" s="66"/>
      <c r="I554" s="66"/>
      <c r="J554" s="65"/>
      <c r="K554" s="65"/>
      <c r="L554" s="65"/>
      <c r="M554" s="65"/>
      <c r="N554" s="65"/>
    </row>
    <row r="555" spans="1:14" x14ac:dyDescent="0.25">
      <c r="A555" s="247" t="s">
        <v>119</v>
      </c>
      <c r="B555" s="237"/>
      <c r="C555" s="237"/>
      <c r="D555" s="237"/>
      <c r="E555" s="237"/>
      <c r="F555" s="237"/>
      <c r="G555" s="237"/>
      <c r="H555" s="237"/>
      <c r="I555" s="237"/>
      <c r="J555" s="237"/>
      <c r="K555" s="237"/>
      <c r="L555" s="237"/>
      <c r="M555" s="237"/>
      <c r="N555" s="238"/>
    </row>
    <row r="556" spans="1:14" x14ac:dyDescent="0.25">
      <c r="A556" s="240" t="s">
        <v>76</v>
      </c>
      <c r="B556" s="237"/>
      <c r="C556" s="237"/>
      <c r="D556" s="237"/>
      <c r="E556" s="237"/>
      <c r="F556" s="237"/>
      <c r="G556" s="238"/>
      <c r="H556" s="67" t="s">
        <v>46</v>
      </c>
      <c r="I556" s="248" t="s">
        <v>120</v>
      </c>
      <c r="J556" s="238"/>
      <c r="K556" s="248" t="s">
        <v>47</v>
      </c>
      <c r="L556" s="238"/>
      <c r="M556" s="248" t="s">
        <v>121</v>
      </c>
      <c r="N556" s="238"/>
    </row>
    <row r="557" spans="1:14" x14ac:dyDescent="0.25">
      <c r="A557" s="249" t="str">
        <f>PROFESIONALES!$B$30</f>
        <v>Alquiler oficina</v>
      </c>
      <c r="B557" s="237"/>
      <c r="C557" s="237"/>
      <c r="D557" s="237"/>
      <c r="E557" s="237"/>
      <c r="F557" s="237"/>
      <c r="G557" s="238"/>
      <c r="H557" s="68" t="str">
        <f>PROFESIONALES!$D$30</f>
        <v>MES</v>
      </c>
      <c r="I557" s="239">
        <f>PROFESIONALES!$F$30</f>
        <v>500000</v>
      </c>
      <c r="J557" s="238"/>
      <c r="K557" s="250">
        <f>PROFESIONALES!H30/APUS!Z22</f>
        <v>0.17647058823529413</v>
      </c>
      <c r="L557" s="238"/>
      <c r="M557" s="239">
        <f>K557*I557</f>
        <v>88235.294117647063</v>
      </c>
      <c r="N557" s="254"/>
    </row>
    <row r="558" spans="1:14" x14ac:dyDescent="0.25">
      <c r="A558" s="249" t="str">
        <f>PROFESIONALES!$B$32</f>
        <v>Gastos de oficina (Impresión de informes y planos)</v>
      </c>
      <c r="B558" s="237"/>
      <c r="C558" s="237"/>
      <c r="D558" s="237"/>
      <c r="E558" s="237"/>
      <c r="F558" s="237"/>
      <c r="G558" s="238"/>
      <c r="H558" s="68" t="str">
        <f>PROFESIONALES!$D$32</f>
        <v>COPIA</v>
      </c>
      <c r="I558" s="239">
        <f>PROFESIONALES!$F$32</f>
        <v>1500000</v>
      </c>
      <c r="J558" s="238"/>
      <c r="K558" s="250">
        <f>PROFESIONALES!$H$32*PROFESIONALES!E32/Z22</f>
        <v>0.17647058823529413</v>
      </c>
      <c r="L558" s="238"/>
      <c r="M558" s="239">
        <f t="shared" ref="M558" si="31">K558*I558</f>
        <v>264705.8823529412</v>
      </c>
      <c r="N558" s="254"/>
    </row>
    <row r="559" spans="1:14" x14ac:dyDescent="0.25">
      <c r="A559" s="255"/>
      <c r="B559" s="256"/>
      <c r="C559" s="256"/>
      <c r="D559" s="256"/>
      <c r="E559" s="256"/>
      <c r="F559" s="256"/>
      <c r="G559" s="257"/>
      <c r="H559" s="73"/>
      <c r="I559" s="258"/>
      <c r="J559" s="257"/>
      <c r="K559" s="259"/>
      <c r="L559" s="257"/>
      <c r="M559" s="258"/>
      <c r="N559" s="257"/>
    </row>
    <row r="560" spans="1:14" x14ac:dyDescent="0.25">
      <c r="A560" s="249"/>
      <c r="B560" s="237"/>
      <c r="C560" s="237"/>
      <c r="D560" s="237"/>
      <c r="E560" s="237"/>
      <c r="F560" s="237"/>
      <c r="G560" s="238"/>
      <c r="H560" s="68" t="str">
        <f>IF(A560="","",VLOOKUP(A560,AA_Materiales,7,FALSE))</f>
        <v/>
      </c>
      <c r="I560" s="239" t="str">
        <f>IF(A560="","",VLOOKUP(A560,AA_Materiales,8,FALSE))</f>
        <v/>
      </c>
      <c r="J560" s="238"/>
      <c r="K560" s="250"/>
      <c r="L560" s="238"/>
      <c r="M560" s="239" t="str">
        <f>IF(A560="","",I560*K560)</f>
        <v/>
      </c>
      <c r="N560" s="238"/>
    </row>
    <row r="561" spans="1:14" x14ac:dyDescent="0.25">
      <c r="A561" s="69"/>
      <c r="B561" s="69"/>
      <c r="C561" s="69"/>
      <c r="D561" s="69"/>
      <c r="E561" s="69"/>
      <c r="F561" s="69"/>
      <c r="G561" s="69"/>
      <c r="H561" s="69"/>
      <c r="I561" s="69"/>
      <c r="J561" s="69"/>
      <c r="K561" s="240" t="s">
        <v>122</v>
      </c>
      <c r="L561" s="238"/>
      <c r="M561" s="239">
        <f>SUM(M557:N560)</f>
        <v>352941.17647058825</v>
      </c>
      <c r="N561" s="238"/>
    </row>
    <row r="562" spans="1:14" x14ac:dyDescent="0.25">
      <c r="A562" s="69"/>
      <c r="B562" s="69"/>
      <c r="C562" s="69"/>
      <c r="D562" s="69"/>
      <c r="E562" s="69"/>
      <c r="F562" s="69"/>
      <c r="G562" s="69"/>
      <c r="H562" s="69"/>
      <c r="I562" s="69"/>
      <c r="J562" s="69"/>
      <c r="K562" s="69"/>
      <c r="L562" s="69"/>
      <c r="M562" s="69"/>
      <c r="N562" s="69"/>
    </row>
    <row r="563" spans="1:14" x14ac:dyDescent="0.25">
      <c r="A563" s="247" t="s">
        <v>123</v>
      </c>
      <c r="B563" s="237"/>
      <c r="C563" s="237"/>
      <c r="D563" s="237"/>
      <c r="E563" s="237"/>
      <c r="F563" s="237"/>
      <c r="G563" s="237"/>
      <c r="H563" s="237"/>
      <c r="I563" s="237"/>
      <c r="J563" s="237"/>
      <c r="K563" s="237"/>
      <c r="L563" s="237"/>
      <c r="M563" s="237"/>
      <c r="N563" s="238"/>
    </row>
    <row r="564" spans="1:14" x14ac:dyDescent="0.25">
      <c r="A564" s="240" t="s">
        <v>76</v>
      </c>
      <c r="B564" s="237"/>
      <c r="C564" s="237"/>
      <c r="D564" s="237"/>
      <c r="E564" s="237"/>
      <c r="F564" s="237"/>
      <c r="G564" s="238"/>
      <c r="H564" s="67" t="s">
        <v>46</v>
      </c>
      <c r="I564" s="248" t="s">
        <v>120</v>
      </c>
      <c r="J564" s="238"/>
      <c r="K564" s="248" t="s">
        <v>47</v>
      </c>
      <c r="L564" s="238"/>
      <c r="M564" s="248" t="s">
        <v>121</v>
      </c>
      <c r="N564" s="238"/>
    </row>
    <row r="565" spans="1:14" x14ac:dyDescent="0.25">
      <c r="A565" s="252" t="str">
        <f>PROFESIONALES!$B$31</f>
        <v>Servicios Públicos</v>
      </c>
      <c r="B565" s="237"/>
      <c r="C565" s="237"/>
      <c r="D565" s="237"/>
      <c r="E565" s="237"/>
      <c r="F565" s="237"/>
      <c r="G565" s="238"/>
      <c r="H565" s="68" t="str">
        <f>PROFESIONALES!$D$31</f>
        <v>MES</v>
      </c>
      <c r="I565" s="239">
        <f>PROFESIONALES!$F$31</f>
        <v>300000</v>
      </c>
      <c r="J565" s="238"/>
      <c r="K565" s="250">
        <f>PROFESIONALES!$H$9/Z22</f>
        <v>0.17647058823529413</v>
      </c>
      <c r="L565" s="251"/>
      <c r="M565" s="239">
        <f>K565*I565</f>
        <v>52941.176470588238</v>
      </c>
      <c r="N565" s="254"/>
    </row>
    <row r="566" spans="1:14" x14ac:dyDescent="0.25">
      <c r="A566" s="252"/>
      <c r="B566" s="237"/>
      <c r="C566" s="237"/>
      <c r="D566" s="237"/>
      <c r="E566" s="237"/>
      <c r="F566" s="237"/>
      <c r="G566" s="238"/>
      <c r="H566" s="68" t="str">
        <f>IF(A566="","",VLOOKUP(A566,AA_Equipos,7,FALSE))</f>
        <v/>
      </c>
      <c r="I566" s="239" t="str">
        <f>IF(A566="","",VLOOKUP(A566,AA_Materiales,8,FALSE))</f>
        <v/>
      </c>
      <c r="J566" s="238"/>
      <c r="K566" s="253"/>
      <c r="L566" s="238"/>
      <c r="M566" s="239" t="str">
        <f>IF(A566="","",I566*K566)</f>
        <v/>
      </c>
      <c r="N566" s="238"/>
    </row>
    <row r="567" spans="1:14" x14ac:dyDescent="0.25">
      <c r="A567" s="249"/>
      <c r="B567" s="237"/>
      <c r="C567" s="237"/>
      <c r="D567" s="237"/>
      <c r="E567" s="237"/>
      <c r="F567" s="237"/>
      <c r="G567" s="238"/>
      <c r="H567" s="68" t="str">
        <f>IF(A567="","",VLOOKUP(A567,AA_Equipos,7,FALSE))</f>
        <v/>
      </c>
      <c r="I567" s="239" t="str">
        <f>IF(A567="","",VLOOKUP(A567,AA_Materiales,8,FALSE))</f>
        <v/>
      </c>
      <c r="J567" s="238"/>
      <c r="K567" s="250"/>
      <c r="L567" s="238"/>
      <c r="M567" s="239" t="str">
        <f>IF(A567="","",I567*K567)</f>
        <v/>
      </c>
      <c r="N567" s="238"/>
    </row>
    <row r="568" spans="1:14" x14ac:dyDescent="0.25">
      <c r="A568" s="249"/>
      <c r="B568" s="237"/>
      <c r="C568" s="237"/>
      <c r="D568" s="237"/>
      <c r="E568" s="237"/>
      <c r="F568" s="237"/>
      <c r="G568" s="238"/>
      <c r="H568" s="68" t="str">
        <f>IF(A568="","",VLOOKUP(A568,AA_Equipos,7,FALSE))</f>
        <v/>
      </c>
      <c r="I568" s="239" t="str">
        <f>IF(A568="","",VLOOKUP(A568,AA_Materiales,8,FALSE))</f>
        <v/>
      </c>
      <c r="J568" s="238"/>
      <c r="K568" s="250"/>
      <c r="L568" s="238"/>
      <c r="M568" s="239" t="str">
        <f>IF(A568="","",I568*K568)</f>
        <v/>
      </c>
      <c r="N568" s="238"/>
    </row>
    <row r="569" spans="1:14" x14ac:dyDescent="0.25">
      <c r="A569" s="249"/>
      <c r="B569" s="237"/>
      <c r="C569" s="237"/>
      <c r="D569" s="237"/>
      <c r="E569" s="237"/>
      <c r="F569" s="237"/>
      <c r="G569" s="238"/>
      <c r="H569" s="68" t="str">
        <f>IF(A569="","",VLOOKUP(A569,AA_Equipos,7,FALSE))</f>
        <v/>
      </c>
      <c r="I569" s="239" t="str">
        <f>IF(A569="","",VLOOKUP(A569,AA_Materiales,8,FALSE))</f>
        <v/>
      </c>
      <c r="J569" s="238"/>
      <c r="K569" s="250"/>
      <c r="L569" s="238"/>
      <c r="M569" s="239" t="str">
        <f>IF(A569="","",I569*K569)</f>
        <v/>
      </c>
      <c r="N569" s="238"/>
    </row>
    <row r="570" spans="1:14" x14ac:dyDescent="0.25">
      <c r="A570" s="69"/>
      <c r="B570" s="69"/>
      <c r="C570" s="69"/>
      <c r="D570" s="69"/>
      <c r="E570" s="69"/>
      <c r="F570" s="69"/>
      <c r="G570" s="69"/>
      <c r="H570" s="69"/>
      <c r="I570" s="69"/>
      <c r="J570" s="69"/>
      <c r="K570" s="240" t="s">
        <v>122</v>
      </c>
      <c r="L570" s="238"/>
      <c r="M570" s="239">
        <f>SUM(M565:N569)</f>
        <v>52941.176470588238</v>
      </c>
      <c r="N570" s="238"/>
    </row>
    <row r="571" spans="1:14" x14ac:dyDescent="0.25">
      <c r="A571" s="69"/>
      <c r="B571" s="69"/>
      <c r="C571" s="69"/>
      <c r="D571" s="69"/>
      <c r="E571" s="69"/>
      <c r="F571" s="69"/>
      <c r="G571" s="69"/>
      <c r="H571" s="69"/>
      <c r="I571" s="69"/>
      <c r="J571" s="69"/>
      <c r="K571" s="69"/>
      <c r="L571" s="69"/>
      <c r="M571" s="69"/>
      <c r="N571" s="69"/>
    </row>
    <row r="572" spans="1:14" x14ac:dyDescent="0.25">
      <c r="A572" s="247" t="s">
        <v>124</v>
      </c>
      <c r="B572" s="237"/>
      <c r="C572" s="237"/>
      <c r="D572" s="237"/>
      <c r="E572" s="237"/>
      <c r="F572" s="237"/>
      <c r="G572" s="237"/>
      <c r="H572" s="237"/>
      <c r="I572" s="237"/>
      <c r="J572" s="237"/>
      <c r="K572" s="237"/>
      <c r="L572" s="237"/>
      <c r="M572" s="237"/>
      <c r="N572" s="238"/>
    </row>
    <row r="573" spans="1:14" x14ac:dyDescent="0.25">
      <c r="A573" s="240" t="s">
        <v>76</v>
      </c>
      <c r="B573" s="237"/>
      <c r="C573" s="237"/>
      <c r="D573" s="237"/>
      <c r="E573" s="237"/>
      <c r="F573" s="237"/>
      <c r="G573" s="238"/>
      <c r="H573" s="67" t="s">
        <v>46</v>
      </c>
      <c r="I573" s="248" t="s">
        <v>120</v>
      </c>
      <c r="J573" s="238"/>
      <c r="K573" s="248" t="s">
        <v>47</v>
      </c>
      <c r="L573" s="238"/>
      <c r="M573" s="248" t="s">
        <v>121</v>
      </c>
      <c r="N573" s="238"/>
    </row>
    <row r="574" spans="1:14" x14ac:dyDescent="0.25">
      <c r="A574" s="249"/>
      <c r="B574" s="237"/>
      <c r="C574" s="237"/>
      <c r="D574" s="237"/>
      <c r="E574" s="237"/>
      <c r="F574" s="237"/>
      <c r="G574" s="238"/>
      <c r="H574" s="68"/>
      <c r="I574" s="239"/>
      <c r="J574" s="238"/>
      <c r="K574" s="250"/>
      <c r="L574" s="251"/>
      <c r="M574" s="239"/>
      <c r="N574" s="238"/>
    </row>
    <row r="575" spans="1:14" x14ac:dyDescent="0.25">
      <c r="A575" s="252"/>
      <c r="B575" s="237"/>
      <c r="C575" s="237"/>
      <c r="D575" s="237"/>
      <c r="E575" s="237"/>
      <c r="F575" s="237"/>
      <c r="G575" s="238"/>
      <c r="H575" s="68"/>
      <c r="I575" s="239"/>
      <c r="J575" s="238"/>
      <c r="K575" s="253"/>
      <c r="L575" s="238"/>
      <c r="M575" s="239"/>
      <c r="N575" s="238"/>
    </row>
    <row r="576" spans="1:14" x14ac:dyDescent="0.25">
      <c r="A576" s="249"/>
      <c r="B576" s="237"/>
      <c r="C576" s="237"/>
      <c r="D576" s="237"/>
      <c r="E576" s="237"/>
      <c r="F576" s="237"/>
      <c r="G576" s="238"/>
      <c r="H576" s="68"/>
      <c r="I576" s="239"/>
      <c r="J576" s="238"/>
      <c r="K576" s="250"/>
      <c r="L576" s="238"/>
      <c r="M576" s="239" t="str">
        <f>IF(A576="","",I576*K576)</f>
        <v/>
      </c>
      <c r="N576" s="238"/>
    </row>
    <row r="577" spans="1:14" x14ac:dyDescent="0.25">
      <c r="A577" s="249"/>
      <c r="B577" s="237"/>
      <c r="C577" s="237"/>
      <c r="D577" s="237"/>
      <c r="E577" s="237"/>
      <c r="F577" s="237"/>
      <c r="G577" s="238"/>
      <c r="H577" s="68"/>
      <c r="I577" s="239"/>
      <c r="J577" s="238"/>
      <c r="K577" s="250"/>
      <c r="L577" s="238"/>
      <c r="M577" s="239" t="str">
        <f>IF(A577="","",I577*K577)</f>
        <v/>
      </c>
      <c r="N577" s="238"/>
    </row>
    <row r="578" spans="1:14" x14ac:dyDescent="0.25">
      <c r="A578" s="249"/>
      <c r="B578" s="237"/>
      <c r="C578" s="237"/>
      <c r="D578" s="237"/>
      <c r="E578" s="237"/>
      <c r="F578" s="237"/>
      <c r="G578" s="238"/>
      <c r="H578" s="68"/>
      <c r="I578" s="239"/>
      <c r="J578" s="238"/>
      <c r="K578" s="250"/>
      <c r="L578" s="238"/>
      <c r="M578" s="239" t="str">
        <f>IF(A578="","",I578*K578)</f>
        <v/>
      </c>
      <c r="N578" s="238"/>
    </row>
    <row r="579" spans="1:14" x14ac:dyDescent="0.25">
      <c r="A579" s="69"/>
      <c r="B579" s="69"/>
      <c r="C579" s="69"/>
      <c r="D579" s="69"/>
      <c r="E579" s="69"/>
      <c r="F579" s="69"/>
      <c r="G579" s="69"/>
      <c r="H579" s="69"/>
      <c r="I579" s="69"/>
      <c r="J579" s="69"/>
      <c r="K579" s="240" t="s">
        <v>122</v>
      </c>
      <c r="L579" s="238"/>
      <c r="M579" s="239">
        <f>SUM(M574:N578)</f>
        <v>0</v>
      </c>
      <c r="N579" s="238"/>
    </row>
    <row r="580" spans="1:14" x14ac:dyDescent="0.25">
      <c r="A580" s="69"/>
      <c r="B580" s="69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  <c r="N580" s="69"/>
    </row>
    <row r="581" spans="1:14" x14ac:dyDescent="0.25">
      <c r="A581" s="247" t="s">
        <v>125</v>
      </c>
      <c r="B581" s="237"/>
      <c r="C581" s="237"/>
      <c r="D581" s="237"/>
      <c r="E581" s="237"/>
      <c r="F581" s="237"/>
      <c r="G581" s="237"/>
      <c r="H581" s="237"/>
      <c r="I581" s="237"/>
      <c r="J581" s="237"/>
      <c r="K581" s="237"/>
      <c r="L581" s="237"/>
      <c r="M581" s="237"/>
      <c r="N581" s="238"/>
    </row>
    <row r="582" spans="1:14" x14ac:dyDescent="0.25">
      <c r="A582" s="240" t="s">
        <v>76</v>
      </c>
      <c r="B582" s="237"/>
      <c r="C582" s="237"/>
      <c r="D582" s="237"/>
      <c r="E582" s="237"/>
      <c r="F582" s="237"/>
      <c r="G582" s="238"/>
      <c r="H582" s="67" t="s">
        <v>46</v>
      </c>
      <c r="I582" s="248" t="s">
        <v>120</v>
      </c>
      <c r="J582" s="238"/>
      <c r="K582" s="70" t="s">
        <v>126</v>
      </c>
      <c r="L582" s="71" t="s">
        <v>128</v>
      </c>
      <c r="M582" s="248" t="s">
        <v>121</v>
      </c>
      <c r="N582" s="238"/>
    </row>
    <row r="583" spans="1:14" x14ac:dyDescent="0.25">
      <c r="A583" s="236" t="str">
        <f>PROFESIONALES!$B$9</f>
        <v>Director de consultoria</v>
      </c>
      <c r="B583" s="237"/>
      <c r="C583" s="237"/>
      <c r="D583" s="237"/>
      <c r="E583" s="237"/>
      <c r="F583" s="237"/>
      <c r="G583" s="238"/>
      <c r="H583" s="68" t="s">
        <v>80</v>
      </c>
      <c r="I583" s="239">
        <f>PROFESIONALES!$F$9</f>
        <v>7691776</v>
      </c>
      <c r="J583" s="238"/>
      <c r="K583" s="45">
        <f>PROFESIONALES!I$24</f>
        <v>2</v>
      </c>
      <c r="L583" s="72">
        <f>V6*AJ6*30</f>
        <v>1.0588235294117649</v>
      </c>
      <c r="M583" s="239">
        <f t="shared" ref="M583:M588" si="32">I583*K583*L583/30</f>
        <v>542948.8941176472</v>
      </c>
      <c r="N583" s="238"/>
    </row>
    <row r="584" spans="1:14" x14ac:dyDescent="0.25">
      <c r="A584" s="236" t="str">
        <f>PROFESIONALES!$B$19</f>
        <v>Profesional de presupuestos</v>
      </c>
      <c r="B584" s="237"/>
      <c r="C584" s="237"/>
      <c r="D584" s="237"/>
      <c r="E584" s="237"/>
      <c r="F584" s="237"/>
      <c r="G584" s="238"/>
      <c r="H584" s="68" t="s">
        <v>80</v>
      </c>
      <c r="I584" s="239">
        <f>PROFESIONALES!$F$19</f>
        <v>5582300</v>
      </c>
      <c r="J584" s="238"/>
      <c r="K584" s="45">
        <f>PROFESIONALES!I$24</f>
        <v>2</v>
      </c>
      <c r="L584" s="45">
        <f>V17*AJ17*30</f>
        <v>0.22500000000000003</v>
      </c>
      <c r="M584" s="239">
        <f t="shared" si="32"/>
        <v>83734.500000000015</v>
      </c>
      <c r="N584" s="238"/>
    </row>
    <row r="585" spans="1:14" x14ac:dyDescent="0.25">
      <c r="A585" s="236" t="str">
        <f>PROFESIONALES!$B$15</f>
        <v>Profesional de apoyo</v>
      </c>
      <c r="B585" s="237"/>
      <c r="C585" s="237"/>
      <c r="D585" s="237"/>
      <c r="E585" s="237"/>
      <c r="F585" s="237"/>
      <c r="G585" s="238"/>
      <c r="H585" s="68" t="s">
        <v>80</v>
      </c>
      <c r="I585" s="239">
        <f>PROFESIONALES!$F$15</f>
        <v>5582300</v>
      </c>
      <c r="J585" s="238"/>
      <c r="K585" s="45">
        <f>PROFESIONALES!I$24</f>
        <v>2</v>
      </c>
      <c r="L585" s="45">
        <v>4.55</v>
      </c>
      <c r="M585" s="239">
        <f t="shared" si="32"/>
        <v>1693297.6666666667</v>
      </c>
      <c r="N585" s="238"/>
    </row>
    <row r="586" spans="1:14" x14ac:dyDescent="0.25">
      <c r="A586" s="236" t="str">
        <f>PROFESIONALES!$B$10</f>
        <v>Especialista Estructural</v>
      </c>
      <c r="B586" s="237"/>
      <c r="C586" s="237"/>
      <c r="D586" s="237"/>
      <c r="E586" s="237"/>
      <c r="F586" s="237"/>
      <c r="G586" s="238"/>
      <c r="H586" s="68" t="s">
        <v>80</v>
      </c>
      <c r="I586" s="239">
        <f>PROFESIONALES!$F$10</f>
        <v>6573098</v>
      </c>
      <c r="J586" s="238"/>
      <c r="K586" s="45">
        <f>PROFESIONALES!I$24</f>
        <v>2</v>
      </c>
      <c r="L586" s="45">
        <f>V7*AJ7*30</f>
        <v>0.90000000000000013</v>
      </c>
      <c r="M586" s="239">
        <f t="shared" si="32"/>
        <v>394385.88000000006</v>
      </c>
      <c r="N586" s="238"/>
    </row>
    <row r="587" spans="1:14" x14ac:dyDescent="0.25">
      <c r="A587" s="236" t="str">
        <f>PROFESIONALES!$B$11</f>
        <v>Especialista en Geotecnia</v>
      </c>
      <c r="B587" s="237"/>
      <c r="C587" s="237"/>
      <c r="D587" s="237"/>
      <c r="E587" s="237"/>
      <c r="F587" s="237"/>
      <c r="G587" s="238"/>
      <c r="H587" s="68" t="s">
        <v>80</v>
      </c>
      <c r="I587" s="239">
        <f>PROFESIONALES!$F$11</f>
        <v>6573098</v>
      </c>
      <c r="J587" s="238"/>
      <c r="K587" s="45">
        <f>PROFESIONALES!I$24</f>
        <v>2</v>
      </c>
      <c r="L587" s="45">
        <f>V8*AJ8*30</f>
        <v>0.90000000000000013</v>
      </c>
      <c r="M587" s="239">
        <f t="shared" si="32"/>
        <v>394385.88000000006</v>
      </c>
      <c r="N587" s="238"/>
    </row>
    <row r="588" spans="1:14" x14ac:dyDescent="0.25">
      <c r="A588" s="236" t="str">
        <f>PROFESIONALES!B$12</f>
        <v>Especialista Hidráulico</v>
      </c>
      <c r="B588" s="237"/>
      <c r="C588" s="237"/>
      <c r="D588" s="237"/>
      <c r="E588" s="237"/>
      <c r="F588" s="237"/>
      <c r="G588" s="238"/>
      <c r="H588" s="68" t="s">
        <v>80</v>
      </c>
      <c r="I588" s="239">
        <f>PROFESIONALES!$F$12</f>
        <v>6356217</v>
      </c>
      <c r="J588" s="238"/>
      <c r="K588" s="45">
        <f>PROFESIONALES!I$24</f>
        <v>2</v>
      </c>
      <c r="L588" s="45">
        <f>V9*AJ9*30</f>
        <v>0.90000000000000013</v>
      </c>
      <c r="M588" s="239">
        <f t="shared" si="32"/>
        <v>381373.02000000008</v>
      </c>
      <c r="N588" s="238"/>
    </row>
    <row r="589" spans="1:14" x14ac:dyDescent="0.25">
      <c r="A589" s="69"/>
      <c r="B589" s="69"/>
      <c r="C589" s="69"/>
      <c r="D589" s="69"/>
      <c r="E589" s="69"/>
      <c r="F589" s="69"/>
      <c r="G589" s="69"/>
      <c r="H589" s="69"/>
      <c r="I589" s="69"/>
      <c r="J589" s="69"/>
      <c r="K589" s="240" t="s">
        <v>122</v>
      </c>
      <c r="L589" s="238"/>
      <c r="M589" s="239">
        <f>SUM(M583:N588)</f>
        <v>3490125.8407843136</v>
      </c>
      <c r="N589" s="238"/>
    </row>
    <row r="591" spans="1:14" x14ac:dyDescent="0.25">
      <c r="A591" s="241" t="str">
        <f>Productos!$B$22</f>
        <v>Formulación de proyecto para entrega ante mecanismos de financiación (Asesoria y acompañamiento en formulación de componente Para La Aprobacion)</v>
      </c>
      <c r="B591" s="242"/>
      <c r="C591" s="242"/>
      <c r="D591" s="242"/>
      <c r="E591" s="242"/>
      <c r="F591" s="242"/>
      <c r="G591" s="242"/>
      <c r="H591" s="242"/>
      <c r="I591" s="242"/>
      <c r="J591" s="242"/>
      <c r="K591" s="242"/>
      <c r="L591" s="242"/>
      <c r="M591" s="242"/>
      <c r="N591" s="243"/>
    </row>
    <row r="592" spans="1:14" x14ac:dyDescent="0.25">
      <c r="A592" s="244"/>
      <c r="B592" s="245"/>
      <c r="C592" s="245"/>
      <c r="D592" s="245"/>
      <c r="E592" s="245"/>
      <c r="F592" s="245"/>
      <c r="G592" s="245"/>
      <c r="H592" s="245"/>
      <c r="I592" s="245"/>
      <c r="J592" s="245"/>
      <c r="K592" s="245"/>
      <c r="L592" s="245"/>
      <c r="M592" s="245"/>
      <c r="N592" s="246"/>
    </row>
    <row r="593" spans="1:14" x14ac:dyDescent="0.25">
      <c r="A593" s="39">
        <v>1</v>
      </c>
      <c r="B593" s="39">
        <v>2</v>
      </c>
      <c r="C593" s="39">
        <v>3</v>
      </c>
      <c r="D593" s="39">
        <v>4</v>
      </c>
      <c r="E593" s="39">
        <v>5</v>
      </c>
      <c r="F593" s="39">
        <v>6</v>
      </c>
      <c r="G593" s="39">
        <v>7</v>
      </c>
      <c r="H593" s="39">
        <v>8</v>
      </c>
      <c r="I593" s="39">
        <v>9</v>
      </c>
      <c r="J593" s="39">
        <v>10</v>
      </c>
      <c r="K593" s="39">
        <v>11</v>
      </c>
      <c r="L593" s="39">
        <v>12</v>
      </c>
      <c r="M593" s="39">
        <v>13</v>
      </c>
      <c r="N593" s="39">
        <v>14</v>
      </c>
    </row>
    <row r="594" spans="1:14" ht="15.75" x14ac:dyDescent="0.3">
      <c r="A594" s="114" t="str">
        <f>Productos!A22</f>
        <v>A015</v>
      </c>
      <c r="B594" s="59" t="str">
        <f>A591</f>
        <v>Formulación de proyecto para entrega ante mecanismos de financiación (Asesoria y acompañamiento en formulación de componente Para La Aprobacion)</v>
      </c>
      <c r="C594" s="85" t="s">
        <v>113</v>
      </c>
      <c r="D594" s="60" t="s">
        <v>127</v>
      </c>
      <c r="E594" s="86" t="s">
        <v>114</v>
      </c>
      <c r="F594" s="61">
        <f>H594+J594+L594+N594</f>
        <v>9917410.3155745752</v>
      </c>
      <c r="G594" s="86" t="s">
        <v>115</v>
      </c>
      <c r="H594" s="62">
        <f>M611</f>
        <v>52941.176470588238</v>
      </c>
      <c r="I594" s="86" t="s">
        <v>116</v>
      </c>
      <c r="J594" s="63">
        <f>M602</f>
        <v>352941.17647058825</v>
      </c>
      <c r="K594" s="86" t="s">
        <v>117</v>
      </c>
      <c r="L594" s="62">
        <f>M620</f>
        <v>0</v>
      </c>
      <c r="M594" s="86" t="s">
        <v>118</v>
      </c>
      <c r="N594" s="64">
        <f>M629</f>
        <v>9511527.9626333993</v>
      </c>
    </row>
    <row r="595" spans="1:14" x14ac:dyDescent="0.25">
      <c r="A595" s="65"/>
      <c r="B595" s="65"/>
      <c r="C595" s="65"/>
      <c r="D595" s="65"/>
      <c r="E595" s="65"/>
      <c r="F595" s="65"/>
      <c r="G595" s="65"/>
      <c r="H595" s="66"/>
      <c r="I595" s="66"/>
      <c r="J595" s="65"/>
      <c r="K595" s="65"/>
      <c r="L595" s="65"/>
      <c r="M595" s="65"/>
      <c r="N595" s="65"/>
    </row>
    <row r="596" spans="1:14" x14ac:dyDescent="0.25">
      <c r="A596" s="247" t="s">
        <v>119</v>
      </c>
      <c r="B596" s="237"/>
      <c r="C596" s="237"/>
      <c r="D596" s="237"/>
      <c r="E596" s="237"/>
      <c r="F596" s="237"/>
      <c r="G596" s="237"/>
      <c r="H596" s="237"/>
      <c r="I596" s="237"/>
      <c r="J596" s="237"/>
      <c r="K596" s="237"/>
      <c r="L596" s="237"/>
      <c r="M596" s="237"/>
      <c r="N596" s="238"/>
    </row>
    <row r="597" spans="1:14" x14ac:dyDescent="0.25">
      <c r="A597" s="240" t="s">
        <v>76</v>
      </c>
      <c r="B597" s="237"/>
      <c r="C597" s="237"/>
      <c r="D597" s="237"/>
      <c r="E597" s="237"/>
      <c r="F597" s="237"/>
      <c r="G597" s="238"/>
      <c r="H597" s="67" t="s">
        <v>46</v>
      </c>
      <c r="I597" s="248" t="s">
        <v>120</v>
      </c>
      <c r="J597" s="238"/>
      <c r="K597" s="248" t="s">
        <v>47</v>
      </c>
      <c r="L597" s="238"/>
      <c r="M597" s="248" t="s">
        <v>121</v>
      </c>
      <c r="N597" s="238"/>
    </row>
    <row r="598" spans="1:14" x14ac:dyDescent="0.25">
      <c r="A598" s="249" t="str">
        <f>PROFESIONALES!$B$30</f>
        <v>Alquiler oficina</v>
      </c>
      <c r="B598" s="237"/>
      <c r="C598" s="237"/>
      <c r="D598" s="237"/>
      <c r="E598" s="237"/>
      <c r="F598" s="237"/>
      <c r="G598" s="238"/>
      <c r="H598" s="68" t="str">
        <f>PROFESIONALES!$D$30</f>
        <v>MES</v>
      </c>
      <c r="I598" s="239">
        <f>PROFESIONALES!$F$30</f>
        <v>500000</v>
      </c>
      <c r="J598" s="238"/>
      <c r="K598" s="250">
        <f>PROFESIONALES!H30/APUS!Z22</f>
        <v>0.17647058823529413</v>
      </c>
      <c r="L598" s="238"/>
      <c r="M598" s="239">
        <f>K598*I598</f>
        <v>88235.294117647063</v>
      </c>
      <c r="N598" s="254"/>
    </row>
    <row r="599" spans="1:14" x14ac:dyDescent="0.25">
      <c r="A599" s="249" t="str">
        <f>PROFESIONALES!$B$32</f>
        <v>Gastos de oficina (Impresión de informes y planos)</v>
      </c>
      <c r="B599" s="237"/>
      <c r="C599" s="237"/>
      <c r="D599" s="237"/>
      <c r="E599" s="237"/>
      <c r="F599" s="237"/>
      <c r="G599" s="238"/>
      <c r="H599" s="68" t="str">
        <f>PROFESIONALES!$D$32</f>
        <v>COPIA</v>
      </c>
      <c r="I599" s="239">
        <f>PROFESIONALES!$F$32</f>
        <v>1500000</v>
      </c>
      <c r="J599" s="238"/>
      <c r="K599" s="250">
        <f>PROFESIONALES!$H$32*PROFESIONALES!E32/Z22</f>
        <v>0.17647058823529413</v>
      </c>
      <c r="L599" s="238"/>
      <c r="M599" s="239">
        <f t="shared" ref="M599" si="33">K599*I599</f>
        <v>264705.8823529412</v>
      </c>
      <c r="N599" s="254"/>
    </row>
    <row r="600" spans="1:14" x14ac:dyDescent="0.25">
      <c r="A600" s="255"/>
      <c r="B600" s="256"/>
      <c r="C600" s="256"/>
      <c r="D600" s="256"/>
      <c r="E600" s="256"/>
      <c r="F600" s="256"/>
      <c r="G600" s="257"/>
      <c r="H600" s="73"/>
      <c r="I600" s="258"/>
      <c r="J600" s="257"/>
      <c r="K600" s="259"/>
      <c r="L600" s="257"/>
      <c r="M600" s="258"/>
      <c r="N600" s="257"/>
    </row>
    <row r="601" spans="1:14" x14ac:dyDescent="0.25">
      <c r="A601" s="249"/>
      <c r="B601" s="237"/>
      <c r="C601" s="237"/>
      <c r="D601" s="237"/>
      <c r="E601" s="237"/>
      <c r="F601" s="237"/>
      <c r="G601" s="238"/>
      <c r="H601" s="68" t="str">
        <f>IF(A601="","",VLOOKUP(A601,AA_Materiales,7,FALSE))</f>
        <v/>
      </c>
      <c r="I601" s="239" t="str">
        <f>IF(A601="","",VLOOKUP(A601,AA_Materiales,8,FALSE))</f>
        <v/>
      </c>
      <c r="J601" s="238"/>
      <c r="K601" s="250"/>
      <c r="L601" s="238"/>
      <c r="M601" s="239" t="str">
        <f>IF(A601="","",I601*K601)</f>
        <v/>
      </c>
      <c r="N601" s="238"/>
    </row>
    <row r="602" spans="1:14" x14ac:dyDescent="0.25">
      <c r="A602" s="69"/>
      <c r="B602" s="69"/>
      <c r="C602" s="69"/>
      <c r="D602" s="69"/>
      <c r="E602" s="69"/>
      <c r="F602" s="69"/>
      <c r="G602" s="69"/>
      <c r="H602" s="69"/>
      <c r="I602" s="69"/>
      <c r="J602" s="69"/>
      <c r="K602" s="240" t="s">
        <v>122</v>
      </c>
      <c r="L602" s="238"/>
      <c r="M602" s="239">
        <f>SUM(M598:N601)</f>
        <v>352941.17647058825</v>
      </c>
      <c r="N602" s="238"/>
    </row>
    <row r="603" spans="1:14" x14ac:dyDescent="0.25">
      <c r="A603" s="69"/>
      <c r="B603" s="69"/>
      <c r="C603" s="69"/>
      <c r="D603" s="69"/>
      <c r="E603" s="69"/>
      <c r="F603" s="69"/>
      <c r="G603" s="69"/>
      <c r="H603" s="69"/>
      <c r="I603" s="69"/>
      <c r="J603" s="69"/>
      <c r="K603" s="69"/>
      <c r="L603" s="69"/>
      <c r="M603" s="69"/>
      <c r="N603" s="69"/>
    </row>
    <row r="604" spans="1:14" x14ac:dyDescent="0.25">
      <c r="A604" s="247" t="s">
        <v>123</v>
      </c>
      <c r="B604" s="237"/>
      <c r="C604" s="237"/>
      <c r="D604" s="237"/>
      <c r="E604" s="237"/>
      <c r="F604" s="237"/>
      <c r="G604" s="237"/>
      <c r="H604" s="237"/>
      <c r="I604" s="237"/>
      <c r="J604" s="237"/>
      <c r="K604" s="237"/>
      <c r="L604" s="237"/>
      <c r="M604" s="237"/>
      <c r="N604" s="238"/>
    </row>
    <row r="605" spans="1:14" x14ac:dyDescent="0.25">
      <c r="A605" s="240" t="s">
        <v>76</v>
      </c>
      <c r="B605" s="237"/>
      <c r="C605" s="237"/>
      <c r="D605" s="237"/>
      <c r="E605" s="237"/>
      <c r="F605" s="237"/>
      <c r="G605" s="238"/>
      <c r="H605" s="67" t="s">
        <v>46</v>
      </c>
      <c r="I605" s="248" t="s">
        <v>120</v>
      </c>
      <c r="J605" s="238"/>
      <c r="K605" s="248" t="s">
        <v>47</v>
      </c>
      <c r="L605" s="238"/>
      <c r="M605" s="248" t="s">
        <v>121</v>
      </c>
      <c r="N605" s="238"/>
    </row>
    <row r="606" spans="1:14" x14ac:dyDescent="0.25">
      <c r="A606" s="252" t="str">
        <f>PROFESIONALES!$B$31</f>
        <v>Servicios Públicos</v>
      </c>
      <c r="B606" s="237"/>
      <c r="C606" s="237"/>
      <c r="D606" s="237"/>
      <c r="E606" s="237"/>
      <c r="F606" s="237"/>
      <c r="G606" s="238"/>
      <c r="H606" s="68" t="str">
        <f>PROFESIONALES!$D$31</f>
        <v>MES</v>
      </c>
      <c r="I606" s="239">
        <f>PROFESIONALES!$F$31</f>
        <v>300000</v>
      </c>
      <c r="J606" s="238"/>
      <c r="K606" s="250">
        <f>PROFESIONALES!$H$9/Z22</f>
        <v>0.17647058823529413</v>
      </c>
      <c r="L606" s="251"/>
      <c r="M606" s="239">
        <f>K606*I606</f>
        <v>52941.176470588238</v>
      </c>
      <c r="N606" s="254"/>
    </row>
    <row r="607" spans="1:14" x14ac:dyDescent="0.25">
      <c r="A607" s="252"/>
      <c r="B607" s="237"/>
      <c r="C607" s="237"/>
      <c r="D607" s="237"/>
      <c r="E607" s="237"/>
      <c r="F607" s="237"/>
      <c r="G607" s="238"/>
      <c r="H607" s="68" t="str">
        <f>IF(A607="","",VLOOKUP(A607,AA_Equipos,7,FALSE))</f>
        <v/>
      </c>
      <c r="I607" s="239" t="str">
        <f>IF(A607="","",VLOOKUP(A607,AA_Materiales,8,FALSE))</f>
        <v/>
      </c>
      <c r="J607" s="238"/>
      <c r="K607" s="253"/>
      <c r="L607" s="238"/>
      <c r="M607" s="239" t="str">
        <f>IF(A607="","",I607*K607)</f>
        <v/>
      </c>
      <c r="N607" s="238"/>
    </row>
    <row r="608" spans="1:14" x14ac:dyDescent="0.25">
      <c r="A608" s="249"/>
      <c r="B608" s="237"/>
      <c r="C608" s="237"/>
      <c r="D608" s="237"/>
      <c r="E608" s="237"/>
      <c r="F608" s="237"/>
      <c r="G608" s="238"/>
      <c r="H608" s="68" t="str">
        <f>IF(A608="","",VLOOKUP(A608,AA_Equipos,7,FALSE))</f>
        <v/>
      </c>
      <c r="I608" s="239" t="str">
        <f>IF(A608="","",VLOOKUP(A608,AA_Materiales,8,FALSE))</f>
        <v/>
      </c>
      <c r="J608" s="238"/>
      <c r="K608" s="250"/>
      <c r="L608" s="238"/>
      <c r="M608" s="239" t="str">
        <f>IF(A608="","",I608*K608)</f>
        <v/>
      </c>
      <c r="N608" s="238"/>
    </row>
    <row r="609" spans="1:14" x14ac:dyDescent="0.25">
      <c r="A609" s="249"/>
      <c r="B609" s="237"/>
      <c r="C609" s="237"/>
      <c r="D609" s="237"/>
      <c r="E609" s="237"/>
      <c r="F609" s="237"/>
      <c r="G609" s="238"/>
      <c r="H609" s="68" t="str">
        <f>IF(A609="","",VLOOKUP(A609,AA_Equipos,7,FALSE))</f>
        <v/>
      </c>
      <c r="I609" s="239" t="str">
        <f>IF(A609="","",VLOOKUP(A609,AA_Materiales,8,FALSE))</f>
        <v/>
      </c>
      <c r="J609" s="238"/>
      <c r="K609" s="250"/>
      <c r="L609" s="238"/>
      <c r="M609" s="239" t="str">
        <f>IF(A609="","",I609*K609)</f>
        <v/>
      </c>
      <c r="N609" s="238"/>
    </row>
    <row r="610" spans="1:14" x14ac:dyDescent="0.25">
      <c r="A610" s="249"/>
      <c r="B610" s="237"/>
      <c r="C610" s="237"/>
      <c r="D610" s="237"/>
      <c r="E610" s="237"/>
      <c r="F610" s="237"/>
      <c r="G610" s="238"/>
      <c r="H610" s="68" t="str">
        <f>IF(A610="","",VLOOKUP(A610,AA_Equipos,7,FALSE))</f>
        <v/>
      </c>
      <c r="I610" s="239" t="str">
        <f>IF(A610="","",VLOOKUP(A610,AA_Materiales,8,FALSE))</f>
        <v/>
      </c>
      <c r="J610" s="238"/>
      <c r="K610" s="250"/>
      <c r="L610" s="238"/>
      <c r="M610" s="239" t="str">
        <f>IF(A610="","",I610*K610)</f>
        <v/>
      </c>
      <c r="N610" s="238"/>
    </row>
    <row r="611" spans="1:14" x14ac:dyDescent="0.25">
      <c r="A611" s="69"/>
      <c r="B611" s="69"/>
      <c r="C611" s="69"/>
      <c r="D611" s="69"/>
      <c r="E611" s="69"/>
      <c r="F611" s="69"/>
      <c r="G611" s="69"/>
      <c r="H611" s="69"/>
      <c r="I611" s="69"/>
      <c r="J611" s="69"/>
      <c r="K611" s="240" t="s">
        <v>122</v>
      </c>
      <c r="L611" s="238"/>
      <c r="M611" s="239">
        <f>SUM(M606:N610)</f>
        <v>52941.176470588238</v>
      </c>
      <c r="N611" s="238"/>
    </row>
    <row r="612" spans="1:14" x14ac:dyDescent="0.25">
      <c r="A612" s="69"/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</row>
    <row r="613" spans="1:14" x14ac:dyDescent="0.25">
      <c r="A613" s="247" t="s">
        <v>124</v>
      </c>
      <c r="B613" s="237"/>
      <c r="C613" s="237"/>
      <c r="D613" s="237"/>
      <c r="E613" s="237"/>
      <c r="F613" s="237"/>
      <c r="G613" s="237"/>
      <c r="H613" s="237"/>
      <c r="I613" s="237"/>
      <c r="J613" s="237"/>
      <c r="K613" s="237"/>
      <c r="L613" s="237"/>
      <c r="M613" s="237"/>
      <c r="N613" s="238"/>
    </row>
    <row r="614" spans="1:14" x14ac:dyDescent="0.25">
      <c r="A614" s="240" t="s">
        <v>76</v>
      </c>
      <c r="B614" s="237"/>
      <c r="C614" s="237"/>
      <c r="D614" s="237"/>
      <c r="E614" s="237"/>
      <c r="F614" s="237"/>
      <c r="G614" s="238"/>
      <c r="H614" s="67" t="s">
        <v>46</v>
      </c>
      <c r="I614" s="248" t="s">
        <v>120</v>
      </c>
      <c r="J614" s="238"/>
      <c r="K614" s="248" t="s">
        <v>47</v>
      </c>
      <c r="L614" s="238"/>
      <c r="M614" s="248" t="s">
        <v>121</v>
      </c>
      <c r="N614" s="238"/>
    </row>
    <row r="615" spans="1:14" x14ac:dyDescent="0.25">
      <c r="A615" s="249"/>
      <c r="B615" s="237"/>
      <c r="C615" s="237"/>
      <c r="D615" s="237"/>
      <c r="E615" s="237"/>
      <c r="F615" s="237"/>
      <c r="G615" s="238"/>
      <c r="H615" s="68"/>
      <c r="I615" s="239"/>
      <c r="J615" s="238"/>
      <c r="K615" s="250"/>
      <c r="L615" s="251"/>
      <c r="M615" s="239"/>
      <c r="N615" s="238"/>
    </row>
    <row r="616" spans="1:14" x14ac:dyDescent="0.25">
      <c r="A616" s="252"/>
      <c r="B616" s="237"/>
      <c r="C616" s="237"/>
      <c r="D616" s="237"/>
      <c r="E616" s="237"/>
      <c r="F616" s="237"/>
      <c r="G616" s="238"/>
      <c r="H616" s="68"/>
      <c r="I616" s="239"/>
      <c r="J616" s="238"/>
      <c r="K616" s="253"/>
      <c r="L616" s="238"/>
      <c r="M616" s="239"/>
      <c r="N616" s="238"/>
    </row>
    <row r="617" spans="1:14" x14ac:dyDescent="0.25">
      <c r="A617" s="249"/>
      <c r="B617" s="237"/>
      <c r="C617" s="237"/>
      <c r="D617" s="237"/>
      <c r="E617" s="237"/>
      <c r="F617" s="237"/>
      <c r="G617" s="238"/>
      <c r="H617" s="68"/>
      <c r="I617" s="239"/>
      <c r="J617" s="238"/>
      <c r="K617" s="250"/>
      <c r="L617" s="238"/>
      <c r="M617" s="239" t="str">
        <f>IF(A617="","",I617*K617)</f>
        <v/>
      </c>
      <c r="N617" s="238"/>
    </row>
    <row r="618" spans="1:14" x14ac:dyDescent="0.25">
      <c r="A618" s="249"/>
      <c r="B618" s="237"/>
      <c r="C618" s="237"/>
      <c r="D618" s="237"/>
      <c r="E618" s="237"/>
      <c r="F618" s="237"/>
      <c r="G618" s="238"/>
      <c r="H618" s="68"/>
      <c r="I618" s="239"/>
      <c r="J618" s="238"/>
      <c r="K618" s="250"/>
      <c r="L618" s="238"/>
      <c r="M618" s="239" t="str">
        <f>IF(A618="","",I618*K618)</f>
        <v/>
      </c>
      <c r="N618" s="238"/>
    </row>
    <row r="619" spans="1:14" x14ac:dyDescent="0.25">
      <c r="A619" s="249"/>
      <c r="B619" s="237"/>
      <c r="C619" s="237"/>
      <c r="D619" s="237"/>
      <c r="E619" s="237"/>
      <c r="F619" s="237"/>
      <c r="G619" s="238"/>
      <c r="H619" s="68"/>
      <c r="I619" s="239"/>
      <c r="J619" s="238"/>
      <c r="K619" s="250"/>
      <c r="L619" s="238"/>
      <c r="M619" s="239" t="str">
        <f>IF(A619="","",I619*K619)</f>
        <v/>
      </c>
      <c r="N619" s="238"/>
    </row>
    <row r="620" spans="1:14" x14ac:dyDescent="0.25">
      <c r="A620" s="69"/>
      <c r="B620" s="69"/>
      <c r="C620" s="69"/>
      <c r="D620" s="69"/>
      <c r="E620" s="69"/>
      <c r="F620" s="69"/>
      <c r="G620" s="69"/>
      <c r="H620" s="69"/>
      <c r="I620" s="69"/>
      <c r="J620" s="69"/>
      <c r="K620" s="240" t="s">
        <v>122</v>
      </c>
      <c r="L620" s="238"/>
      <c r="M620" s="239">
        <f>SUM(M615:N619)</f>
        <v>0</v>
      </c>
      <c r="N620" s="238"/>
    </row>
    <row r="621" spans="1:14" x14ac:dyDescent="0.25">
      <c r="A621" s="69"/>
      <c r="B621" s="69"/>
      <c r="C621" s="69"/>
      <c r="D621" s="69"/>
      <c r="E621" s="69"/>
      <c r="F621" s="69"/>
      <c r="G621" s="69"/>
      <c r="H621" s="69"/>
      <c r="I621" s="69"/>
      <c r="J621" s="69"/>
      <c r="K621" s="69"/>
      <c r="L621" s="69"/>
      <c r="M621" s="69"/>
      <c r="N621" s="69"/>
    </row>
    <row r="622" spans="1:14" x14ac:dyDescent="0.25">
      <c r="A622" s="247" t="s">
        <v>125</v>
      </c>
      <c r="B622" s="237"/>
      <c r="C622" s="237"/>
      <c r="D622" s="237"/>
      <c r="E622" s="237"/>
      <c r="F622" s="237"/>
      <c r="G622" s="237"/>
      <c r="H622" s="237"/>
      <c r="I622" s="237"/>
      <c r="J622" s="237"/>
      <c r="K622" s="237"/>
      <c r="L622" s="237"/>
      <c r="M622" s="237"/>
      <c r="N622" s="238"/>
    </row>
    <row r="623" spans="1:14" x14ac:dyDescent="0.25">
      <c r="A623" s="240" t="s">
        <v>76</v>
      </c>
      <c r="B623" s="237"/>
      <c r="C623" s="237"/>
      <c r="D623" s="237"/>
      <c r="E623" s="237"/>
      <c r="F623" s="237"/>
      <c r="G623" s="238"/>
      <c r="H623" s="67" t="s">
        <v>46</v>
      </c>
      <c r="I623" s="248" t="s">
        <v>120</v>
      </c>
      <c r="J623" s="238"/>
      <c r="K623" s="70" t="s">
        <v>126</v>
      </c>
      <c r="L623" s="71" t="s">
        <v>128</v>
      </c>
      <c r="M623" s="248" t="s">
        <v>121</v>
      </c>
      <c r="N623" s="238"/>
    </row>
    <row r="624" spans="1:14" x14ac:dyDescent="0.25">
      <c r="A624" s="236" t="str">
        <f>PROFESIONALES!$B$9</f>
        <v>Director de consultoria</v>
      </c>
      <c r="B624" s="237"/>
      <c r="C624" s="237"/>
      <c r="D624" s="237"/>
      <c r="E624" s="237"/>
      <c r="F624" s="237"/>
      <c r="G624" s="238"/>
      <c r="H624" s="68" t="s">
        <v>80</v>
      </c>
      <c r="I624" s="239">
        <f>PROFESIONALES!$F$9</f>
        <v>7691776</v>
      </c>
      <c r="J624" s="238"/>
      <c r="K624" s="45">
        <f>PROFESIONALES!I$24</f>
        <v>2</v>
      </c>
      <c r="L624" s="72">
        <v>3</v>
      </c>
      <c r="M624" s="239">
        <f>I624*K624*L624/30</f>
        <v>1538355.2</v>
      </c>
      <c r="N624" s="238"/>
    </row>
    <row r="625" spans="1:15" x14ac:dyDescent="0.25">
      <c r="A625" s="236" t="str">
        <f>PROFESIONALES!$B$17</f>
        <v>Profesional Ambiental</v>
      </c>
      <c r="B625" s="237"/>
      <c r="C625" s="237"/>
      <c r="D625" s="237"/>
      <c r="E625" s="237"/>
      <c r="F625" s="237"/>
      <c r="G625" s="238"/>
      <c r="H625" s="68" t="s">
        <v>80</v>
      </c>
      <c r="I625" s="239">
        <f>PROFESIONALES!$F$17</f>
        <v>5582300</v>
      </c>
      <c r="J625" s="238"/>
      <c r="K625" s="45">
        <f>PROFESIONALES!I$24</f>
        <v>2</v>
      </c>
      <c r="L625" s="45">
        <f>V14*AK14*30</f>
        <v>6.7499999999999991</v>
      </c>
      <c r="M625" s="239">
        <f>I625*K625*L625/30</f>
        <v>2512034.9999999995</v>
      </c>
      <c r="N625" s="238"/>
    </row>
    <row r="626" spans="1:15" x14ac:dyDescent="0.25">
      <c r="A626" s="236" t="str">
        <f>PROFESIONALES!$B$15</f>
        <v>Profesional de apoyo</v>
      </c>
      <c r="B626" s="237"/>
      <c r="C626" s="237"/>
      <c r="D626" s="237"/>
      <c r="E626" s="237"/>
      <c r="F626" s="237"/>
      <c r="G626" s="238"/>
      <c r="H626" s="68" t="s">
        <v>80</v>
      </c>
      <c r="I626" s="239">
        <f>PROFESIONALES!$F$15</f>
        <v>5582300</v>
      </c>
      <c r="J626" s="238"/>
      <c r="K626" s="45">
        <f>PROFESIONALES!I$24</f>
        <v>2</v>
      </c>
      <c r="L626" s="45">
        <f>V12*AK12*30</f>
        <v>5.2941176470588234</v>
      </c>
      <c r="M626" s="239">
        <f>I626*K626*L626/30</f>
        <v>1970223.5294117646</v>
      </c>
      <c r="N626" s="238"/>
    </row>
    <row r="627" spans="1:15" x14ac:dyDescent="0.25">
      <c r="A627" s="236" t="str">
        <f>PROFESIONALES!$B$18</f>
        <v>Profesional Arquitecto</v>
      </c>
      <c r="B627" s="237"/>
      <c r="C627" s="237"/>
      <c r="D627" s="237"/>
      <c r="E627" s="237"/>
      <c r="F627" s="237"/>
      <c r="G627" s="238"/>
      <c r="H627" s="68" t="s">
        <v>80</v>
      </c>
      <c r="I627" s="239">
        <f>PROFESIONALES!$F$18</f>
        <v>5582300</v>
      </c>
      <c r="J627" s="238"/>
      <c r="K627" s="45">
        <f>PROFESIONALES!I$24</f>
        <v>2</v>
      </c>
      <c r="L627" s="45">
        <v>4.5</v>
      </c>
      <c r="M627" s="239">
        <f>I627*K627*L627/30</f>
        <v>1674690</v>
      </c>
      <c r="N627" s="238"/>
      <c r="O627" s="174">
        <f>Productos!G24</f>
        <v>0</v>
      </c>
    </row>
    <row r="628" spans="1:15" x14ac:dyDescent="0.25">
      <c r="A628" s="236" t="str">
        <f>PROFESIONALES!B14</f>
        <v xml:space="preserve">Especialista Veterinario </v>
      </c>
      <c r="B628" s="237"/>
      <c r="C628" s="237"/>
      <c r="D628" s="237"/>
      <c r="E628" s="237"/>
      <c r="F628" s="237"/>
      <c r="G628" s="238"/>
      <c r="H628" s="68" t="s">
        <v>80</v>
      </c>
      <c r="I628" s="239">
        <f>PROFESIONALES!F14</f>
        <v>6356217</v>
      </c>
      <c r="J628" s="238"/>
      <c r="K628" s="45">
        <f>PROFESIONALES!I$24</f>
        <v>2</v>
      </c>
      <c r="L628" s="45">
        <v>4.2860971389624556</v>
      </c>
      <c r="M628" s="239">
        <f>I628*K628*L628/30</f>
        <v>1816224.2332216348</v>
      </c>
      <c r="N628" s="238"/>
    </row>
    <row r="629" spans="1:15" x14ac:dyDescent="0.25">
      <c r="A629" s="69"/>
      <c r="B629" s="69"/>
      <c r="C629" s="69"/>
      <c r="D629" s="69"/>
      <c r="E629" s="69"/>
      <c r="F629" s="69"/>
      <c r="G629" s="69"/>
      <c r="H629" s="69"/>
      <c r="I629" s="69"/>
      <c r="J629" s="69"/>
      <c r="K629" s="240" t="s">
        <v>122</v>
      </c>
      <c r="L629" s="238"/>
      <c r="M629" s="239">
        <f>SUM(M624:N628)</f>
        <v>9511527.9626333993</v>
      </c>
      <c r="N629" s="238"/>
      <c r="O629" s="169"/>
    </row>
    <row r="630" spans="1:15" x14ac:dyDescent="0.25">
      <c r="O630" s="124">
        <v>21.877948939800199</v>
      </c>
    </row>
    <row r="631" spans="1:15" x14ac:dyDescent="0.25">
      <c r="A631" s="241" t="str">
        <f>Productos!B23</f>
        <v>Diseño de Red contra incendios y datos. Incluye memorias de cálculos y especificaciones técnicas.</v>
      </c>
      <c r="B631" s="242"/>
      <c r="C631" s="242"/>
      <c r="D631" s="242"/>
      <c r="E631" s="242"/>
      <c r="F631" s="242"/>
      <c r="G631" s="242"/>
      <c r="H631" s="242"/>
      <c r="I631" s="242"/>
      <c r="J631" s="242"/>
      <c r="K631" s="242"/>
      <c r="L631" s="242"/>
      <c r="M631" s="242"/>
      <c r="N631" s="243"/>
    </row>
    <row r="632" spans="1:15" x14ac:dyDescent="0.25">
      <c r="A632" s="244"/>
      <c r="B632" s="245"/>
      <c r="C632" s="245"/>
      <c r="D632" s="245"/>
      <c r="E632" s="245"/>
      <c r="F632" s="245"/>
      <c r="G632" s="245"/>
      <c r="H632" s="245"/>
      <c r="I632" s="245"/>
      <c r="J632" s="245"/>
      <c r="K632" s="245"/>
      <c r="L632" s="245"/>
      <c r="M632" s="245"/>
      <c r="N632" s="246"/>
    </row>
    <row r="633" spans="1:15" x14ac:dyDescent="0.25">
      <c r="A633" s="39">
        <v>1</v>
      </c>
      <c r="B633" s="39">
        <v>2</v>
      </c>
      <c r="C633" s="39">
        <v>3</v>
      </c>
      <c r="D633" s="39">
        <v>4</v>
      </c>
      <c r="E633" s="39">
        <v>5</v>
      </c>
      <c r="F633" s="39">
        <v>6</v>
      </c>
      <c r="G633" s="39">
        <v>7</v>
      </c>
      <c r="H633" s="39">
        <v>8</v>
      </c>
      <c r="I633" s="39">
        <v>9</v>
      </c>
      <c r="J633" s="39">
        <v>10</v>
      </c>
      <c r="K633" s="39">
        <v>11</v>
      </c>
      <c r="L633" s="39">
        <v>12</v>
      </c>
      <c r="M633" s="39">
        <v>13</v>
      </c>
      <c r="N633" s="39">
        <v>14</v>
      </c>
    </row>
    <row r="634" spans="1:15" ht="15.75" x14ac:dyDescent="0.3">
      <c r="A634" s="114">
        <f>Productos!A267</f>
        <v>0</v>
      </c>
      <c r="B634" s="59" t="str">
        <f>A631</f>
        <v>Diseño de Red contra incendios y datos. Incluye memorias de cálculos y especificaciones técnicas.</v>
      </c>
      <c r="C634" s="85" t="s">
        <v>113</v>
      </c>
      <c r="D634" s="60" t="s">
        <v>127</v>
      </c>
      <c r="E634" s="86" t="s">
        <v>114</v>
      </c>
      <c r="F634" s="61">
        <f>H634+J634+L634+N634</f>
        <v>9554517.6364705879</v>
      </c>
      <c r="G634" s="86" t="s">
        <v>115</v>
      </c>
      <c r="H634" s="62">
        <f>M651</f>
        <v>52941.176470588238</v>
      </c>
      <c r="I634" s="86" t="s">
        <v>116</v>
      </c>
      <c r="J634" s="63">
        <f>M642</f>
        <v>352941.17647058825</v>
      </c>
      <c r="K634" s="86" t="s">
        <v>117</v>
      </c>
      <c r="L634" s="62">
        <f>M660</f>
        <v>0</v>
      </c>
      <c r="M634" s="86" t="s">
        <v>118</v>
      </c>
      <c r="N634" s="64">
        <f>M673</f>
        <v>9148635.283529412</v>
      </c>
    </row>
    <row r="635" spans="1:15" ht="15" customHeight="1" x14ac:dyDescent="0.25">
      <c r="A635" s="65"/>
      <c r="B635" s="65"/>
      <c r="C635" s="65"/>
      <c r="D635" s="65"/>
      <c r="E635" s="65"/>
      <c r="F635" s="65"/>
      <c r="G635" s="65"/>
      <c r="H635" s="66"/>
      <c r="I635" s="66"/>
      <c r="J635" s="65"/>
      <c r="K635" s="65"/>
      <c r="L635" s="65"/>
      <c r="M635" s="65"/>
      <c r="N635" s="65"/>
    </row>
    <row r="636" spans="1:15" x14ac:dyDescent="0.25">
      <c r="A636" s="247" t="s">
        <v>119</v>
      </c>
      <c r="B636" s="237"/>
      <c r="C636" s="237"/>
      <c r="D636" s="237"/>
      <c r="E636" s="237"/>
      <c r="F636" s="237"/>
      <c r="G636" s="237"/>
      <c r="H636" s="237"/>
      <c r="I636" s="237"/>
      <c r="J636" s="237"/>
      <c r="K636" s="237"/>
      <c r="L636" s="237"/>
      <c r="M636" s="237"/>
      <c r="N636" s="238"/>
    </row>
    <row r="637" spans="1:15" x14ac:dyDescent="0.25">
      <c r="A637" s="240" t="s">
        <v>76</v>
      </c>
      <c r="B637" s="237"/>
      <c r="C637" s="237"/>
      <c r="D637" s="237"/>
      <c r="E637" s="237"/>
      <c r="F637" s="237"/>
      <c r="G637" s="238"/>
      <c r="H637" s="67" t="s">
        <v>46</v>
      </c>
      <c r="I637" s="248" t="s">
        <v>120</v>
      </c>
      <c r="J637" s="238"/>
      <c r="K637" s="248" t="s">
        <v>47</v>
      </c>
      <c r="L637" s="238"/>
      <c r="M637" s="248" t="s">
        <v>121</v>
      </c>
      <c r="N637" s="238"/>
    </row>
    <row r="638" spans="1:15" x14ac:dyDescent="0.25">
      <c r="A638" s="249" t="str">
        <f>PROFESIONALES!$B$30</f>
        <v>Alquiler oficina</v>
      </c>
      <c r="B638" s="237"/>
      <c r="C638" s="237"/>
      <c r="D638" s="237"/>
      <c r="E638" s="237"/>
      <c r="F638" s="237"/>
      <c r="G638" s="238"/>
      <c r="H638" s="68" t="str">
        <f>PROFESIONALES!$D$30</f>
        <v>MES</v>
      </c>
      <c r="I638" s="239">
        <f>PROFESIONALES!$F$30</f>
        <v>500000</v>
      </c>
      <c r="J638" s="238"/>
      <c r="K638" s="250">
        <f>PROFESIONALES!H30/APUS!Z22</f>
        <v>0.17647058823529413</v>
      </c>
      <c r="L638" s="238"/>
      <c r="M638" s="239">
        <f>K638*I638</f>
        <v>88235.294117647063</v>
      </c>
      <c r="N638" s="254"/>
    </row>
    <row r="639" spans="1:15" x14ac:dyDescent="0.25">
      <c r="A639" s="249" t="str">
        <f>PROFESIONALES!$B$32</f>
        <v>Gastos de oficina (Impresión de informes y planos)</v>
      </c>
      <c r="B639" s="237"/>
      <c r="C639" s="237"/>
      <c r="D639" s="237"/>
      <c r="E639" s="237"/>
      <c r="F639" s="237"/>
      <c r="G639" s="238"/>
      <c r="H639" s="68" t="str">
        <f>PROFESIONALES!$D$32</f>
        <v>COPIA</v>
      </c>
      <c r="I639" s="239">
        <f>PROFESIONALES!$F$32</f>
        <v>1500000</v>
      </c>
      <c r="J639" s="238"/>
      <c r="K639" s="250">
        <f>PROFESIONALES!$H$32*PROFESIONALES!E32/Z22</f>
        <v>0.17647058823529413</v>
      </c>
      <c r="L639" s="238"/>
      <c r="M639" s="239">
        <f t="shared" ref="M639" si="34">K639*I639</f>
        <v>264705.8823529412</v>
      </c>
      <c r="N639" s="254"/>
    </row>
    <row r="640" spans="1:15" x14ac:dyDescent="0.25">
      <c r="A640" s="255"/>
      <c r="B640" s="256"/>
      <c r="C640" s="256"/>
      <c r="D640" s="256"/>
      <c r="E640" s="256"/>
      <c r="F640" s="256"/>
      <c r="G640" s="257"/>
      <c r="H640" s="73"/>
      <c r="I640" s="258"/>
      <c r="J640" s="257"/>
      <c r="K640" s="259"/>
      <c r="L640" s="257"/>
      <c r="M640" s="258"/>
      <c r="N640" s="257"/>
    </row>
    <row r="641" spans="1:14" x14ac:dyDescent="0.25">
      <c r="A641" s="249"/>
      <c r="B641" s="237"/>
      <c r="C641" s="237"/>
      <c r="D641" s="237"/>
      <c r="E641" s="237"/>
      <c r="F641" s="237"/>
      <c r="G641" s="238"/>
      <c r="H641" s="68" t="str">
        <f>IF(A641="","",VLOOKUP(A641,AA_Materiales,7,FALSE))</f>
        <v/>
      </c>
      <c r="I641" s="239" t="str">
        <f>IF(A641="","",VLOOKUP(A641,AA_Materiales,8,FALSE))</f>
        <v/>
      </c>
      <c r="J641" s="238"/>
      <c r="K641" s="250"/>
      <c r="L641" s="238"/>
      <c r="M641" s="239" t="str">
        <f>IF(A641="","",I641*K641)</f>
        <v/>
      </c>
      <c r="N641" s="238"/>
    </row>
    <row r="642" spans="1:14" x14ac:dyDescent="0.25">
      <c r="A642" s="69"/>
      <c r="B642" s="69"/>
      <c r="C642" s="69"/>
      <c r="D642" s="69"/>
      <c r="E642" s="69"/>
      <c r="F642" s="69"/>
      <c r="G642" s="69"/>
      <c r="H642" s="69"/>
      <c r="I642" s="69"/>
      <c r="J642" s="69"/>
      <c r="K642" s="240" t="s">
        <v>122</v>
      </c>
      <c r="L642" s="238"/>
      <c r="M642" s="239">
        <f>SUM(M638:N641)</f>
        <v>352941.17647058825</v>
      </c>
      <c r="N642" s="238"/>
    </row>
    <row r="643" spans="1:14" x14ac:dyDescent="0.25">
      <c r="A643" s="69"/>
      <c r="B643" s="69"/>
      <c r="C643" s="69"/>
      <c r="D643" s="69"/>
      <c r="E643" s="69"/>
      <c r="F643" s="69"/>
      <c r="G643" s="69"/>
      <c r="H643" s="69"/>
      <c r="I643" s="69"/>
      <c r="J643" s="69"/>
      <c r="K643" s="69"/>
      <c r="L643" s="69"/>
      <c r="M643" s="69"/>
      <c r="N643" s="69"/>
    </row>
    <row r="644" spans="1:14" x14ac:dyDescent="0.25">
      <c r="A644" s="247" t="s">
        <v>123</v>
      </c>
      <c r="B644" s="237"/>
      <c r="C644" s="237"/>
      <c r="D644" s="237"/>
      <c r="E644" s="237"/>
      <c r="F644" s="237"/>
      <c r="G644" s="237"/>
      <c r="H644" s="237"/>
      <c r="I644" s="237"/>
      <c r="J644" s="237"/>
      <c r="K644" s="237"/>
      <c r="L644" s="237"/>
      <c r="M644" s="237"/>
      <c r="N644" s="238"/>
    </row>
    <row r="645" spans="1:14" x14ac:dyDescent="0.25">
      <c r="A645" s="240" t="s">
        <v>76</v>
      </c>
      <c r="B645" s="237"/>
      <c r="C645" s="237"/>
      <c r="D645" s="237"/>
      <c r="E645" s="237"/>
      <c r="F645" s="237"/>
      <c r="G645" s="238"/>
      <c r="H645" s="67" t="s">
        <v>46</v>
      </c>
      <c r="I645" s="248" t="s">
        <v>120</v>
      </c>
      <c r="J645" s="238"/>
      <c r="K645" s="248" t="s">
        <v>47</v>
      </c>
      <c r="L645" s="238"/>
      <c r="M645" s="248" t="s">
        <v>121</v>
      </c>
      <c r="N645" s="238"/>
    </row>
    <row r="646" spans="1:14" x14ac:dyDescent="0.25">
      <c r="A646" s="252" t="str">
        <f>PROFESIONALES!$B$31</f>
        <v>Servicios Públicos</v>
      </c>
      <c r="B646" s="237"/>
      <c r="C646" s="237"/>
      <c r="D646" s="237"/>
      <c r="E646" s="237"/>
      <c r="F646" s="237"/>
      <c r="G646" s="238"/>
      <c r="H646" s="68" t="str">
        <f>PROFESIONALES!$D$31</f>
        <v>MES</v>
      </c>
      <c r="I646" s="239">
        <f>PROFESIONALES!$F$31</f>
        <v>300000</v>
      </c>
      <c r="J646" s="238"/>
      <c r="K646" s="250">
        <f>PROFESIONALES!H9/Z22</f>
        <v>0.17647058823529413</v>
      </c>
      <c r="L646" s="251"/>
      <c r="M646" s="239">
        <f>K646*I646</f>
        <v>52941.176470588238</v>
      </c>
      <c r="N646" s="254"/>
    </row>
    <row r="647" spans="1:14" ht="15" customHeight="1" x14ac:dyDescent="0.25">
      <c r="A647" s="252"/>
      <c r="B647" s="237"/>
      <c r="C647" s="237"/>
      <c r="D647" s="237"/>
      <c r="E647" s="237"/>
      <c r="F647" s="237"/>
      <c r="G647" s="238"/>
      <c r="H647" s="68" t="str">
        <f>IF(A647="","",VLOOKUP(A647,AA_Equipos,7,FALSE))</f>
        <v/>
      </c>
      <c r="I647" s="239" t="str">
        <f>IF(A647="","",VLOOKUP(A647,AA_Materiales,8,FALSE))</f>
        <v/>
      </c>
      <c r="J647" s="238"/>
      <c r="K647" s="253"/>
      <c r="L647" s="238"/>
      <c r="M647" s="239" t="str">
        <f>IF(A647="","",I647*K647)</f>
        <v/>
      </c>
      <c r="N647" s="238"/>
    </row>
    <row r="648" spans="1:14" x14ac:dyDescent="0.25">
      <c r="A648" s="249"/>
      <c r="B648" s="237"/>
      <c r="C648" s="237"/>
      <c r="D648" s="237"/>
      <c r="E648" s="237"/>
      <c r="F648" s="237"/>
      <c r="G648" s="238"/>
      <c r="H648" s="68" t="str">
        <f>IF(A648="","",VLOOKUP(A648,AA_Equipos,7,FALSE))</f>
        <v/>
      </c>
      <c r="I648" s="239" t="str">
        <f>IF(A648="","",VLOOKUP(A648,AA_Materiales,8,FALSE))</f>
        <v/>
      </c>
      <c r="J648" s="238"/>
      <c r="K648" s="250"/>
      <c r="L648" s="238"/>
      <c r="M648" s="239" t="str">
        <f>IF(A648="","",I648*K648)</f>
        <v/>
      </c>
      <c r="N648" s="238"/>
    </row>
    <row r="649" spans="1:14" x14ac:dyDescent="0.25">
      <c r="A649" s="249"/>
      <c r="B649" s="237"/>
      <c r="C649" s="237"/>
      <c r="D649" s="237"/>
      <c r="E649" s="237"/>
      <c r="F649" s="237"/>
      <c r="G649" s="238"/>
      <c r="H649" s="68" t="str">
        <f>IF(A649="","",VLOOKUP(A649,AA_Equipos,7,FALSE))</f>
        <v/>
      </c>
      <c r="I649" s="239" t="str">
        <f>IF(A649="","",VLOOKUP(A649,AA_Materiales,8,FALSE))</f>
        <v/>
      </c>
      <c r="J649" s="238"/>
      <c r="K649" s="250"/>
      <c r="L649" s="238"/>
      <c r="M649" s="239" t="str">
        <f>IF(A649="","",I649*K649)</f>
        <v/>
      </c>
      <c r="N649" s="238"/>
    </row>
    <row r="650" spans="1:14" x14ac:dyDescent="0.25">
      <c r="A650" s="249"/>
      <c r="B650" s="237"/>
      <c r="C650" s="237"/>
      <c r="D650" s="237"/>
      <c r="E650" s="237"/>
      <c r="F650" s="237"/>
      <c r="G650" s="238"/>
      <c r="H650" s="68" t="str">
        <f>IF(A650="","",VLOOKUP(A650,AA_Equipos,7,FALSE))</f>
        <v/>
      </c>
      <c r="I650" s="239" t="str">
        <f>IF(A650="","",VLOOKUP(A650,AA_Materiales,8,FALSE))</f>
        <v/>
      </c>
      <c r="J650" s="238"/>
      <c r="K650" s="250"/>
      <c r="L650" s="238"/>
      <c r="M650" s="239" t="str">
        <f>IF(A650="","",I650*K650)</f>
        <v/>
      </c>
      <c r="N650" s="238"/>
    </row>
    <row r="651" spans="1:14" x14ac:dyDescent="0.25">
      <c r="A651" s="69"/>
      <c r="B651" s="69"/>
      <c r="C651" s="69"/>
      <c r="D651" s="69"/>
      <c r="E651" s="69"/>
      <c r="F651" s="69"/>
      <c r="G651" s="69"/>
      <c r="H651" s="69"/>
      <c r="I651" s="69"/>
      <c r="J651" s="69"/>
      <c r="K651" s="240" t="s">
        <v>122</v>
      </c>
      <c r="L651" s="238"/>
      <c r="M651" s="239">
        <f>SUM(M646:N650)</f>
        <v>52941.176470588238</v>
      </c>
      <c r="N651" s="238"/>
    </row>
    <row r="652" spans="1:14" x14ac:dyDescent="0.25">
      <c r="A652" s="69"/>
      <c r="B652" s="69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  <c r="N652" s="69"/>
    </row>
    <row r="653" spans="1:14" x14ac:dyDescent="0.25">
      <c r="A653" s="247" t="s">
        <v>124</v>
      </c>
      <c r="B653" s="237"/>
      <c r="C653" s="237"/>
      <c r="D653" s="237"/>
      <c r="E653" s="237"/>
      <c r="F653" s="237"/>
      <c r="G653" s="237"/>
      <c r="H653" s="237"/>
      <c r="I653" s="237"/>
      <c r="J653" s="237"/>
      <c r="K653" s="237"/>
      <c r="L653" s="237"/>
      <c r="M653" s="237"/>
      <c r="N653" s="238"/>
    </row>
    <row r="654" spans="1:14" x14ac:dyDescent="0.25">
      <c r="A654" s="240" t="s">
        <v>76</v>
      </c>
      <c r="B654" s="237"/>
      <c r="C654" s="237"/>
      <c r="D654" s="237"/>
      <c r="E654" s="237"/>
      <c r="F654" s="237"/>
      <c r="G654" s="238"/>
      <c r="H654" s="67" t="s">
        <v>46</v>
      </c>
      <c r="I654" s="248" t="s">
        <v>120</v>
      </c>
      <c r="J654" s="238"/>
      <c r="K654" s="248" t="s">
        <v>47</v>
      </c>
      <c r="L654" s="238"/>
      <c r="M654" s="248" t="s">
        <v>121</v>
      </c>
      <c r="N654" s="238"/>
    </row>
    <row r="655" spans="1:14" x14ac:dyDescent="0.25">
      <c r="A655" s="249"/>
      <c r="B655" s="237"/>
      <c r="C655" s="237"/>
      <c r="D655" s="237"/>
      <c r="E655" s="237"/>
      <c r="F655" s="237"/>
      <c r="G655" s="238"/>
      <c r="H655" s="68"/>
      <c r="I655" s="239"/>
      <c r="J655" s="238"/>
      <c r="K655" s="250"/>
      <c r="L655" s="251"/>
      <c r="M655" s="239"/>
      <c r="N655" s="238"/>
    </row>
    <row r="656" spans="1:14" x14ac:dyDescent="0.25">
      <c r="A656" s="252"/>
      <c r="B656" s="237"/>
      <c r="C656" s="237"/>
      <c r="D656" s="237"/>
      <c r="E656" s="237"/>
      <c r="F656" s="237"/>
      <c r="G656" s="238"/>
      <c r="H656" s="68"/>
      <c r="I656" s="239"/>
      <c r="J656" s="238"/>
      <c r="K656" s="253"/>
      <c r="L656" s="238"/>
      <c r="M656" s="239"/>
      <c r="N656" s="238"/>
    </row>
    <row r="657" spans="1:14" x14ac:dyDescent="0.25">
      <c r="A657" s="249"/>
      <c r="B657" s="237"/>
      <c r="C657" s="237"/>
      <c r="D657" s="237"/>
      <c r="E657" s="237"/>
      <c r="F657" s="237"/>
      <c r="G657" s="238"/>
      <c r="H657" s="68"/>
      <c r="I657" s="239"/>
      <c r="J657" s="238"/>
      <c r="K657" s="250"/>
      <c r="L657" s="238"/>
      <c r="M657" s="239" t="str">
        <f>IF(A657="","",I657*K657)</f>
        <v/>
      </c>
      <c r="N657" s="238"/>
    </row>
    <row r="658" spans="1:14" x14ac:dyDescent="0.25">
      <c r="A658" s="249"/>
      <c r="B658" s="237"/>
      <c r="C658" s="237"/>
      <c r="D658" s="237"/>
      <c r="E658" s="237"/>
      <c r="F658" s="237"/>
      <c r="G658" s="238"/>
      <c r="H658" s="68"/>
      <c r="I658" s="239"/>
      <c r="J658" s="238"/>
      <c r="K658" s="250"/>
      <c r="L658" s="238"/>
      <c r="M658" s="239" t="str">
        <f>IF(A658="","",I658*K658)</f>
        <v/>
      </c>
      <c r="N658" s="238"/>
    </row>
    <row r="659" spans="1:14" x14ac:dyDescent="0.25">
      <c r="A659" s="249"/>
      <c r="B659" s="237"/>
      <c r="C659" s="237"/>
      <c r="D659" s="237"/>
      <c r="E659" s="237"/>
      <c r="F659" s="237"/>
      <c r="G659" s="238"/>
      <c r="H659" s="68"/>
      <c r="I659" s="239"/>
      <c r="J659" s="238"/>
      <c r="K659" s="250"/>
      <c r="L659" s="238"/>
      <c r="M659" s="239" t="str">
        <f>IF(A659="","",I659*K659)</f>
        <v/>
      </c>
      <c r="N659" s="238"/>
    </row>
    <row r="660" spans="1:14" x14ac:dyDescent="0.25">
      <c r="A660" s="69"/>
      <c r="B660" s="69"/>
      <c r="C660" s="69"/>
      <c r="D660" s="69"/>
      <c r="E660" s="69"/>
      <c r="F660" s="69"/>
      <c r="G660" s="69"/>
      <c r="H660" s="69"/>
      <c r="I660" s="69"/>
      <c r="J660" s="69"/>
      <c r="K660" s="240" t="s">
        <v>122</v>
      </c>
      <c r="L660" s="238"/>
      <c r="M660" s="239">
        <f>SUM(M655:N659)</f>
        <v>0</v>
      </c>
      <c r="N660" s="238"/>
    </row>
    <row r="661" spans="1:14" x14ac:dyDescent="0.25">
      <c r="A661" s="69"/>
      <c r="B661" s="69"/>
      <c r="C661" s="69"/>
      <c r="D661" s="69"/>
      <c r="E661" s="69"/>
      <c r="F661" s="69"/>
      <c r="G661" s="69"/>
      <c r="H661" s="69"/>
      <c r="I661" s="69"/>
      <c r="J661" s="69"/>
      <c r="K661" s="69"/>
      <c r="L661" s="69"/>
      <c r="M661" s="69"/>
      <c r="N661" s="69"/>
    </row>
    <row r="662" spans="1:14" x14ac:dyDescent="0.25">
      <c r="A662" s="247" t="s">
        <v>125</v>
      </c>
      <c r="B662" s="237"/>
      <c r="C662" s="237"/>
      <c r="D662" s="237"/>
      <c r="E662" s="237"/>
      <c r="F662" s="237"/>
      <c r="G662" s="237"/>
      <c r="H662" s="237"/>
      <c r="I662" s="237"/>
      <c r="J662" s="237"/>
      <c r="K662" s="237"/>
      <c r="L662" s="237"/>
      <c r="M662" s="237"/>
      <c r="N662" s="238"/>
    </row>
    <row r="663" spans="1:14" x14ac:dyDescent="0.25">
      <c r="A663" s="240" t="s">
        <v>76</v>
      </c>
      <c r="B663" s="237"/>
      <c r="C663" s="237"/>
      <c r="D663" s="237"/>
      <c r="E663" s="237"/>
      <c r="F663" s="237"/>
      <c r="G663" s="238"/>
      <c r="H663" s="67" t="s">
        <v>46</v>
      </c>
      <c r="I663" s="248" t="s">
        <v>120</v>
      </c>
      <c r="J663" s="238"/>
      <c r="K663" s="70" t="s">
        <v>126</v>
      </c>
      <c r="L663" s="71" t="s">
        <v>128</v>
      </c>
      <c r="M663" s="248" t="s">
        <v>121</v>
      </c>
      <c r="N663" s="238"/>
    </row>
    <row r="664" spans="1:14" x14ac:dyDescent="0.25">
      <c r="A664" s="236" t="str">
        <f>PROFESIONALES!$B$9</f>
        <v>Director de consultoria</v>
      </c>
      <c r="B664" s="237"/>
      <c r="C664" s="237"/>
      <c r="D664" s="237"/>
      <c r="E664" s="237"/>
      <c r="F664" s="237"/>
      <c r="G664" s="238"/>
      <c r="H664" s="68" t="s">
        <v>80</v>
      </c>
      <c r="I664" s="239">
        <f>PROFESIONALES!$F$9</f>
        <v>7691776</v>
      </c>
      <c r="J664" s="238"/>
      <c r="K664" s="45">
        <f>PROFESIONALES!I$24</f>
        <v>2</v>
      </c>
      <c r="L664" s="72">
        <f>V6*AL6*30</f>
        <v>1.0588235294117649</v>
      </c>
      <c r="M664" s="239">
        <f t="shared" ref="M664:M667" si="35">I664*K664*L664/30</f>
        <v>542948.8941176472</v>
      </c>
      <c r="N664" s="238"/>
    </row>
    <row r="665" spans="1:14" x14ac:dyDescent="0.25">
      <c r="A665" s="236" t="str">
        <f>PROFESIONALES!$B$20</f>
        <v>Delineante</v>
      </c>
      <c r="B665" s="237"/>
      <c r="C665" s="237"/>
      <c r="D665" s="237"/>
      <c r="E665" s="237"/>
      <c r="F665" s="237"/>
      <c r="G665" s="238"/>
      <c r="H665" s="68" t="s">
        <v>80</v>
      </c>
      <c r="I665" s="239">
        <f>PROFESIONALES!$F$20</f>
        <v>2751081</v>
      </c>
      <c r="J665" s="238"/>
      <c r="K665" s="45">
        <f>PROFESIONALES!I$24</f>
        <v>2</v>
      </c>
      <c r="L665" s="45">
        <f>V18*AL18*30</f>
        <v>0.90000000000000013</v>
      </c>
      <c r="M665" s="239">
        <f t="shared" si="35"/>
        <v>165064.86000000002</v>
      </c>
      <c r="N665" s="238"/>
    </row>
    <row r="666" spans="1:14" x14ac:dyDescent="0.25">
      <c r="A666" s="236" t="str">
        <f>PROFESIONALES!$B$15</f>
        <v>Profesional de apoyo</v>
      </c>
      <c r="B666" s="237"/>
      <c r="C666" s="237"/>
      <c r="D666" s="237"/>
      <c r="E666" s="237"/>
      <c r="F666" s="237"/>
      <c r="G666" s="238"/>
      <c r="H666" s="68" t="s">
        <v>80</v>
      </c>
      <c r="I666" s="239">
        <f>PROFESIONALES!$F$15</f>
        <v>5582300</v>
      </c>
      <c r="J666" s="238"/>
      <c r="K666" s="45">
        <f>PROFESIONALES!I$24</f>
        <v>2</v>
      </c>
      <c r="L666" s="45">
        <f>V12*AL12*30</f>
        <v>5.2941176470588234</v>
      </c>
      <c r="M666" s="239">
        <f t="shared" si="35"/>
        <v>1970223.5294117646</v>
      </c>
      <c r="N666" s="238"/>
    </row>
    <row r="667" spans="1:14" x14ac:dyDescent="0.25">
      <c r="A667" s="236" t="str">
        <f>PROFESIONALES!B22</f>
        <v>Profesional RCI</v>
      </c>
      <c r="B667" s="237"/>
      <c r="C667" s="237"/>
      <c r="D667" s="237"/>
      <c r="E667" s="237"/>
      <c r="F667" s="237"/>
      <c r="G667" s="238"/>
      <c r="H667" s="68" t="s">
        <v>80</v>
      </c>
      <c r="I667" s="239">
        <f>PROFESIONALES!F22</f>
        <v>5582300</v>
      </c>
      <c r="J667" s="238"/>
      <c r="K667" s="45">
        <f>PROFESIONALES!I$24</f>
        <v>2</v>
      </c>
      <c r="L667" s="45">
        <v>6</v>
      </c>
      <c r="M667" s="239">
        <f t="shared" si="35"/>
        <v>2232920</v>
      </c>
      <c r="N667" s="238"/>
    </row>
    <row r="668" spans="1:14" x14ac:dyDescent="0.25">
      <c r="A668" s="236" t="str">
        <f>PROFESIONALES!B12</f>
        <v>Especialista Hidráulico</v>
      </c>
      <c r="B668" s="237"/>
      <c r="C668" s="237"/>
      <c r="D668" s="237"/>
      <c r="E668" s="237"/>
      <c r="F668" s="237"/>
      <c r="G668" s="238"/>
      <c r="H668" s="68" t="s">
        <v>80</v>
      </c>
      <c r="I668" s="239">
        <f>PROFESIONALES!F12</f>
        <v>6356217</v>
      </c>
      <c r="J668" s="238"/>
      <c r="K668" s="45">
        <f>PROFESIONALES!I$24</f>
        <v>2</v>
      </c>
      <c r="L668" s="45">
        <v>8</v>
      </c>
      <c r="M668" s="239">
        <f t="shared" ref="M668" si="36">I668*K668*L668/30</f>
        <v>3389982.4</v>
      </c>
      <c r="N668" s="238"/>
    </row>
    <row r="669" spans="1:14" x14ac:dyDescent="0.25">
      <c r="A669" s="236" t="str">
        <f>PROFESIONALES!B14</f>
        <v xml:space="preserve">Especialista Veterinario </v>
      </c>
      <c r="B669" s="237"/>
      <c r="C669" s="237"/>
      <c r="D669" s="237"/>
      <c r="E669" s="237"/>
      <c r="F669" s="237"/>
      <c r="G669" s="238"/>
      <c r="H669" s="68" t="s">
        <v>80</v>
      </c>
      <c r="I669" s="239">
        <f>PROFESIONALES!F14</f>
        <v>6356217</v>
      </c>
      <c r="J669" s="238"/>
      <c r="K669" s="45">
        <f>PROFESIONALES!I$24</f>
        <v>2</v>
      </c>
      <c r="L669" s="45">
        <v>2</v>
      </c>
      <c r="M669" s="239">
        <f t="shared" ref="M669" si="37">I669*K669*L669/30</f>
        <v>847495.6</v>
      </c>
      <c r="N669" s="238"/>
    </row>
    <row r="670" spans="1:14" x14ac:dyDescent="0.25">
      <c r="A670" s="236"/>
      <c r="B670" s="237"/>
      <c r="C670" s="237"/>
      <c r="D670" s="237"/>
      <c r="E670" s="237"/>
      <c r="F670" s="237"/>
      <c r="G670" s="238"/>
      <c r="H670" s="68"/>
      <c r="I670" s="239"/>
      <c r="J670" s="238"/>
      <c r="K670" s="45"/>
      <c r="L670" s="45"/>
      <c r="M670" s="239"/>
      <c r="N670" s="238"/>
    </row>
    <row r="671" spans="1:14" x14ac:dyDescent="0.25">
      <c r="A671" s="236"/>
      <c r="B671" s="237"/>
      <c r="C671" s="237"/>
      <c r="D671" s="237"/>
      <c r="E671" s="237"/>
      <c r="F671" s="237"/>
      <c r="G671" s="238"/>
      <c r="H671" s="68"/>
      <c r="I671" s="239"/>
      <c r="J671" s="238"/>
      <c r="K671" s="45"/>
      <c r="L671" s="45"/>
      <c r="M671" s="239"/>
      <c r="N671" s="238"/>
    </row>
    <row r="672" spans="1:14" x14ac:dyDescent="0.25">
      <c r="A672" s="236"/>
      <c r="B672" s="237"/>
      <c r="C672" s="237"/>
      <c r="D672" s="237"/>
      <c r="E672" s="237"/>
      <c r="F672" s="237"/>
      <c r="G672" s="238"/>
      <c r="H672" s="68"/>
      <c r="I672" s="239"/>
      <c r="J672" s="238"/>
      <c r="K672" s="45"/>
      <c r="L672" s="45"/>
      <c r="M672" s="239"/>
      <c r="N672" s="238"/>
    </row>
    <row r="673" spans="1:15" x14ac:dyDescent="0.25">
      <c r="A673" s="69"/>
      <c r="B673" s="69"/>
      <c r="C673" s="69"/>
      <c r="D673" s="69"/>
      <c r="E673" s="69"/>
      <c r="F673" s="69"/>
      <c r="G673" s="69"/>
      <c r="H673" s="69"/>
      <c r="I673" s="69"/>
      <c r="J673" s="69"/>
      <c r="K673" s="240" t="s">
        <v>122</v>
      </c>
      <c r="L673" s="238"/>
      <c r="M673" s="239">
        <f>SUM(M664:N672)</f>
        <v>9148635.283529412</v>
      </c>
      <c r="N673" s="238"/>
    </row>
    <row r="675" spans="1:15" x14ac:dyDescent="0.25">
      <c r="A675" s="241" t="str">
        <f>Productos!B24</f>
        <v>Estudio de sostenibilidad economica</v>
      </c>
      <c r="B675" s="242"/>
      <c r="C675" s="242"/>
      <c r="D675" s="242"/>
      <c r="E675" s="242"/>
      <c r="F675" s="242"/>
      <c r="G675" s="242"/>
      <c r="H675" s="242"/>
      <c r="I675" s="242"/>
      <c r="J675" s="242"/>
      <c r="K675" s="242"/>
      <c r="L675" s="242"/>
      <c r="M675" s="242"/>
      <c r="N675" s="243"/>
    </row>
    <row r="676" spans="1:15" x14ac:dyDescent="0.25">
      <c r="A676" s="244"/>
      <c r="B676" s="245"/>
      <c r="C676" s="245"/>
      <c r="D676" s="245"/>
      <c r="E676" s="245"/>
      <c r="F676" s="245"/>
      <c r="G676" s="245"/>
      <c r="H676" s="245"/>
      <c r="I676" s="245"/>
      <c r="J676" s="245"/>
      <c r="K676" s="245"/>
      <c r="L676" s="245"/>
      <c r="M676" s="245"/>
      <c r="N676" s="246"/>
    </row>
    <row r="677" spans="1:15" x14ac:dyDescent="0.25">
      <c r="A677" s="39">
        <v>1</v>
      </c>
      <c r="B677" s="39">
        <v>2</v>
      </c>
      <c r="C677" s="39">
        <v>3</v>
      </c>
      <c r="D677" s="39">
        <v>4</v>
      </c>
      <c r="E677" s="39">
        <v>5</v>
      </c>
      <c r="F677" s="39">
        <v>6</v>
      </c>
      <c r="G677" s="39">
        <v>7</v>
      </c>
      <c r="H677" s="39">
        <v>8</v>
      </c>
      <c r="I677" s="39">
        <v>9</v>
      </c>
      <c r="J677" s="39">
        <v>10</v>
      </c>
      <c r="K677" s="39">
        <v>11</v>
      </c>
      <c r="L677" s="39">
        <v>12</v>
      </c>
      <c r="M677" s="39">
        <v>13</v>
      </c>
      <c r="N677" s="39">
        <v>14</v>
      </c>
    </row>
    <row r="678" spans="1:15" ht="15.75" x14ac:dyDescent="0.3">
      <c r="A678" s="114">
        <f>Productos!A106</f>
        <v>0</v>
      </c>
      <c r="B678" s="59" t="str">
        <f>A675</f>
        <v>Estudio de sostenibilidad economica</v>
      </c>
      <c r="C678" s="85" t="s">
        <v>113</v>
      </c>
      <c r="D678" s="60" t="s">
        <v>127</v>
      </c>
      <c r="E678" s="86" t="s">
        <v>114</v>
      </c>
      <c r="F678" s="61">
        <f>H678+J678+L678+N678</f>
        <v>9355568.41820742</v>
      </c>
      <c r="G678" s="86" t="s">
        <v>115</v>
      </c>
      <c r="H678" s="62">
        <f>M695</f>
        <v>150000</v>
      </c>
      <c r="I678" s="86" t="s">
        <v>116</v>
      </c>
      <c r="J678" s="63">
        <f>M686</f>
        <v>1000000</v>
      </c>
      <c r="K678" s="86" t="s">
        <v>117</v>
      </c>
      <c r="L678" s="62">
        <f>M704</f>
        <v>0</v>
      </c>
      <c r="M678" s="86" t="s">
        <v>118</v>
      </c>
      <c r="N678" s="64">
        <f>M713</f>
        <v>8205568.41820742</v>
      </c>
      <c r="O678" s="178"/>
    </row>
    <row r="679" spans="1:15" x14ac:dyDescent="0.25">
      <c r="A679" s="65"/>
      <c r="B679" s="65"/>
      <c r="C679" s="65"/>
      <c r="D679" s="65"/>
      <c r="E679" s="65"/>
      <c r="F679" s="171">
        <f>F678-0.0137</f>
        <v>9355568.404507421</v>
      </c>
      <c r="G679" s="65"/>
      <c r="H679" s="66"/>
      <c r="I679" s="66"/>
      <c r="J679" s="65"/>
      <c r="K679" s="65"/>
      <c r="L679" s="65"/>
      <c r="M679" s="65"/>
      <c r="N679" s="65"/>
    </row>
    <row r="680" spans="1:15" x14ac:dyDescent="0.25">
      <c r="A680" s="247" t="s">
        <v>119</v>
      </c>
      <c r="B680" s="237"/>
      <c r="C680" s="237"/>
      <c r="D680" s="237"/>
      <c r="E680" s="237"/>
      <c r="F680" s="237"/>
      <c r="G680" s="237"/>
      <c r="H680" s="237"/>
      <c r="I680" s="237"/>
      <c r="J680" s="237"/>
      <c r="K680" s="237"/>
      <c r="L680" s="237"/>
      <c r="M680" s="237"/>
      <c r="N680" s="238"/>
    </row>
    <row r="681" spans="1:15" x14ac:dyDescent="0.25">
      <c r="A681" s="240" t="s">
        <v>76</v>
      </c>
      <c r="B681" s="237"/>
      <c r="C681" s="237"/>
      <c r="D681" s="237"/>
      <c r="E681" s="237"/>
      <c r="F681" s="237"/>
      <c r="G681" s="238"/>
      <c r="H681" s="67" t="s">
        <v>46</v>
      </c>
      <c r="I681" s="248" t="s">
        <v>120</v>
      </c>
      <c r="J681" s="238"/>
      <c r="K681" s="248" t="s">
        <v>47</v>
      </c>
      <c r="L681" s="238"/>
      <c r="M681" s="248" t="s">
        <v>121</v>
      </c>
      <c r="N681" s="238"/>
    </row>
    <row r="682" spans="1:15" x14ac:dyDescent="0.25">
      <c r="A682" s="249" t="str">
        <f>PROFESIONALES!$B$30</f>
        <v>Alquiler oficina</v>
      </c>
      <c r="B682" s="237"/>
      <c r="C682" s="237"/>
      <c r="D682" s="237"/>
      <c r="E682" s="237"/>
      <c r="F682" s="237"/>
      <c r="G682" s="238"/>
      <c r="H682" s="68" t="str">
        <f>PROFESIONALES!$D$30</f>
        <v>MES</v>
      </c>
      <c r="I682" s="239">
        <f>PROFESIONALES!$F$30</f>
        <v>500000</v>
      </c>
      <c r="J682" s="238"/>
      <c r="K682" s="250">
        <v>0.5</v>
      </c>
      <c r="L682" s="238"/>
      <c r="M682" s="239">
        <f>K682*I682</f>
        <v>250000</v>
      </c>
      <c r="N682" s="254"/>
    </row>
    <row r="683" spans="1:15" x14ac:dyDescent="0.25">
      <c r="A683" s="249" t="str">
        <f>PROFESIONALES!$B$32</f>
        <v>Gastos de oficina (Impresión de informes y planos)</v>
      </c>
      <c r="B683" s="237"/>
      <c r="C683" s="237"/>
      <c r="D683" s="237"/>
      <c r="E683" s="237"/>
      <c r="F683" s="237"/>
      <c r="G683" s="238"/>
      <c r="H683" s="68" t="str">
        <f>PROFESIONALES!$D$32</f>
        <v>COPIA</v>
      </c>
      <c r="I683" s="239">
        <f>PROFESIONALES!$F$32</f>
        <v>1500000</v>
      </c>
      <c r="J683" s="238"/>
      <c r="K683" s="250">
        <v>0.5</v>
      </c>
      <c r="L683" s="238"/>
      <c r="M683" s="239">
        <f t="shared" ref="M683" si="38">K683*I683</f>
        <v>750000</v>
      </c>
      <c r="N683" s="254"/>
    </row>
    <row r="684" spans="1:15" x14ac:dyDescent="0.25">
      <c r="A684" s="255"/>
      <c r="B684" s="256"/>
      <c r="C684" s="256"/>
      <c r="D684" s="256"/>
      <c r="E684" s="256"/>
      <c r="F684" s="256"/>
      <c r="G684" s="257"/>
      <c r="H684" s="73"/>
      <c r="I684" s="258"/>
      <c r="J684" s="257"/>
      <c r="K684" s="259"/>
      <c r="L684" s="257"/>
      <c r="M684" s="258"/>
      <c r="N684" s="257"/>
    </row>
    <row r="685" spans="1:15" x14ac:dyDescent="0.25">
      <c r="A685" s="249"/>
      <c r="B685" s="237"/>
      <c r="C685" s="237"/>
      <c r="D685" s="237"/>
      <c r="E685" s="237"/>
      <c r="F685" s="237"/>
      <c r="G685" s="238"/>
      <c r="H685" s="68" t="str">
        <f>IF(A685="","",VLOOKUP(A685,AA_Materiales,7,FALSE))</f>
        <v/>
      </c>
      <c r="I685" s="239" t="str">
        <f>IF(A685="","",VLOOKUP(A685,AA_Materiales,8,FALSE))</f>
        <v/>
      </c>
      <c r="J685" s="238"/>
      <c r="K685" s="250"/>
      <c r="L685" s="238"/>
      <c r="M685" s="239" t="str">
        <f>IF(A685="","",I685*K685)</f>
        <v/>
      </c>
      <c r="N685" s="238"/>
    </row>
    <row r="686" spans="1:15" x14ac:dyDescent="0.25">
      <c r="A686" s="69"/>
      <c r="B686" s="69"/>
      <c r="C686" s="69"/>
      <c r="D686" s="69"/>
      <c r="E686" s="69"/>
      <c r="F686" s="69"/>
      <c r="G686" s="69"/>
      <c r="H686" s="69"/>
      <c r="I686" s="69"/>
      <c r="J686" s="69"/>
      <c r="K686" s="240" t="s">
        <v>122</v>
      </c>
      <c r="L686" s="238"/>
      <c r="M686" s="239">
        <f>SUM(M682:N685)</f>
        <v>1000000</v>
      </c>
      <c r="N686" s="238"/>
    </row>
    <row r="687" spans="1:15" x14ac:dyDescent="0.25">
      <c r="A687" s="69"/>
      <c r="B687" s="69"/>
      <c r="C687" s="69"/>
      <c r="D687" s="69"/>
      <c r="E687" s="69"/>
      <c r="F687" s="69"/>
      <c r="G687" s="69"/>
      <c r="H687" s="69"/>
      <c r="I687" s="69"/>
      <c r="J687" s="69"/>
      <c r="K687" s="69"/>
      <c r="L687" s="69"/>
      <c r="M687" s="69"/>
      <c r="N687" s="69"/>
    </row>
    <row r="688" spans="1:15" x14ac:dyDescent="0.25">
      <c r="A688" s="247" t="s">
        <v>123</v>
      </c>
      <c r="B688" s="237"/>
      <c r="C688" s="237"/>
      <c r="D688" s="237"/>
      <c r="E688" s="237"/>
      <c r="F688" s="237"/>
      <c r="G688" s="237"/>
      <c r="H688" s="237"/>
      <c r="I688" s="237"/>
      <c r="J688" s="237"/>
      <c r="K688" s="237"/>
      <c r="L688" s="237"/>
      <c r="M688" s="237"/>
      <c r="N688" s="238"/>
    </row>
    <row r="689" spans="1:14" x14ac:dyDescent="0.25">
      <c r="A689" s="240" t="s">
        <v>76</v>
      </c>
      <c r="B689" s="237"/>
      <c r="C689" s="237"/>
      <c r="D689" s="237"/>
      <c r="E689" s="237"/>
      <c r="F689" s="237"/>
      <c r="G689" s="238"/>
      <c r="H689" s="67" t="s">
        <v>46</v>
      </c>
      <c r="I689" s="248" t="s">
        <v>120</v>
      </c>
      <c r="J689" s="238"/>
      <c r="K689" s="248" t="s">
        <v>47</v>
      </c>
      <c r="L689" s="238"/>
      <c r="M689" s="248" t="s">
        <v>121</v>
      </c>
      <c r="N689" s="238"/>
    </row>
    <row r="690" spans="1:14" x14ac:dyDescent="0.25">
      <c r="A690" s="252" t="str">
        <f>PROFESIONALES!$B$31</f>
        <v>Servicios Públicos</v>
      </c>
      <c r="B690" s="237"/>
      <c r="C690" s="237"/>
      <c r="D690" s="237"/>
      <c r="E690" s="237"/>
      <c r="F690" s="237"/>
      <c r="G690" s="238"/>
      <c r="H690" s="68" t="str">
        <f>PROFESIONALES!$D$31</f>
        <v>MES</v>
      </c>
      <c r="I690" s="239">
        <f>PROFESIONALES!$F$31</f>
        <v>300000</v>
      </c>
      <c r="J690" s="238"/>
      <c r="K690" s="250">
        <v>0.5</v>
      </c>
      <c r="L690" s="251"/>
      <c r="M690" s="239">
        <f>K690*I690</f>
        <v>150000</v>
      </c>
      <c r="N690" s="254"/>
    </row>
    <row r="691" spans="1:14" x14ac:dyDescent="0.25">
      <c r="A691" s="252"/>
      <c r="B691" s="237"/>
      <c r="C691" s="237"/>
      <c r="D691" s="237"/>
      <c r="E691" s="237"/>
      <c r="F691" s="237"/>
      <c r="G691" s="238"/>
      <c r="H691" s="68" t="str">
        <f>IF(A691="","",VLOOKUP(A691,AA_Equipos,7,FALSE))</f>
        <v/>
      </c>
      <c r="I691" s="239" t="str">
        <f>IF(A691="","",VLOOKUP(A691,AA_Materiales,8,FALSE))</f>
        <v/>
      </c>
      <c r="J691" s="238"/>
      <c r="K691" s="253"/>
      <c r="L691" s="238"/>
      <c r="M691" s="239" t="str">
        <f>IF(A691="","",I691*K691)</f>
        <v/>
      </c>
      <c r="N691" s="238"/>
    </row>
    <row r="692" spans="1:14" x14ac:dyDescent="0.25">
      <c r="A692" s="249"/>
      <c r="B692" s="237"/>
      <c r="C692" s="237"/>
      <c r="D692" s="237"/>
      <c r="E692" s="237"/>
      <c r="F692" s="237"/>
      <c r="G692" s="238"/>
      <c r="H692" s="68" t="str">
        <f>IF(A692="","",VLOOKUP(A692,AA_Equipos,7,FALSE))</f>
        <v/>
      </c>
      <c r="I692" s="239" t="str">
        <f>IF(A692="","",VLOOKUP(A692,AA_Materiales,8,FALSE))</f>
        <v/>
      </c>
      <c r="J692" s="238"/>
      <c r="K692" s="250"/>
      <c r="L692" s="238"/>
      <c r="M692" s="239" t="str">
        <f>IF(A692="","",I692*K692)</f>
        <v/>
      </c>
      <c r="N692" s="238"/>
    </row>
    <row r="693" spans="1:14" x14ac:dyDescent="0.25">
      <c r="A693" s="249"/>
      <c r="B693" s="237"/>
      <c r="C693" s="237"/>
      <c r="D693" s="237"/>
      <c r="E693" s="237"/>
      <c r="F693" s="237"/>
      <c r="G693" s="238"/>
      <c r="H693" s="68" t="str">
        <f>IF(A693="","",VLOOKUP(A693,AA_Equipos,7,FALSE))</f>
        <v/>
      </c>
      <c r="I693" s="239" t="str">
        <f>IF(A693="","",VLOOKUP(A693,AA_Materiales,8,FALSE))</f>
        <v/>
      </c>
      <c r="J693" s="238"/>
      <c r="K693" s="250"/>
      <c r="L693" s="238"/>
      <c r="M693" s="239" t="str">
        <f>IF(A693="","",I693*K693)</f>
        <v/>
      </c>
      <c r="N693" s="238"/>
    </row>
    <row r="694" spans="1:14" x14ac:dyDescent="0.25">
      <c r="A694" s="249"/>
      <c r="B694" s="237"/>
      <c r="C694" s="237"/>
      <c r="D694" s="237"/>
      <c r="E694" s="237"/>
      <c r="F694" s="237"/>
      <c r="G694" s="238"/>
      <c r="H694" s="68" t="str">
        <f>IF(A694="","",VLOOKUP(A694,AA_Equipos,7,FALSE))</f>
        <v/>
      </c>
      <c r="I694" s="239" t="str">
        <f>IF(A694="","",VLOOKUP(A694,AA_Materiales,8,FALSE))</f>
        <v/>
      </c>
      <c r="J694" s="238"/>
      <c r="K694" s="250"/>
      <c r="L694" s="238"/>
      <c r="M694" s="239" t="str">
        <f>IF(A694="","",I694*K694)</f>
        <v/>
      </c>
      <c r="N694" s="238"/>
    </row>
    <row r="695" spans="1:14" x14ac:dyDescent="0.25">
      <c r="A695" s="69"/>
      <c r="B695" s="69"/>
      <c r="C695" s="69"/>
      <c r="D695" s="69"/>
      <c r="E695" s="69"/>
      <c r="F695" s="69"/>
      <c r="G695" s="69"/>
      <c r="H695" s="69"/>
      <c r="I695" s="69"/>
      <c r="J695" s="69"/>
      <c r="K695" s="240" t="s">
        <v>122</v>
      </c>
      <c r="L695" s="238"/>
      <c r="M695" s="239">
        <f>SUM(M690:N694)</f>
        <v>150000</v>
      </c>
      <c r="N695" s="238"/>
    </row>
    <row r="696" spans="1:14" x14ac:dyDescent="0.25">
      <c r="A696" s="69"/>
      <c r="B696" s="69"/>
      <c r="C696" s="69"/>
      <c r="D696" s="69"/>
      <c r="E696" s="69"/>
      <c r="F696" s="69"/>
      <c r="G696" s="69"/>
      <c r="H696" s="69"/>
      <c r="I696" s="69"/>
      <c r="J696" s="69"/>
      <c r="K696" s="69"/>
      <c r="L696" s="69"/>
      <c r="M696" s="69"/>
      <c r="N696" s="69"/>
    </row>
    <row r="697" spans="1:14" x14ac:dyDescent="0.25">
      <c r="A697" s="247" t="s">
        <v>124</v>
      </c>
      <c r="B697" s="237"/>
      <c r="C697" s="237"/>
      <c r="D697" s="237"/>
      <c r="E697" s="237"/>
      <c r="F697" s="237"/>
      <c r="G697" s="237"/>
      <c r="H697" s="237"/>
      <c r="I697" s="237"/>
      <c r="J697" s="237"/>
      <c r="K697" s="237"/>
      <c r="L697" s="237"/>
      <c r="M697" s="237"/>
      <c r="N697" s="238"/>
    </row>
    <row r="698" spans="1:14" x14ac:dyDescent="0.25">
      <c r="A698" s="240" t="s">
        <v>76</v>
      </c>
      <c r="B698" s="237"/>
      <c r="C698" s="237"/>
      <c r="D698" s="237"/>
      <c r="E698" s="237"/>
      <c r="F698" s="237"/>
      <c r="G698" s="238"/>
      <c r="H698" s="67" t="s">
        <v>46</v>
      </c>
      <c r="I698" s="248" t="s">
        <v>120</v>
      </c>
      <c r="J698" s="238"/>
      <c r="K698" s="248" t="s">
        <v>47</v>
      </c>
      <c r="L698" s="238"/>
      <c r="M698" s="248" t="s">
        <v>121</v>
      </c>
      <c r="N698" s="238"/>
    </row>
    <row r="699" spans="1:14" x14ac:dyDescent="0.25">
      <c r="A699" s="249"/>
      <c r="B699" s="237"/>
      <c r="C699" s="237"/>
      <c r="D699" s="237"/>
      <c r="E699" s="237"/>
      <c r="F699" s="237"/>
      <c r="G699" s="238"/>
      <c r="H699" s="68"/>
      <c r="I699" s="239"/>
      <c r="J699" s="238"/>
      <c r="K699" s="250"/>
      <c r="L699" s="251"/>
      <c r="M699" s="239"/>
      <c r="N699" s="238"/>
    </row>
    <row r="700" spans="1:14" x14ac:dyDescent="0.25">
      <c r="A700" s="252"/>
      <c r="B700" s="237"/>
      <c r="C700" s="237"/>
      <c r="D700" s="237"/>
      <c r="E700" s="237"/>
      <c r="F700" s="237"/>
      <c r="G700" s="238"/>
      <c r="H700" s="68"/>
      <c r="I700" s="239"/>
      <c r="J700" s="238"/>
      <c r="K700" s="253"/>
      <c r="L700" s="238"/>
      <c r="M700" s="239"/>
      <c r="N700" s="238"/>
    </row>
    <row r="701" spans="1:14" x14ac:dyDescent="0.25">
      <c r="A701" s="249"/>
      <c r="B701" s="237"/>
      <c r="C701" s="237"/>
      <c r="D701" s="237"/>
      <c r="E701" s="237"/>
      <c r="F701" s="237"/>
      <c r="G701" s="238"/>
      <c r="H701" s="68"/>
      <c r="I701" s="239"/>
      <c r="J701" s="238"/>
      <c r="K701" s="250"/>
      <c r="L701" s="238"/>
      <c r="M701" s="239" t="str">
        <f>IF(A701="","",I701*K701)</f>
        <v/>
      </c>
      <c r="N701" s="238"/>
    </row>
    <row r="702" spans="1:14" x14ac:dyDescent="0.25">
      <c r="A702" s="249"/>
      <c r="B702" s="237"/>
      <c r="C702" s="237"/>
      <c r="D702" s="237"/>
      <c r="E702" s="237"/>
      <c r="F702" s="237"/>
      <c r="G702" s="238"/>
      <c r="H702" s="68"/>
      <c r="I702" s="239"/>
      <c r="J702" s="238"/>
      <c r="K702" s="250"/>
      <c r="L702" s="238"/>
      <c r="M702" s="239" t="str">
        <f>IF(A702="","",I702*K702)</f>
        <v/>
      </c>
      <c r="N702" s="238"/>
    </row>
    <row r="703" spans="1:14" x14ac:dyDescent="0.25">
      <c r="A703" s="249"/>
      <c r="B703" s="237"/>
      <c r="C703" s="237"/>
      <c r="D703" s="237"/>
      <c r="E703" s="237"/>
      <c r="F703" s="237"/>
      <c r="G703" s="238"/>
      <c r="H703" s="68"/>
      <c r="I703" s="239"/>
      <c r="J703" s="238"/>
      <c r="K703" s="250"/>
      <c r="L703" s="238"/>
      <c r="M703" s="239" t="str">
        <f>IF(A703="","",I703*K703)</f>
        <v/>
      </c>
      <c r="N703" s="238"/>
    </row>
    <row r="704" spans="1:14" x14ac:dyDescent="0.25">
      <c r="A704" s="69"/>
      <c r="B704" s="69"/>
      <c r="C704" s="69"/>
      <c r="D704" s="69"/>
      <c r="E704" s="69"/>
      <c r="F704" s="69"/>
      <c r="G704" s="69"/>
      <c r="H704" s="69"/>
      <c r="I704" s="69"/>
      <c r="J704" s="69"/>
      <c r="K704" s="240" t="s">
        <v>122</v>
      </c>
      <c r="L704" s="238"/>
      <c r="M704" s="239">
        <f>SUM(M699:N703)</f>
        <v>0</v>
      </c>
      <c r="N704" s="238"/>
    </row>
    <row r="705" spans="1:14" x14ac:dyDescent="0.25">
      <c r="A705" s="69"/>
      <c r="B705" s="69"/>
      <c r="C705" s="69"/>
      <c r="D705" s="69"/>
      <c r="E705" s="69"/>
      <c r="F705" s="69"/>
      <c r="G705" s="69"/>
      <c r="H705" s="69"/>
      <c r="I705" s="69"/>
      <c r="J705" s="69"/>
      <c r="K705" s="69"/>
      <c r="L705" s="69"/>
      <c r="M705" s="69"/>
      <c r="N705" s="69"/>
    </row>
    <row r="706" spans="1:14" x14ac:dyDescent="0.25">
      <c r="A706" s="247" t="s">
        <v>125</v>
      </c>
      <c r="B706" s="237"/>
      <c r="C706" s="237"/>
      <c r="D706" s="237"/>
      <c r="E706" s="237"/>
      <c r="F706" s="237"/>
      <c r="G706" s="237"/>
      <c r="H706" s="237"/>
      <c r="I706" s="237"/>
      <c r="J706" s="237"/>
      <c r="K706" s="237"/>
      <c r="L706" s="237"/>
      <c r="M706" s="237"/>
      <c r="N706" s="238"/>
    </row>
    <row r="707" spans="1:14" x14ac:dyDescent="0.25">
      <c r="A707" s="240" t="s">
        <v>76</v>
      </c>
      <c r="B707" s="237"/>
      <c r="C707" s="237"/>
      <c r="D707" s="237"/>
      <c r="E707" s="237"/>
      <c r="F707" s="237"/>
      <c r="G707" s="238"/>
      <c r="H707" s="67" t="s">
        <v>46</v>
      </c>
      <c r="I707" s="248" t="s">
        <v>120</v>
      </c>
      <c r="J707" s="238"/>
      <c r="K707" s="70" t="s">
        <v>126</v>
      </c>
      <c r="L707" s="71" t="s">
        <v>128</v>
      </c>
      <c r="M707" s="248" t="s">
        <v>121</v>
      </c>
      <c r="N707" s="238"/>
    </row>
    <row r="708" spans="1:14" x14ac:dyDescent="0.25">
      <c r="A708" s="236" t="str">
        <f>PROFESIONALES!$B$9</f>
        <v>Director de consultoria</v>
      </c>
      <c r="B708" s="237"/>
      <c r="C708" s="237"/>
      <c r="D708" s="237"/>
      <c r="E708" s="237"/>
      <c r="F708" s="237"/>
      <c r="G708" s="238"/>
      <c r="H708" s="68" t="s">
        <v>80</v>
      </c>
      <c r="I708" s="239">
        <f>PROFESIONALES!$F$9</f>
        <v>7691776</v>
      </c>
      <c r="J708" s="238"/>
      <c r="K708" s="45">
        <f>PROFESIONALES!I$24</f>
        <v>2</v>
      </c>
      <c r="L708" s="72">
        <v>2</v>
      </c>
      <c r="M708" s="239">
        <f>I708*K708*L708/30</f>
        <v>1025570.1333333333</v>
      </c>
      <c r="N708" s="238"/>
    </row>
    <row r="709" spans="1:14" x14ac:dyDescent="0.25">
      <c r="A709" s="236" t="str">
        <f>PROFESIONALES!$B$17</f>
        <v>Profesional Ambiental</v>
      </c>
      <c r="B709" s="237"/>
      <c r="C709" s="237"/>
      <c r="D709" s="237"/>
      <c r="E709" s="237"/>
      <c r="F709" s="237"/>
      <c r="G709" s="238"/>
      <c r="H709" s="68" t="s">
        <v>80</v>
      </c>
      <c r="I709" s="239">
        <f>PROFESIONALES!$F$17</f>
        <v>5582300</v>
      </c>
      <c r="J709" s="238"/>
      <c r="K709" s="45">
        <f>PROFESIONALES!I$24</f>
        <v>2</v>
      </c>
      <c r="L709" s="72">
        <v>5</v>
      </c>
      <c r="M709" s="239">
        <f>I709*K709*L709/30</f>
        <v>1860766.6666666667</v>
      </c>
      <c r="N709" s="238"/>
    </row>
    <row r="710" spans="1:14" x14ac:dyDescent="0.25">
      <c r="A710" s="236" t="str">
        <f>PROFESIONALES!$B$15</f>
        <v>Profesional de apoyo</v>
      </c>
      <c r="B710" s="237"/>
      <c r="C710" s="237"/>
      <c r="D710" s="237"/>
      <c r="E710" s="237"/>
      <c r="F710" s="237"/>
      <c r="G710" s="238"/>
      <c r="H710" s="68" t="s">
        <v>80</v>
      </c>
      <c r="I710" s="239">
        <f>PROFESIONALES!$F$15</f>
        <v>5582300</v>
      </c>
      <c r="J710" s="238"/>
      <c r="K710" s="45">
        <f>PROFESIONALES!I$24</f>
        <v>2</v>
      </c>
      <c r="L710" s="72">
        <v>5</v>
      </c>
      <c r="M710" s="239">
        <f>I710*K710*L710/30</f>
        <v>1860766.6666666667</v>
      </c>
      <c r="N710" s="238"/>
    </row>
    <row r="711" spans="1:14" x14ac:dyDescent="0.25">
      <c r="A711" s="236" t="str">
        <f>PROFESIONALES!$B$18</f>
        <v>Profesional Arquitecto</v>
      </c>
      <c r="B711" s="237"/>
      <c r="C711" s="237"/>
      <c r="D711" s="237"/>
      <c r="E711" s="237"/>
      <c r="F711" s="237"/>
      <c r="G711" s="238"/>
      <c r="H711" s="68" t="s">
        <v>80</v>
      </c>
      <c r="I711" s="239">
        <f>PROFESIONALES!$F$18</f>
        <v>5582300</v>
      </c>
      <c r="J711" s="238"/>
      <c r="K711" s="45">
        <f>PROFESIONALES!I$24</f>
        <v>2</v>
      </c>
      <c r="L711" s="72">
        <v>3.6</v>
      </c>
      <c r="M711" s="239">
        <f>I711*K711*L711/30</f>
        <v>1339752</v>
      </c>
      <c r="N711" s="238"/>
    </row>
    <row r="712" spans="1:14" x14ac:dyDescent="0.25">
      <c r="A712" s="236" t="str">
        <f>PROFESIONALES!B14</f>
        <v xml:space="preserve">Especialista Veterinario </v>
      </c>
      <c r="B712" s="237"/>
      <c r="C712" s="237"/>
      <c r="D712" s="237"/>
      <c r="E712" s="237"/>
      <c r="F712" s="237"/>
      <c r="G712" s="238"/>
      <c r="H712" s="68" t="s">
        <v>80</v>
      </c>
      <c r="I712" s="239">
        <f>PROFESIONALES!F14</f>
        <v>6356217</v>
      </c>
      <c r="J712" s="238"/>
      <c r="K712" s="45">
        <f>PROFESIONALES!I$24</f>
        <v>2</v>
      </c>
      <c r="L712" s="45">
        <v>4.9999385283905982</v>
      </c>
      <c r="M712" s="239">
        <f>I712*K712*L712/30</f>
        <v>2118712.9515407537</v>
      </c>
      <c r="N712" s="238"/>
    </row>
    <row r="713" spans="1:14" x14ac:dyDescent="0.25">
      <c r="A713" s="69"/>
      <c r="B713" s="69"/>
      <c r="C713" s="69"/>
      <c r="D713" s="69"/>
      <c r="E713" s="69"/>
      <c r="F713" s="69"/>
      <c r="G713" s="69"/>
      <c r="H713" s="69"/>
      <c r="I713" s="69"/>
      <c r="J713" s="69"/>
      <c r="K713" s="240" t="s">
        <v>122</v>
      </c>
      <c r="L713" s="238"/>
      <c r="M713" s="239">
        <f>SUM(M708:N712)</f>
        <v>8205568.41820742</v>
      </c>
      <c r="N713" s="238"/>
    </row>
    <row r="717" spans="1:14" x14ac:dyDescent="0.25">
      <c r="C717" s="58"/>
    </row>
    <row r="718" spans="1:14" x14ac:dyDescent="0.25">
      <c r="B718" s="195" t="s">
        <v>269</v>
      </c>
      <c r="C718" s="195"/>
      <c r="D718" s="195"/>
      <c r="F718" s="195" t="s">
        <v>270</v>
      </c>
      <c r="G718" s="195"/>
      <c r="H718" s="195"/>
      <c r="I718" s="195"/>
      <c r="K718" s="195" t="s">
        <v>268</v>
      </c>
      <c r="L718" s="195"/>
      <c r="M718" s="195"/>
    </row>
    <row r="719" spans="1:14" x14ac:dyDescent="0.25">
      <c r="B719" s="196" t="s">
        <v>248</v>
      </c>
      <c r="C719" s="196"/>
      <c r="D719" s="196"/>
      <c r="F719" s="196" t="s">
        <v>271</v>
      </c>
      <c r="G719" s="196"/>
      <c r="H719" s="196"/>
      <c r="I719" s="196"/>
      <c r="K719" s="196" t="s">
        <v>248</v>
      </c>
      <c r="L719" s="196"/>
      <c r="M719" s="196"/>
    </row>
  </sheetData>
  <mergeCells count="1794">
    <mergeCell ref="A87:G87"/>
    <mergeCell ref="I87:J87"/>
    <mergeCell ref="M87:N87"/>
    <mergeCell ref="A130:G130"/>
    <mergeCell ref="I130:J130"/>
    <mergeCell ref="M130:N130"/>
    <mergeCell ref="A379:G379"/>
    <mergeCell ref="I379:J379"/>
    <mergeCell ref="M379:N379"/>
    <mergeCell ref="A712:G712"/>
    <mergeCell ref="I712:J712"/>
    <mergeCell ref="M712:N712"/>
    <mergeCell ref="M713:N713"/>
    <mergeCell ref="K713:L713"/>
    <mergeCell ref="K704:L704"/>
    <mergeCell ref="M704:N704"/>
    <mergeCell ref="A706:N706"/>
    <mergeCell ref="A707:G707"/>
    <mergeCell ref="I707:J707"/>
    <mergeCell ref="M707:N707"/>
    <mergeCell ref="A708:G708"/>
    <mergeCell ref="I708:J708"/>
    <mergeCell ref="M708:N708"/>
    <mergeCell ref="A709:G709"/>
    <mergeCell ref="I709:J709"/>
    <mergeCell ref="M709:N709"/>
    <mergeCell ref="A710:G710"/>
    <mergeCell ref="I710:J710"/>
    <mergeCell ref="M710:N710"/>
    <mergeCell ref="A711:G711"/>
    <mergeCell ref="I711:J711"/>
    <mergeCell ref="M711:N711"/>
    <mergeCell ref="A699:G699"/>
    <mergeCell ref="I699:J699"/>
    <mergeCell ref="K699:L699"/>
    <mergeCell ref="M699:N699"/>
    <mergeCell ref="A700:G700"/>
    <mergeCell ref="I700:J700"/>
    <mergeCell ref="K700:L700"/>
    <mergeCell ref="M700:N700"/>
    <mergeCell ref="A701:G701"/>
    <mergeCell ref="I701:J701"/>
    <mergeCell ref="K701:L701"/>
    <mergeCell ref="M701:N701"/>
    <mergeCell ref="A702:G702"/>
    <mergeCell ref="I702:J702"/>
    <mergeCell ref="K702:L702"/>
    <mergeCell ref="M702:N702"/>
    <mergeCell ref="A703:G703"/>
    <mergeCell ref="I703:J703"/>
    <mergeCell ref="K703:L703"/>
    <mergeCell ref="M703:N703"/>
    <mergeCell ref="A692:G692"/>
    <mergeCell ref="I692:J692"/>
    <mergeCell ref="K692:L692"/>
    <mergeCell ref="M692:N692"/>
    <mergeCell ref="A693:G693"/>
    <mergeCell ref="I693:J693"/>
    <mergeCell ref="K693:L693"/>
    <mergeCell ref="M693:N693"/>
    <mergeCell ref="A694:G694"/>
    <mergeCell ref="I694:J694"/>
    <mergeCell ref="K694:L694"/>
    <mergeCell ref="M694:N694"/>
    <mergeCell ref="K695:L695"/>
    <mergeCell ref="M695:N695"/>
    <mergeCell ref="A697:N697"/>
    <mergeCell ref="A698:G698"/>
    <mergeCell ref="I698:J698"/>
    <mergeCell ref="K698:L698"/>
    <mergeCell ref="M698:N698"/>
    <mergeCell ref="A685:G685"/>
    <mergeCell ref="I685:J685"/>
    <mergeCell ref="K685:L685"/>
    <mergeCell ref="M685:N685"/>
    <mergeCell ref="K686:L686"/>
    <mergeCell ref="M686:N686"/>
    <mergeCell ref="A688:N688"/>
    <mergeCell ref="A689:G689"/>
    <mergeCell ref="I689:J689"/>
    <mergeCell ref="K689:L689"/>
    <mergeCell ref="M689:N689"/>
    <mergeCell ref="A690:G690"/>
    <mergeCell ref="I690:J690"/>
    <mergeCell ref="K690:L690"/>
    <mergeCell ref="M690:N690"/>
    <mergeCell ref="A691:G691"/>
    <mergeCell ref="I691:J691"/>
    <mergeCell ref="K691:L691"/>
    <mergeCell ref="M691:N691"/>
    <mergeCell ref="A675:N676"/>
    <mergeCell ref="A680:N680"/>
    <mergeCell ref="A681:G681"/>
    <mergeCell ref="I681:J681"/>
    <mergeCell ref="K681:L681"/>
    <mergeCell ref="M681:N681"/>
    <mergeCell ref="A682:G682"/>
    <mergeCell ref="I682:J682"/>
    <mergeCell ref="K682:L682"/>
    <mergeCell ref="M682:N682"/>
    <mergeCell ref="A683:G683"/>
    <mergeCell ref="I683:J683"/>
    <mergeCell ref="K683:L683"/>
    <mergeCell ref="M683:N683"/>
    <mergeCell ref="A684:G684"/>
    <mergeCell ref="I684:J684"/>
    <mergeCell ref="K684:L684"/>
    <mergeCell ref="M684:N684"/>
    <mergeCell ref="M618:N618"/>
    <mergeCell ref="A619:G619"/>
    <mergeCell ref="I619:J619"/>
    <mergeCell ref="K619:L619"/>
    <mergeCell ref="M619:N619"/>
    <mergeCell ref="A464:G464"/>
    <mergeCell ref="I464:J464"/>
    <mergeCell ref="M464:N464"/>
    <mergeCell ref="K629:L629"/>
    <mergeCell ref="M629:N629"/>
    <mergeCell ref="K600:L600"/>
    <mergeCell ref="M600:N600"/>
    <mergeCell ref="A601:G601"/>
    <mergeCell ref="I601:J601"/>
    <mergeCell ref="K601:L601"/>
    <mergeCell ref="M601:N601"/>
    <mergeCell ref="K611:L611"/>
    <mergeCell ref="M611:N611"/>
    <mergeCell ref="A608:G608"/>
    <mergeCell ref="I608:J608"/>
    <mergeCell ref="K608:L608"/>
    <mergeCell ref="M608:N608"/>
    <mergeCell ref="A609:G609"/>
    <mergeCell ref="I609:J609"/>
    <mergeCell ref="K609:L609"/>
    <mergeCell ref="M609:N609"/>
    <mergeCell ref="A606:G606"/>
    <mergeCell ref="A599:G599"/>
    <mergeCell ref="I599:J599"/>
    <mergeCell ref="K599:L599"/>
    <mergeCell ref="M599:N599"/>
    <mergeCell ref="A596:N596"/>
    <mergeCell ref="I88:J88"/>
    <mergeCell ref="M88:N88"/>
    <mergeCell ref="A339:G339"/>
    <mergeCell ref="I339:J339"/>
    <mergeCell ref="M339:N339"/>
    <mergeCell ref="A175:G175"/>
    <mergeCell ref="I175:J175"/>
    <mergeCell ref="A338:G338"/>
    <mergeCell ref="I338:J338"/>
    <mergeCell ref="M338:N338"/>
    <mergeCell ref="A467:G467"/>
    <mergeCell ref="I467:J467"/>
    <mergeCell ref="M467:N467"/>
    <mergeCell ref="A174:G174"/>
    <mergeCell ref="I174:J174"/>
    <mergeCell ref="M174:N174"/>
    <mergeCell ref="I618:J618"/>
    <mergeCell ref="M172:N172"/>
    <mergeCell ref="A337:G337"/>
    <mergeCell ref="I337:J337"/>
    <mergeCell ref="M337:N337"/>
    <mergeCell ref="A466:G466"/>
    <mergeCell ref="I466:J466"/>
    <mergeCell ref="A216:G216"/>
    <mergeCell ref="I216:J216"/>
    <mergeCell ref="M216:N216"/>
    <mergeCell ref="M175:N175"/>
    <mergeCell ref="A176:G176"/>
    <mergeCell ref="I176:J176"/>
    <mergeCell ref="M176:N176"/>
    <mergeCell ref="I615:J615"/>
    <mergeCell ref="K618:L618"/>
    <mergeCell ref="A172:G172"/>
    <mergeCell ref="I172:J172"/>
    <mergeCell ref="A628:G628"/>
    <mergeCell ref="I628:J628"/>
    <mergeCell ref="M628:N628"/>
    <mergeCell ref="A616:G616"/>
    <mergeCell ref="I616:J616"/>
    <mergeCell ref="K616:L616"/>
    <mergeCell ref="M616:N616"/>
    <mergeCell ref="A617:G617"/>
    <mergeCell ref="I617:J617"/>
    <mergeCell ref="K617:L617"/>
    <mergeCell ref="M617:N617"/>
    <mergeCell ref="A613:N613"/>
    <mergeCell ref="A614:G614"/>
    <mergeCell ref="I614:J614"/>
    <mergeCell ref="K614:L614"/>
    <mergeCell ref="M614:N614"/>
    <mergeCell ref="A615:G615"/>
    <mergeCell ref="I606:J606"/>
    <mergeCell ref="K606:L606"/>
    <mergeCell ref="M606:N606"/>
    <mergeCell ref="A607:G607"/>
    <mergeCell ref="I607:J607"/>
    <mergeCell ref="K607:L607"/>
    <mergeCell ref="M607:N607"/>
    <mergeCell ref="A296:G296"/>
    <mergeCell ref="I296:J296"/>
    <mergeCell ref="M296:N296"/>
    <mergeCell ref="M605:N605"/>
    <mergeCell ref="A600:G600"/>
    <mergeCell ref="I600:J600"/>
    <mergeCell ref="A171:G171"/>
    <mergeCell ref="A626:G626"/>
    <mergeCell ref="I626:J626"/>
    <mergeCell ref="M626:N626"/>
    <mergeCell ref="A627:G627"/>
    <mergeCell ref="I627:J627"/>
    <mergeCell ref="M627:N627"/>
    <mergeCell ref="A624:G624"/>
    <mergeCell ref="I624:J624"/>
    <mergeCell ref="M624:N624"/>
    <mergeCell ref="A625:G625"/>
    <mergeCell ref="I625:J625"/>
    <mergeCell ref="M625:N625"/>
    <mergeCell ref="K620:L620"/>
    <mergeCell ref="M620:N620"/>
    <mergeCell ref="A622:N622"/>
    <mergeCell ref="A623:G623"/>
    <mergeCell ref="I623:J623"/>
    <mergeCell ref="M623:N623"/>
    <mergeCell ref="A618:G618"/>
    <mergeCell ref="K615:L615"/>
    <mergeCell ref="M615:N615"/>
    <mergeCell ref="A610:G610"/>
    <mergeCell ref="I610:J610"/>
    <mergeCell ref="K610:L610"/>
    <mergeCell ref="M610:N610"/>
    <mergeCell ref="K602:L602"/>
    <mergeCell ref="M602:N602"/>
    <mergeCell ref="A604:N604"/>
    <mergeCell ref="A605:G605"/>
    <mergeCell ref="I605:J605"/>
    <mergeCell ref="K605:L605"/>
    <mergeCell ref="A597:G597"/>
    <mergeCell ref="I597:J597"/>
    <mergeCell ref="K597:L597"/>
    <mergeCell ref="M597:N597"/>
    <mergeCell ref="A598:G598"/>
    <mergeCell ref="I598:J598"/>
    <mergeCell ref="K598:L598"/>
    <mergeCell ref="M598:N598"/>
    <mergeCell ref="A587:G587"/>
    <mergeCell ref="I587:J587"/>
    <mergeCell ref="M587:N587"/>
    <mergeCell ref="K589:L589"/>
    <mergeCell ref="M589:N589"/>
    <mergeCell ref="A591:N592"/>
    <mergeCell ref="A588:G588"/>
    <mergeCell ref="I588:J588"/>
    <mergeCell ref="M588:N588"/>
    <mergeCell ref="A585:G585"/>
    <mergeCell ref="I585:J585"/>
    <mergeCell ref="M585:N585"/>
    <mergeCell ref="A586:G586"/>
    <mergeCell ref="I586:J586"/>
    <mergeCell ref="M586:N586"/>
    <mergeCell ref="A583:G583"/>
    <mergeCell ref="I583:J583"/>
    <mergeCell ref="M583:N583"/>
    <mergeCell ref="A584:G584"/>
    <mergeCell ref="I584:J584"/>
    <mergeCell ref="M584:N584"/>
    <mergeCell ref="K579:L579"/>
    <mergeCell ref="M579:N579"/>
    <mergeCell ref="A581:N581"/>
    <mergeCell ref="A582:G582"/>
    <mergeCell ref="I582:J582"/>
    <mergeCell ref="M582:N582"/>
    <mergeCell ref="A577:G577"/>
    <mergeCell ref="I577:J577"/>
    <mergeCell ref="K577:L577"/>
    <mergeCell ref="M577:N577"/>
    <mergeCell ref="A578:G578"/>
    <mergeCell ref="I578:J578"/>
    <mergeCell ref="K578:L578"/>
    <mergeCell ref="M578:N578"/>
    <mergeCell ref="A575:G575"/>
    <mergeCell ref="I575:J575"/>
    <mergeCell ref="K575:L575"/>
    <mergeCell ref="M575:N575"/>
    <mergeCell ref="A576:G576"/>
    <mergeCell ref="I576:J576"/>
    <mergeCell ref="K576:L576"/>
    <mergeCell ref="M576:N576"/>
    <mergeCell ref="A572:N572"/>
    <mergeCell ref="A573:G573"/>
    <mergeCell ref="I573:J573"/>
    <mergeCell ref="K573:L573"/>
    <mergeCell ref="M573:N573"/>
    <mergeCell ref="A574:G574"/>
    <mergeCell ref="I574:J574"/>
    <mergeCell ref="K574:L574"/>
    <mergeCell ref="M574:N574"/>
    <mergeCell ref="A569:G569"/>
    <mergeCell ref="I569:J569"/>
    <mergeCell ref="K569:L569"/>
    <mergeCell ref="M569:N569"/>
    <mergeCell ref="K570:L570"/>
    <mergeCell ref="M570:N570"/>
    <mergeCell ref="A567:G567"/>
    <mergeCell ref="I567:J567"/>
    <mergeCell ref="K567:L567"/>
    <mergeCell ref="M567:N567"/>
    <mergeCell ref="A568:G568"/>
    <mergeCell ref="I568:J568"/>
    <mergeCell ref="K568:L568"/>
    <mergeCell ref="M568:N568"/>
    <mergeCell ref="A565:G565"/>
    <mergeCell ref="I565:J565"/>
    <mergeCell ref="K565:L565"/>
    <mergeCell ref="M565:N565"/>
    <mergeCell ref="A566:G566"/>
    <mergeCell ref="I566:J566"/>
    <mergeCell ref="K566:L566"/>
    <mergeCell ref="M566:N566"/>
    <mergeCell ref="K561:L561"/>
    <mergeCell ref="M561:N561"/>
    <mergeCell ref="A563:N563"/>
    <mergeCell ref="A564:G564"/>
    <mergeCell ref="I564:J564"/>
    <mergeCell ref="K564:L564"/>
    <mergeCell ref="M564:N564"/>
    <mergeCell ref="A559:G559"/>
    <mergeCell ref="I559:J559"/>
    <mergeCell ref="K559:L559"/>
    <mergeCell ref="M559:N559"/>
    <mergeCell ref="A560:G560"/>
    <mergeCell ref="I560:J560"/>
    <mergeCell ref="K560:L560"/>
    <mergeCell ref="M560:N560"/>
    <mergeCell ref="A558:G558"/>
    <mergeCell ref="I558:J558"/>
    <mergeCell ref="K558:L558"/>
    <mergeCell ref="M558:N558"/>
    <mergeCell ref="A555:N555"/>
    <mergeCell ref="A556:G556"/>
    <mergeCell ref="I556:J556"/>
    <mergeCell ref="K556:L556"/>
    <mergeCell ref="M556:N556"/>
    <mergeCell ref="A557:G557"/>
    <mergeCell ref="I557:J557"/>
    <mergeCell ref="K557:L557"/>
    <mergeCell ref="M557:N557"/>
    <mergeCell ref="A547:G547"/>
    <mergeCell ref="I547:J547"/>
    <mergeCell ref="M547:N547"/>
    <mergeCell ref="K548:L548"/>
    <mergeCell ref="M548:N548"/>
    <mergeCell ref="A550:N551"/>
    <mergeCell ref="A545:G545"/>
    <mergeCell ref="I545:J545"/>
    <mergeCell ref="M545:N545"/>
    <mergeCell ref="A546:G546"/>
    <mergeCell ref="I546:J546"/>
    <mergeCell ref="M546:N546"/>
    <mergeCell ref="A543:G543"/>
    <mergeCell ref="I543:J543"/>
    <mergeCell ref="M543:N543"/>
    <mergeCell ref="A544:G544"/>
    <mergeCell ref="I544:J544"/>
    <mergeCell ref="M544:N544"/>
    <mergeCell ref="K539:L539"/>
    <mergeCell ref="M539:N539"/>
    <mergeCell ref="A541:N541"/>
    <mergeCell ref="A542:G542"/>
    <mergeCell ref="I542:J542"/>
    <mergeCell ref="M542:N542"/>
    <mergeCell ref="A537:G537"/>
    <mergeCell ref="I537:J537"/>
    <mergeCell ref="K537:L537"/>
    <mergeCell ref="M537:N537"/>
    <mergeCell ref="A538:G538"/>
    <mergeCell ref="I538:J538"/>
    <mergeCell ref="K538:L538"/>
    <mergeCell ref="M538:N538"/>
    <mergeCell ref="A535:G535"/>
    <mergeCell ref="I535:J535"/>
    <mergeCell ref="K535:L535"/>
    <mergeCell ref="M535:N535"/>
    <mergeCell ref="A536:G536"/>
    <mergeCell ref="I536:J536"/>
    <mergeCell ref="K536:L536"/>
    <mergeCell ref="M536:N536"/>
    <mergeCell ref="A532:N532"/>
    <mergeCell ref="A533:G533"/>
    <mergeCell ref="I533:J533"/>
    <mergeCell ref="K533:L533"/>
    <mergeCell ref="M533:N533"/>
    <mergeCell ref="A534:G534"/>
    <mergeCell ref="I534:J534"/>
    <mergeCell ref="K534:L534"/>
    <mergeCell ref="M534:N534"/>
    <mergeCell ref="A529:G529"/>
    <mergeCell ref="I529:J529"/>
    <mergeCell ref="K529:L529"/>
    <mergeCell ref="M529:N529"/>
    <mergeCell ref="K530:L530"/>
    <mergeCell ref="M530:N530"/>
    <mergeCell ref="A527:G527"/>
    <mergeCell ref="I527:J527"/>
    <mergeCell ref="K527:L527"/>
    <mergeCell ref="M527:N527"/>
    <mergeCell ref="A528:G528"/>
    <mergeCell ref="I528:J528"/>
    <mergeCell ref="K528:L528"/>
    <mergeCell ref="M528:N528"/>
    <mergeCell ref="A525:G525"/>
    <mergeCell ref="I525:J525"/>
    <mergeCell ref="K525:L525"/>
    <mergeCell ref="M525:N525"/>
    <mergeCell ref="A526:G526"/>
    <mergeCell ref="I526:J526"/>
    <mergeCell ref="K526:L526"/>
    <mergeCell ref="M526:N526"/>
    <mergeCell ref="A517:G517"/>
    <mergeCell ref="I517:J517"/>
    <mergeCell ref="K517:L517"/>
    <mergeCell ref="M517:N517"/>
    <mergeCell ref="A506:G506"/>
    <mergeCell ref="I506:J506"/>
    <mergeCell ref="M506:N506"/>
    <mergeCell ref="K508:L508"/>
    <mergeCell ref="M508:N508"/>
    <mergeCell ref="A510:N511"/>
    <mergeCell ref="A507:G507"/>
    <mergeCell ref="I507:J507"/>
    <mergeCell ref="M507:N507"/>
    <mergeCell ref="K521:L521"/>
    <mergeCell ref="M521:N521"/>
    <mergeCell ref="A523:N523"/>
    <mergeCell ref="A524:G524"/>
    <mergeCell ref="I524:J524"/>
    <mergeCell ref="K524:L524"/>
    <mergeCell ref="M524:N524"/>
    <mergeCell ref="A519:G519"/>
    <mergeCell ref="I519:J519"/>
    <mergeCell ref="K519:L519"/>
    <mergeCell ref="M519:N519"/>
    <mergeCell ref="A520:G520"/>
    <mergeCell ref="I520:J520"/>
    <mergeCell ref="K520:L520"/>
    <mergeCell ref="M520:N520"/>
    <mergeCell ref="A518:G518"/>
    <mergeCell ref="I518:J518"/>
    <mergeCell ref="K518:L518"/>
    <mergeCell ref="M518:N518"/>
    <mergeCell ref="A505:G505"/>
    <mergeCell ref="I505:J505"/>
    <mergeCell ref="M505:N505"/>
    <mergeCell ref="A503:G503"/>
    <mergeCell ref="I503:J503"/>
    <mergeCell ref="M503:N503"/>
    <mergeCell ref="A504:G504"/>
    <mergeCell ref="I504:J504"/>
    <mergeCell ref="M504:N504"/>
    <mergeCell ref="K499:L499"/>
    <mergeCell ref="M499:N499"/>
    <mergeCell ref="A501:N501"/>
    <mergeCell ref="A502:G502"/>
    <mergeCell ref="I502:J502"/>
    <mergeCell ref="M502:N502"/>
    <mergeCell ref="A515:N515"/>
    <mergeCell ref="A516:G516"/>
    <mergeCell ref="I516:J516"/>
    <mergeCell ref="K516:L516"/>
    <mergeCell ref="M516:N516"/>
    <mergeCell ref="A497:G497"/>
    <mergeCell ref="I497:J497"/>
    <mergeCell ref="K497:L497"/>
    <mergeCell ref="M497:N497"/>
    <mergeCell ref="A498:G498"/>
    <mergeCell ref="I498:J498"/>
    <mergeCell ref="K498:L498"/>
    <mergeCell ref="M498:N498"/>
    <mergeCell ref="A495:G495"/>
    <mergeCell ref="I495:J495"/>
    <mergeCell ref="K495:L495"/>
    <mergeCell ref="M495:N495"/>
    <mergeCell ref="A496:G496"/>
    <mergeCell ref="I496:J496"/>
    <mergeCell ref="K496:L496"/>
    <mergeCell ref="M496:N496"/>
    <mergeCell ref="A492:N492"/>
    <mergeCell ref="A493:G493"/>
    <mergeCell ref="I493:J493"/>
    <mergeCell ref="K493:L493"/>
    <mergeCell ref="M493:N493"/>
    <mergeCell ref="A494:G494"/>
    <mergeCell ref="I494:J494"/>
    <mergeCell ref="K494:L494"/>
    <mergeCell ref="M494:N494"/>
    <mergeCell ref="A489:G489"/>
    <mergeCell ref="I489:J489"/>
    <mergeCell ref="K489:L489"/>
    <mergeCell ref="M489:N489"/>
    <mergeCell ref="K490:L490"/>
    <mergeCell ref="M490:N490"/>
    <mergeCell ref="A487:G487"/>
    <mergeCell ref="I487:J487"/>
    <mergeCell ref="K487:L487"/>
    <mergeCell ref="M487:N487"/>
    <mergeCell ref="A488:G488"/>
    <mergeCell ref="I488:J488"/>
    <mergeCell ref="K488:L488"/>
    <mergeCell ref="M488:N488"/>
    <mergeCell ref="A485:G485"/>
    <mergeCell ref="I485:J485"/>
    <mergeCell ref="K485:L485"/>
    <mergeCell ref="M485:N485"/>
    <mergeCell ref="A486:G486"/>
    <mergeCell ref="I486:J486"/>
    <mergeCell ref="K486:L486"/>
    <mergeCell ref="M486:N486"/>
    <mergeCell ref="K481:L481"/>
    <mergeCell ref="M481:N481"/>
    <mergeCell ref="A483:N483"/>
    <mergeCell ref="A484:G484"/>
    <mergeCell ref="I484:J484"/>
    <mergeCell ref="K484:L484"/>
    <mergeCell ref="M484:N484"/>
    <mergeCell ref="A479:G479"/>
    <mergeCell ref="I479:J479"/>
    <mergeCell ref="K479:L479"/>
    <mergeCell ref="M479:N479"/>
    <mergeCell ref="A480:G480"/>
    <mergeCell ref="I480:J480"/>
    <mergeCell ref="K480:L480"/>
    <mergeCell ref="M480:N480"/>
    <mergeCell ref="A478:G478"/>
    <mergeCell ref="I478:J478"/>
    <mergeCell ref="K478:L478"/>
    <mergeCell ref="M478:N478"/>
    <mergeCell ref="A475:N475"/>
    <mergeCell ref="A476:G476"/>
    <mergeCell ref="I476:J476"/>
    <mergeCell ref="K476:L476"/>
    <mergeCell ref="M476:N476"/>
    <mergeCell ref="A477:G477"/>
    <mergeCell ref="I477:J477"/>
    <mergeCell ref="K477:L477"/>
    <mergeCell ref="M477:N477"/>
    <mergeCell ref="K468:L468"/>
    <mergeCell ref="M468:N468"/>
    <mergeCell ref="A463:G463"/>
    <mergeCell ref="I463:J463"/>
    <mergeCell ref="M463:N463"/>
    <mergeCell ref="A470:N471"/>
    <mergeCell ref="A465:G465"/>
    <mergeCell ref="I465:J465"/>
    <mergeCell ref="M465:N465"/>
    <mergeCell ref="M466:N466"/>
    <mergeCell ref="A461:G461"/>
    <mergeCell ref="I461:J461"/>
    <mergeCell ref="M461:N461"/>
    <mergeCell ref="A462:G462"/>
    <mergeCell ref="I462:J462"/>
    <mergeCell ref="M462:N462"/>
    <mergeCell ref="A458:N458"/>
    <mergeCell ref="A459:G459"/>
    <mergeCell ref="I459:J459"/>
    <mergeCell ref="M459:N459"/>
    <mergeCell ref="A460:G460"/>
    <mergeCell ref="I460:J460"/>
    <mergeCell ref="M460:N460"/>
    <mergeCell ref="A455:G455"/>
    <mergeCell ref="I455:J455"/>
    <mergeCell ref="K455:L455"/>
    <mergeCell ref="M455:N455"/>
    <mergeCell ref="K456:L456"/>
    <mergeCell ref="M456:N456"/>
    <mergeCell ref="A453:G453"/>
    <mergeCell ref="I453:J453"/>
    <mergeCell ref="K453:L453"/>
    <mergeCell ref="M453:N453"/>
    <mergeCell ref="A454:G454"/>
    <mergeCell ref="I454:J454"/>
    <mergeCell ref="K454:L454"/>
    <mergeCell ref="M454:N454"/>
    <mergeCell ref="A451:G451"/>
    <mergeCell ref="I451:J451"/>
    <mergeCell ref="K451:L451"/>
    <mergeCell ref="M451:N451"/>
    <mergeCell ref="A452:G452"/>
    <mergeCell ref="I452:J452"/>
    <mergeCell ref="K452:L452"/>
    <mergeCell ref="M452:N452"/>
    <mergeCell ref="K447:L447"/>
    <mergeCell ref="M447:N447"/>
    <mergeCell ref="A449:N449"/>
    <mergeCell ref="A450:G450"/>
    <mergeCell ref="I450:J450"/>
    <mergeCell ref="K450:L450"/>
    <mergeCell ref="M450:N450"/>
    <mergeCell ref="A445:G445"/>
    <mergeCell ref="I445:J445"/>
    <mergeCell ref="K445:L445"/>
    <mergeCell ref="M445:N445"/>
    <mergeCell ref="A446:G446"/>
    <mergeCell ref="I446:J446"/>
    <mergeCell ref="K446:L446"/>
    <mergeCell ref="M446:N446"/>
    <mergeCell ref="A443:G443"/>
    <mergeCell ref="I443:J443"/>
    <mergeCell ref="K443:L443"/>
    <mergeCell ref="M443:N443"/>
    <mergeCell ref="A444:G444"/>
    <mergeCell ref="I444:J444"/>
    <mergeCell ref="K444:L444"/>
    <mergeCell ref="M444:N444"/>
    <mergeCell ref="A440:N440"/>
    <mergeCell ref="A441:G441"/>
    <mergeCell ref="I441:J441"/>
    <mergeCell ref="K441:L441"/>
    <mergeCell ref="M441:N441"/>
    <mergeCell ref="A442:G442"/>
    <mergeCell ref="I442:J442"/>
    <mergeCell ref="K442:L442"/>
    <mergeCell ref="M442:N442"/>
    <mergeCell ref="A437:G437"/>
    <mergeCell ref="I437:J437"/>
    <mergeCell ref="K437:L437"/>
    <mergeCell ref="M437:N437"/>
    <mergeCell ref="K438:L438"/>
    <mergeCell ref="M438:N438"/>
    <mergeCell ref="A435:G435"/>
    <mergeCell ref="I435:J435"/>
    <mergeCell ref="K435:L435"/>
    <mergeCell ref="M435:N435"/>
    <mergeCell ref="A436:G436"/>
    <mergeCell ref="I436:J436"/>
    <mergeCell ref="K436:L436"/>
    <mergeCell ref="M436:N436"/>
    <mergeCell ref="A434:G434"/>
    <mergeCell ref="I434:J434"/>
    <mergeCell ref="K434:L434"/>
    <mergeCell ref="M434:N434"/>
    <mergeCell ref="K381:L381"/>
    <mergeCell ref="M381:N381"/>
    <mergeCell ref="A427:N428"/>
    <mergeCell ref="A432:N432"/>
    <mergeCell ref="A433:G433"/>
    <mergeCell ref="I433:J433"/>
    <mergeCell ref="K433:L433"/>
    <mergeCell ref="M433:N433"/>
    <mergeCell ref="A378:G378"/>
    <mergeCell ref="I378:J378"/>
    <mergeCell ref="M378:N378"/>
    <mergeCell ref="A380:G380"/>
    <mergeCell ref="I380:J380"/>
    <mergeCell ref="M380:N380"/>
    <mergeCell ref="A376:G376"/>
    <mergeCell ref="I376:J376"/>
    <mergeCell ref="M376:N376"/>
    <mergeCell ref="A377:G377"/>
    <mergeCell ref="I377:J377"/>
    <mergeCell ref="M377:N377"/>
    <mergeCell ref="A383:N384"/>
    <mergeCell ref="A388:N388"/>
    <mergeCell ref="A389:G389"/>
    <mergeCell ref="I389:J389"/>
    <mergeCell ref="K389:L389"/>
    <mergeCell ref="M389:N389"/>
    <mergeCell ref="A390:G390"/>
    <mergeCell ref="I390:J390"/>
    <mergeCell ref="K390:L390"/>
    <mergeCell ref="M390:N390"/>
    <mergeCell ref="A391:G391"/>
    <mergeCell ref="I391:J391"/>
    <mergeCell ref="A373:N373"/>
    <mergeCell ref="A374:G374"/>
    <mergeCell ref="I374:J374"/>
    <mergeCell ref="M374:N374"/>
    <mergeCell ref="A375:G375"/>
    <mergeCell ref="I375:J375"/>
    <mergeCell ref="M375:N375"/>
    <mergeCell ref="A370:G370"/>
    <mergeCell ref="I370:J370"/>
    <mergeCell ref="K370:L370"/>
    <mergeCell ref="M370:N370"/>
    <mergeCell ref="K371:L371"/>
    <mergeCell ref="M371:N371"/>
    <mergeCell ref="A368:G368"/>
    <mergeCell ref="I368:J368"/>
    <mergeCell ref="K368:L368"/>
    <mergeCell ref="M368:N368"/>
    <mergeCell ref="A369:G369"/>
    <mergeCell ref="I369:J369"/>
    <mergeCell ref="K369:L369"/>
    <mergeCell ref="M369:N369"/>
    <mergeCell ref="A366:G366"/>
    <mergeCell ref="I366:J366"/>
    <mergeCell ref="K366:L366"/>
    <mergeCell ref="M366:N366"/>
    <mergeCell ref="A367:G367"/>
    <mergeCell ref="I367:J367"/>
    <mergeCell ref="K367:L367"/>
    <mergeCell ref="M367:N367"/>
    <mergeCell ref="K362:L362"/>
    <mergeCell ref="M362:N362"/>
    <mergeCell ref="A364:N364"/>
    <mergeCell ref="A365:G365"/>
    <mergeCell ref="I365:J365"/>
    <mergeCell ref="K365:L365"/>
    <mergeCell ref="M365:N365"/>
    <mergeCell ref="A360:G360"/>
    <mergeCell ref="I360:J360"/>
    <mergeCell ref="K360:L360"/>
    <mergeCell ref="M360:N360"/>
    <mergeCell ref="A361:G361"/>
    <mergeCell ref="I361:J361"/>
    <mergeCell ref="K361:L361"/>
    <mergeCell ref="M361:N361"/>
    <mergeCell ref="A358:G358"/>
    <mergeCell ref="I358:J358"/>
    <mergeCell ref="K358:L358"/>
    <mergeCell ref="M358:N358"/>
    <mergeCell ref="A359:G359"/>
    <mergeCell ref="I359:J359"/>
    <mergeCell ref="K359:L359"/>
    <mergeCell ref="M359:N359"/>
    <mergeCell ref="A355:N355"/>
    <mergeCell ref="A356:G356"/>
    <mergeCell ref="I356:J356"/>
    <mergeCell ref="K356:L356"/>
    <mergeCell ref="M356:N356"/>
    <mergeCell ref="A357:G357"/>
    <mergeCell ref="I357:J357"/>
    <mergeCell ref="K357:L357"/>
    <mergeCell ref="M357:N357"/>
    <mergeCell ref="A352:G352"/>
    <mergeCell ref="I352:J352"/>
    <mergeCell ref="K352:L352"/>
    <mergeCell ref="M352:N352"/>
    <mergeCell ref="K353:L353"/>
    <mergeCell ref="M353:N353"/>
    <mergeCell ref="A350:G350"/>
    <mergeCell ref="I350:J350"/>
    <mergeCell ref="K350:L350"/>
    <mergeCell ref="M350:N350"/>
    <mergeCell ref="A351:G351"/>
    <mergeCell ref="I351:J351"/>
    <mergeCell ref="K351:L351"/>
    <mergeCell ref="M351:N351"/>
    <mergeCell ref="A349:G349"/>
    <mergeCell ref="I349:J349"/>
    <mergeCell ref="K349:L349"/>
    <mergeCell ref="M349:N349"/>
    <mergeCell ref="K340:L340"/>
    <mergeCell ref="M340:N340"/>
    <mergeCell ref="A342:N343"/>
    <mergeCell ref="A347:N347"/>
    <mergeCell ref="A348:G348"/>
    <mergeCell ref="I348:J348"/>
    <mergeCell ref="K348:L348"/>
    <mergeCell ref="M348:N348"/>
    <mergeCell ref="A335:G335"/>
    <mergeCell ref="I335:J335"/>
    <mergeCell ref="M335:N335"/>
    <mergeCell ref="A336:G336"/>
    <mergeCell ref="I336:J336"/>
    <mergeCell ref="M336:N336"/>
    <mergeCell ref="A333:G333"/>
    <mergeCell ref="I333:J333"/>
    <mergeCell ref="M333:N333"/>
    <mergeCell ref="A334:G334"/>
    <mergeCell ref="I334:J334"/>
    <mergeCell ref="M334:N334"/>
    <mergeCell ref="A330:N330"/>
    <mergeCell ref="A331:G331"/>
    <mergeCell ref="I331:J331"/>
    <mergeCell ref="M331:N331"/>
    <mergeCell ref="A332:G332"/>
    <mergeCell ref="I332:J332"/>
    <mergeCell ref="M332:N332"/>
    <mergeCell ref="A327:G327"/>
    <mergeCell ref="I327:J327"/>
    <mergeCell ref="K327:L327"/>
    <mergeCell ref="M327:N327"/>
    <mergeCell ref="K328:L328"/>
    <mergeCell ref="M328:N328"/>
    <mergeCell ref="A325:G325"/>
    <mergeCell ref="I325:J325"/>
    <mergeCell ref="K325:L325"/>
    <mergeCell ref="M325:N325"/>
    <mergeCell ref="A326:G326"/>
    <mergeCell ref="I326:J326"/>
    <mergeCell ref="K326:L326"/>
    <mergeCell ref="M326:N326"/>
    <mergeCell ref="A323:G323"/>
    <mergeCell ref="I323:J323"/>
    <mergeCell ref="K323:L323"/>
    <mergeCell ref="M323:N323"/>
    <mergeCell ref="A324:G324"/>
    <mergeCell ref="I324:J324"/>
    <mergeCell ref="K324:L324"/>
    <mergeCell ref="M324:N324"/>
    <mergeCell ref="K319:L319"/>
    <mergeCell ref="M319:N319"/>
    <mergeCell ref="A321:N321"/>
    <mergeCell ref="A322:G322"/>
    <mergeCell ref="I322:J322"/>
    <mergeCell ref="K322:L322"/>
    <mergeCell ref="M322:N322"/>
    <mergeCell ref="A317:G317"/>
    <mergeCell ref="I317:J317"/>
    <mergeCell ref="K317:L317"/>
    <mergeCell ref="M317:N317"/>
    <mergeCell ref="A318:G318"/>
    <mergeCell ref="I318:J318"/>
    <mergeCell ref="K318:L318"/>
    <mergeCell ref="M318:N318"/>
    <mergeCell ref="A315:G315"/>
    <mergeCell ref="I315:J315"/>
    <mergeCell ref="K315:L315"/>
    <mergeCell ref="M315:N315"/>
    <mergeCell ref="A316:G316"/>
    <mergeCell ref="I316:J316"/>
    <mergeCell ref="K316:L316"/>
    <mergeCell ref="M316:N316"/>
    <mergeCell ref="A312:N312"/>
    <mergeCell ref="A313:G313"/>
    <mergeCell ref="I313:J313"/>
    <mergeCell ref="K313:L313"/>
    <mergeCell ref="M313:N313"/>
    <mergeCell ref="A314:G314"/>
    <mergeCell ref="I314:J314"/>
    <mergeCell ref="K314:L314"/>
    <mergeCell ref="M314:N314"/>
    <mergeCell ref="A309:G309"/>
    <mergeCell ref="I309:J309"/>
    <mergeCell ref="K309:L309"/>
    <mergeCell ref="M309:N309"/>
    <mergeCell ref="K310:L310"/>
    <mergeCell ref="M310:N310"/>
    <mergeCell ref="A307:G307"/>
    <mergeCell ref="I307:J307"/>
    <mergeCell ref="K307:L307"/>
    <mergeCell ref="M307:N307"/>
    <mergeCell ref="A308:G308"/>
    <mergeCell ref="I308:J308"/>
    <mergeCell ref="K308:L308"/>
    <mergeCell ref="M308:N308"/>
    <mergeCell ref="A306:G306"/>
    <mergeCell ref="I306:J306"/>
    <mergeCell ref="K306:L306"/>
    <mergeCell ref="M306:N306"/>
    <mergeCell ref="K297:L297"/>
    <mergeCell ref="M297:N297"/>
    <mergeCell ref="A299:N300"/>
    <mergeCell ref="A304:N304"/>
    <mergeCell ref="A305:G305"/>
    <mergeCell ref="I305:J305"/>
    <mergeCell ref="K305:L305"/>
    <mergeCell ref="M305:N305"/>
    <mergeCell ref="A295:G295"/>
    <mergeCell ref="I295:J295"/>
    <mergeCell ref="M295:N295"/>
    <mergeCell ref="A293:G293"/>
    <mergeCell ref="I293:J293"/>
    <mergeCell ref="M293:N293"/>
    <mergeCell ref="A294:G294"/>
    <mergeCell ref="I294:J294"/>
    <mergeCell ref="M294:N294"/>
    <mergeCell ref="A290:N290"/>
    <mergeCell ref="A291:G291"/>
    <mergeCell ref="I291:J291"/>
    <mergeCell ref="M291:N291"/>
    <mergeCell ref="A292:G292"/>
    <mergeCell ref="I292:J292"/>
    <mergeCell ref="M292:N292"/>
    <mergeCell ref="A287:G287"/>
    <mergeCell ref="I287:J287"/>
    <mergeCell ref="K287:L287"/>
    <mergeCell ref="M287:N287"/>
    <mergeCell ref="K288:L288"/>
    <mergeCell ref="M288:N288"/>
    <mergeCell ref="A285:G285"/>
    <mergeCell ref="I285:J285"/>
    <mergeCell ref="K285:L285"/>
    <mergeCell ref="M285:N285"/>
    <mergeCell ref="A286:G286"/>
    <mergeCell ref="I286:J286"/>
    <mergeCell ref="K286:L286"/>
    <mergeCell ref="M286:N286"/>
    <mergeCell ref="A284:G284"/>
    <mergeCell ref="I284:J284"/>
    <mergeCell ref="K284:L284"/>
    <mergeCell ref="M284:N284"/>
    <mergeCell ref="K279:L279"/>
    <mergeCell ref="M279:N279"/>
    <mergeCell ref="A281:N281"/>
    <mergeCell ref="A282:G282"/>
    <mergeCell ref="I282:J282"/>
    <mergeCell ref="K282:L282"/>
    <mergeCell ref="M282:N282"/>
    <mergeCell ref="A277:G277"/>
    <mergeCell ref="I277:J277"/>
    <mergeCell ref="K277:L277"/>
    <mergeCell ref="M277:N277"/>
    <mergeCell ref="A278:G278"/>
    <mergeCell ref="I278:J278"/>
    <mergeCell ref="K278:L278"/>
    <mergeCell ref="M278:N278"/>
    <mergeCell ref="A276:G276"/>
    <mergeCell ref="I276:J276"/>
    <mergeCell ref="K276:L276"/>
    <mergeCell ref="M276:N276"/>
    <mergeCell ref="A272:N272"/>
    <mergeCell ref="A273:G273"/>
    <mergeCell ref="I273:J273"/>
    <mergeCell ref="K273:L273"/>
    <mergeCell ref="M273:N273"/>
    <mergeCell ref="A274:G274"/>
    <mergeCell ref="I274:J274"/>
    <mergeCell ref="K274:L274"/>
    <mergeCell ref="M274:N274"/>
    <mergeCell ref="A283:G283"/>
    <mergeCell ref="I283:J283"/>
    <mergeCell ref="K283:L283"/>
    <mergeCell ref="M283:N283"/>
    <mergeCell ref="A269:G269"/>
    <mergeCell ref="I269:J269"/>
    <mergeCell ref="K269:L269"/>
    <mergeCell ref="M269:N269"/>
    <mergeCell ref="K270:L270"/>
    <mergeCell ref="M270:N270"/>
    <mergeCell ref="A268:G268"/>
    <mergeCell ref="I268:J268"/>
    <mergeCell ref="K268:L268"/>
    <mergeCell ref="M267:N267"/>
    <mergeCell ref="M268:N268"/>
    <mergeCell ref="A266:G266"/>
    <mergeCell ref="I266:J266"/>
    <mergeCell ref="K266:L266"/>
    <mergeCell ref="M266:N266"/>
    <mergeCell ref="A275:G275"/>
    <mergeCell ref="I275:J275"/>
    <mergeCell ref="K275:L275"/>
    <mergeCell ref="M275:N275"/>
    <mergeCell ref="K257:L257"/>
    <mergeCell ref="M257:N257"/>
    <mergeCell ref="A259:N260"/>
    <mergeCell ref="A264:N264"/>
    <mergeCell ref="A265:G265"/>
    <mergeCell ref="I265:J265"/>
    <mergeCell ref="K265:L265"/>
    <mergeCell ref="M265:N265"/>
    <mergeCell ref="A255:G255"/>
    <mergeCell ref="I255:J255"/>
    <mergeCell ref="M255:N255"/>
    <mergeCell ref="A256:G256"/>
    <mergeCell ref="I256:J256"/>
    <mergeCell ref="M256:N256"/>
    <mergeCell ref="A253:G253"/>
    <mergeCell ref="I253:J253"/>
    <mergeCell ref="M253:N253"/>
    <mergeCell ref="A254:G254"/>
    <mergeCell ref="I254:J254"/>
    <mergeCell ref="M254:N254"/>
    <mergeCell ref="A250:N250"/>
    <mergeCell ref="A251:G251"/>
    <mergeCell ref="I251:J251"/>
    <mergeCell ref="M251:N251"/>
    <mergeCell ref="A252:G252"/>
    <mergeCell ref="I252:J252"/>
    <mergeCell ref="M252:N252"/>
    <mergeCell ref="A247:G247"/>
    <mergeCell ref="I247:J247"/>
    <mergeCell ref="K247:L247"/>
    <mergeCell ref="M247:N247"/>
    <mergeCell ref="K248:L248"/>
    <mergeCell ref="M248:N248"/>
    <mergeCell ref="A245:G245"/>
    <mergeCell ref="I245:J245"/>
    <mergeCell ref="K245:L245"/>
    <mergeCell ref="M245:N245"/>
    <mergeCell ref="A246:G246"/>
    <mergeCell ref="I246:J246"/>
    <mergeCell ref="K246:L246"/>
    <mergeCell ref="M246:N246"/>
    <mergeCell ref="A243:G243"/>
    <mergeCell ref="I243:J243"/>
    <mergeCell ref="K243:L243"/>
    <mergeCell ref="M243:N243"/>
    <mergeCell ref="A244:G244"/>
    <mergeCell ref="I244:J244"/>
    <mergeCell ref="K244:L244"/>
    <mergeCell ref="M244:N244"/>
    <mergeCell ref="K239:L239"/>
    <mergeCell ref="M239:N239"/>
    <mergeCell ref="A241:N241"/>
    <mergeCell ref="A242:G242"/>
    <mergeCell ref="I242:J242"/>
    <mergeCell ref="K242:L242"/>
    <mergeCell ref="M242:N242"/>
    <mergeCell ref="A237:G237"/>
    <mergeCell ref="I237:J237"/>
    <mergeCell ref="K237:L237"/>
    <mergeCell ref="M237:N237"/>
    <mergeCell ref="A238:G238"/>
    <mergeCell ref="I238:J238"/>
    <mergeCell ref="K238:L238"/>
    <mergeCell ref="M238:N238"/>
    <mergeCell ref="A235:G235"/>
    <mergeCell ref="I235:J235"/>
    <mergeCell ref="K235:L235"/>
    <mergeCell ref="M235:N235"/>
    <mergeCell ref="A236:G236"/>
    <mergeCell ref="I236:J236"/>
    <mergeCell ref="K236:L236"/>
    <mergeCell ref="M236:N236"/>
    <mergeCell ref="A232:N232"/>
    <mergeCell ref="A233:G233"/>
    <mergeCell ref="I233:J233"/>
    <mergeCell ref="K233:L233"/>
    <mergeCell ref="M233:N233"/>
    <mergeCell ref="A234:G234"/>
    <mergeCell ref="I234:J234"/>
    <mergeCell ref="K234:L234"/>
    <mergeCell ref="M234:N234"/>
    <mergeCell ref="A229:G229"/>
    <mergeCell ref="I229:J229"/>
    <mergeCell ref="K229:L229"/>
    <mergeCell ref="M229:N229"/>
    <mergeCell ref="K230:L230"/>
    <mergeCell ref="M230:N230"/>
    <mergeCell ref="A227:G227"/>
    <mergeCell ref="I227:J227"/>
    <mergeCell ref="K227:L227"/>
    <mergeCell ref="M227:N227"/>
    <mergeCell ref="A228:G228"/>
    <mergeCell ref="I228:J228"/>
    <mergeCell ref="K228:L228"/>
    <mergeCell ref="M228:N228"/>
    <mergeCell ref="A226:G226"/>
    <mergeCell ref="I226:J226"/>
    <mergeCell ref="K226:L226"/>
    <mergeCell ref="M226:N226"/>
    <mergeCell ref="A219:N220"/>
    <mergeCell ref="A224:N224"/>
    <mergeCell ref="A225:G225"/>
    <mergeCell ref="I225:J225"/>
    <mergeCell ref="K225:L225"/>
    <mergeCell ref="M225:N225"/>
    <mergeCell ref="K217:L217"/>
    <mergeCell ref="M217:N217"/>
    <mergeCell ref="A195:G195"/>
    <mergeCell ref="I195:J195"/>
    <mergeCell ref="K195:L195"/>
    <mergeCell ref="M195:N195"/>
    <mergeCell ref="A214:G214"/>
    <mergeCell ref="I214:J214"/>
    <mergeCell ref="M214:N214"/>
    <mergeCell ref="A215:G215"/>
    <mergeCell ref="I215:J215"/>
    <mergeCell ref="M215:N215"/>
    <mergeCell ref="A213:G213"/>
    <mergeCell ref="I213:J213"/>
    <mergeCell ref="M213:N213"/>
    <mergeCell ref="A210:N210"/>
    <mergeCell ref="A211:G211"/>
    <mergeCell ref="I211:J211"/>
    <mergeCell ref="M211:N211"/>
    <mergeCell ref="A212:G212"/>
    <mergeCell ref="I212:J212"/>
    <mergeCell ref="M212:N212"/>
    <mergeCell ref="A207:G207"/>
    <mergeCell ref="I189:J189"/>
    <mergeCell ref="I207:J207"/>
    <mergeCell ref="K207:L207"/>
    <mergeCell ref="M207:N207"/>
    <mergeCell ref="K208:L208"/>
    <mergeCell ref="M208:N208"/>
    <mergeCell ref="A205:G205"/>
    <mergeCell ref="I205:J205"/>
    <mergeCell ref="K205:L205"/>
    <mergeCell ref="M205:N205"/>
    <mergeCell ref="A206:G206"/>
    <mergeCell ref="I206:J206"/>
    <mergeCell ref="K206:L206"/>
    <mergeCell ref="M206:N206"/>
    <mergeCell ref="A203:G203"/>
    <mergeCell ref="I203:J203"/>
    <mergeCell ref="K203:L203"/>
    <mergeCell ref="M203:N203"/>
    <mergeCell ref="A204:G204"/>
    <mergeCell ref="I204:J204"/>
    <mergeCell ref="K204:L204"/>
    <mergeCell ref="M204:N204"/>
    <mergeCell ref="M185:N185"/>
    <mergeCell ref="M187:N187"/>
    <mergeCell ref="M188:N188"/>
    <mergeCell ref="K199:L199"/>
    <mergeCell ref="M199:N199"/>
    <mergeCell ref="A201:N201"/>
    <mergeCell ref="A202:G202"/>
    <mergeCell ref="I202:J202"/>
    <mergeCell ref="K202:L202"/>
    <mergeCell ref="M202:N202"/>
    <mergeCell ref="A197:G197"/>
    <mergeCell ref="I197:J197"/>
    <mergeCell ref="K197:L197"/>
    <mergeCell ref="M197:N197"/>
    <mergeCell ref="A198:G198"/>
    <mergeCell ref="I198:J198"/>
    <mergeCell ref="K198:L198"/>
    <mergeCell ref="M198:N198"/>
    <mergeCell ref="A196:G196"/>
    <mergeCell ref="I196:J196"/>
    <mergeCell ref="K196:L196"/>
    <mergeCell ref="M196:N196"/>
    <mergeCell ref="A192:N192"/>
    <mergeCell ref="A193:G193"/>
    <mergeCell ref="I193:J193"/>
    <mergeCell ref="K193:L193"/>
    <mergeCell ref="M193:N193"/>
    <mergeCell ref="A194:G194"/>
    <mergeCell ref="I194:J194"/>
    <mergeCell ref="K194:L194"/>
    <mergeCell ref="M194:N194"/>
    <mergeCell ref="A189:G189"/>
    <mergeCell ref="A170:G170"/>
    <mergeCell ref="I170:J170"/>
    <mergeCell ref="M170:N170"/>
    <mergeCell ref="A173:G173"/>
    <mergeCell ref="I173:J173"/>
    <mergeCell ref="M173:N173"/>
    <mergeCell ref="I171:J171"/>
    <mergeCell ref="M171:N171"/>
    <mergeCell ref="A168:G168"/>
    <mergeCell ref="I168:J168"/>
    <mergeCell ref="M168:N168"/>
    <mergeCell ref="A169:G169"/>
    <mergeCell ref="I169:J169"/>
    <mergeCell ref="M169:N169"/>
    <mergeCell ref="K189:L189"/>
    <mergeCell ref="M189:N189"/>
    <mergeCell ref="K190:L190"/>
    <mergeCell ref="M190:N190"/>
    <mergeCell ref="A188:G188"/>
    <mergeCell ref="I188:J188"/>
    <mergeCell ref="K188:L188"/>
    <mergeCell ref="A186:G186"/>
    <mergeCell ref="I186:J186"/>
    <mergeCell ref="K186:L186"/>
    <mergeCell ref="M186:N186"/>
    <mergeCell ref="K177:L177"/>
    <mergeCell ref="M177:N177"/>
    <mergeCell ref="A179:N180"/>
    <mergeCell ref="A184:N184"/>
    <mergeCell ref="A185:G185"/>
    <mergeCell ref="I185:J185"/>
    <mergeCell ref="K185:L185"/>
    <mergeCell ref="A165:N165"/>
    <mergeCell ref="A166:G166"/>
    <mergeCell ref="I166:J166"/>
    <mergeCell ref="M166:N166"/>
    <mergeCell ref="A167:G167"/>
    <mergeCell ref="I167:J167"/>
    <mergeCell ref="M167:N167"/>
    <mergeCell ref="A162:G162"/>
    <mergeCell ref="I162:J162"/>
    <mergeCell ref="K162:L162"/>
    <mergeCell ref="M162:N162"/>
    <mergeCell ref="K163:L163"/>
    <mergeCell ref="M163:N163"/>
    <mergeCell ref="A160:G160"/>
    <mergeCell ref="I160:J160"/>
    <mergeCell ref="K160:L160"/>
    <mergeCell ref="M160:N160"/>
    <mergeCell ref="A161:G161"/>
    <mergeCell ref="I161:J161"/>
    <mergeCell ref="K161:L161"/>
    <mergeCell ref="M161:N161"/>
    <mergeCell ref="A158:G158"/>
    <mergeCell ref="I158:J158"/>
    <mergeCell ref="K158:L158"/>
    <mergeCell ref="M158:N158"/>
    <mergeCell ref="A159:G159"/>
    <mergeCell ref="I159:J159"/>
    <mergeCell ref="K159:L159"/>
    <mergeCell ref="M159:N159"/>
    <mergeCell ref="K154:L154"/>
    <mergeCell ref="M154:N154"/>
    <mergeCell ref="A156:N156"/>
    <mergeCell ref="A157:G157"/>
    <mergeCell ref="I157:J157"/>
    <mergeCell ref="K157:L157"/>
    <mergeCell ref="M157:N157"/>
    <mergeCell ref="A152:G152"/>
    <mergeCell ref="I152:J152"/>
    <mergeCell ref="K152:L152"/>
    <mergeCell ref="M152:N152"/>
    <mergeCell ref="A153:G153"/>
    <mergeCell ref="I153:J153"/>
    <mergeCell ref="K153:L153"/>
    <mergeCell ref="M153:N153"/>
    <mergeCell ref="A150:G150"/>
    <mergeCell ref="I150:J150"/>
    <mergeCell ref="K150:L150"/>
    <mergeCell ref="M150:N150"/>
    <mergeCell ref="A151:G151"/>
    <mergeCell ref="I151:J151"/>
    <mergeCell ref="K151:L151"/>
    <mergeCell ref="M151:N151"/>
    <mergeCell ref="A147:N147"/>
    <mergeCell ref="A148:G148"/>
    <mergeCell ref="I148:J148"/>
    <mergeCell ref="K148:L148"/>
    <mergeCell ref="M148:N148"/>
    <mergeCell ref="A149:G149"/>
    <mergeCell ref="I149:J149"/>
    <mergeCell ref="K149:L149"/>
    <mergeCell ref="M149:N149"/>
    <mergeCell ref="A144:G144"/>
    <mergeCell ref="I144:J144"/>
    <mergeCell ref="K144:L144"/>
    <mergeCell ref="M144:N144"/>
    <mergeCell ref="K145:L145"/>
    <mergeCell ref="M145:N145"/>
    <mergeCell ref="A142:G142"/>
    <mergeCell ref="I142:J142"/>
    <mergeCell ref="K142:L142"/>
    <mergeCell ref="M142:N142"/>
    <mergeCell ref="A143:G143"/>
    <mergeCell ref="I143:J143"/>
    <mergeCell ref="K143:L143"/>
    <mergeCell ref="M143:N143"/>
    <mergeCell ref="A140:G140"/>
    <mergeCell ref="I140:J140"/>
    <mergeCell ref="K140:L140"/>
    <mergeCell ref="M140:N140"/>
    <mergeCell ref="A141:G141"/>
    <mergeCell ref="I141:J141"/>
    <mergeCell ref="K141:L141"/>
    <mergeCell ref="M141:N141"/>
    <mergeCell ref="A133:N134"/>
    <mergeCell ref="A138:N138"/>
    <mergeCell ref="A139:G139"/>
    <mergeCell ref="I139:J139"/>
    <mergeCell ref="K139:L139"/>
    <mergeCell ref="M139:N139"/>
    <mergeCell ref="K131:L131"/>
    <mergeCell ref="M131:N131"/>
    <mergeCell ref="A100:G100"/>
    <mergeCell ref="I100:J100"/>
    <mergeCell ref="K100:L100"/>
    <mergeCell ref="M100:N100"/>
    <mergeCell ref="A129:G129"/>
    <mergeCell ref="I129:J129"/>
    <mergeCell ref="M129:N129"/>
    <mergeCell ref="A126:G126"/>
    <mergeCell ref="I126:J126"/>
    <mergeCell ref="M126:N126"/>
    <mergeCell ref="A127:G127"/>
    <mergeCell ref="I127:J127"/>
    <mergeCell ref="M127:N127"/>
    <mergeCell ref="A123:N123"/>
    <mergeCell ref="A124:G124"/>
    <mergeCell ref="I124:J124"/>
    <mergeCell ref="M124:N124"/>
    <mergeCell ref="A125:G125"/>
    <mergeCell ref="I125:J125"/>
    <mergeCell ref="M125:N125"/>
    <mergeCell ref="A120:G120"/>
    <mergeCell ref="I120:J120"/>
    <mergeCell ref="K120:L120"/>
    <mergeCell ref="M120:N120"/>
    <mergeCell ref="K121:L121"/>
    <mergeCell ref="M121:N121"/>
    <mergeCell ref="A118:G118"/>
    <mergeCell ref="I118:J118"/>
    <mergeCell ref="K118:L118"/>
    <mergeCell ref="M118:N118"/>
    <mergeCell ref="A119:G119"/>
    <mergeCell ref="I119:J119"/>
    <mergeCell ref="K119:L119"/>
    <mergeCell ref="M119:N119"/>
    <mergeCell ref="A116:G116"/>
    <mergeCell ref="I116:J116"/>
    <mergeCell ref="K116:L116"/>
    <mergeCell ref="M116:N116"/>
    <mergeCell ref="A117:G117"/>
    <mergeCell ref="I117:J117"/>
    <mergeCell ref="K117:L117"/>
    <mergeCell ref="M117:N117"/>
    <mergeCell ref="K112:L112"/>
    <mergeCell ref="M112:N112"/>
    <mergeCell ref="A114:N114"/>
    <mergeCell ref="A115:G115"/>
    <mergeCell ref="I115:J115"/>
    <mergeCell ref="K115:L115"/>
    <mergeCell ref="M115:N115"/>
    <mergeCell ref="A110:G110"/>
    <mergeCell ref="I110:J110"/>
    <mergeCell ref="K110:L110"/>
    <mergeCell ref="M110:N110"/>
    <mergeCell ref="A111:G111"/>
    <mergeCell ref="I111:J111"/>
    <mergeCell ref="K111:L111"/>
    <mergeCell ref="M111:N111"/>
    <mergeCell ref="A108:G108"/>
    <mergeCell ref="I108:J108"/>
    <mergeCell ref="K108:L108"/>
    <mergeCell ref="M108:N108"/>
    <mergeCell ref="A109:G109"/>
    <mergeCell ref="I109:J109"/>
    <mergeCell ref="K109:L109"/>
    <mergeCell ref="M109:N109"/>
    <mergeCell ref="A105:N105"/>
    <mergeCell ref="A106:G106"/>
    <mergeCell ref="I106:J106"/>
    <mergeCell ref="K106:L106"/>
    <mergeCell ref="M106:N106"/>
    <mergeCell ref="A107:G107"/>
    <mergeCell ref="I107:J107"/>
    <mergeCell ref="K107:L107"/>
    <mergeCell ref="M107:N107"/>
    <mergeCell ref="A102:G102"/>
    <mergeCell ref="I102:J102"/>
    <mergeCell ref="K102:L102"/>
    <mergeCell ref="M102:N102"/>
    <mergeCell ref="K103:L103"/>
    <mergeCell ref="M103:N103"/>
    <mergeCell ref="A99:G99"/>
    <mergeCell ref="I99:J99"/>
    <mergeCell ref="K99:L99"/>
    <mergeCell ref="M99:N99"/>
    <mergeCell ref="A101:G101"/>
    <mergeCell ref="I101:J101"/>
    <mergeCell ref="K101:L101"/>
    <mergeCell ref="M101:N101"/>
    <mergeCell ref="A98:G98"/>
    <mergeCell ref="I98:J98"/>
    <mergeCell ref="K98:L98"/>
    <mergeCell ref="M98:N98"/>
    <mergeCell ref="A91:N92"/>
    <mergeCell ref="A96:N96"/>
    <mergeCell ref="A97:G97"/>
    <mergeCell ref="I97:J97"/>
    <mergeCell ref="K97:L97"/>
    <mergeCell ref="M97:N97"/>
    <mergeCell ref="K89:L89"/>
    <mergeCell ref="M89:N89"/>
    <mergeCell ref="A60:G60"/>
    <mergeCell ref="I60:J60"/>
    <mergeCell ref="K60:L60"/>
    <mergeCell ref="M60:N60"/>
    <mergeCell ref="A83:G83"/>
    <mergeCell ref="I83:J83"/>
    <mergeCell ref="M83:N83"/>
    <mergeCell ref="A88:G88"/>
    <mergeCell ref="A81:G81"/>
    <mergeCell ref="I81:J81"/>
    <mergeCell ref="M81:N81"/>
    <mergeCell ref="A82:G82"/>
    <mergeCell ref="I82:J82"/>
    <mergeCell ref="M82:N82"/>
    <mergeCell ref="A79:G79"/>
    <mergeCell ref="I79:J79"/>
    <mergeCell ref="M79:N79"/>
    <mergeCell ref="A80:G80"/>
    <mergeCell ref="I80:J80"/>
    <mergeCell ref="M80:N80"/>
    <mergeCell ref="A76:N76"/>
    <mergeCell ref="A77:G77"/>
    <mergeCell ref="I77:J77"/>
    <mergeCell ref="M77:N77"/>
    <mergeCell ref="A78:G78"/>
    <mergeCell ref="I78:J78"/>
    <mergeCell ref="M78:N78"/>
    <mergeCell ref="A73:G73"/>
    <mergeCell ref="I73:J73"/>
    <mergeCell ref="K73:L73"/>
    <mergeCell ref="M73:N73"/>
    <mergeCell ref="K74:L74"/>
    <mergeCell ref="M74:N74"/>
    <mergeCell ref="A71:G71"/>
    <mergeCell ref="I71:J71"/>
    <mergeCell ref="K71:L71"/>
    <mergeCell ref="M71:N71"/>
    <mergeCell ref="A72:G72"/>
    <mergeCell ref="I72:J72"/>
    <mergeCell ref="K72:L72"/>
    <mergeCell ref="M72:N72"/>
    <mergeCell ref="A69:G69"/>
    <mergeCell ref="I69:J69"/>
    <mergeCell ref="K69:L69"/>
    <mergeCell ref="M69:N69"/>
    <mergeCell ref="A70:G70"/>
    <mergeCell ref="I70:J70"/>
    <mergeCell ref="K70:L70"/>
    <mergeCell ref="M70:N70"/>
    <mergeCell ref="K65:L65"/>
    <mergeCell ref="M65:N65"/>
    <mergeCell ref="A67:N67"/>
    <mergeCell ref="A68:G68"/>
    <mergeCell ref="I68:J68"/>
    <mergeCell ref="K68:L68"/>
    <mergeCell ref="M68:N68"/>
    <mergeCell ref="A63:G63"/>
    <mergeCell ref="I63:J63"/>
    <mergeCell ref="K63:L63"/>
    <mergeCell ref="M63:N63"/>
    <mergeCell ref="A64:G64"/>
    <mergeCell ref="I64:J64"/>
    <mergeCell ref="K64:L64"/>
    <mergeCell ref="M64:N64"/>
    <mergeCell ref="A61:G61"/>
    <mergeCell ref="I61:J61"/>
    <mergeCell ref="K61:L61"/>
    <mergeCell ref="M61:N61"/>
    <mergeCell ref="A62:G62"/>
    <mergeCell ref="I62:J62"/>
    <mergeCell ref="K62:L62"/>
    <mergeCell ref="M62:N62"/>
    <mergeCell ref="A58:N58"/>
    <mergeCell ref="A59:G59"/>
    <mergeCell ref="I59:J59"/>
    <mergeCell ref="K59:L59"/>
    <mergeCell ref="M59:N59"/>
    <mergeCell ref="A55:G55"/>
    <mergeCell ref="I55:J55"/>
    <mergeCell ref="K55:L55"/>
    <mergeCell ref="M55:N55"/>
    <mergeCell ref="K56:L56"/>
    <mergeCell ref="M56:N56"/>
    <mergeCell ref="A53:G53"/>
    <mergeCell ref="I53:J53"/>
    <mergeCell ref="K53:L53"/>
    <mergeCell ref="M53:N53"/>
    <mergeCell ref="A54:G54"/>
    <mergeCell ref="I54:J54"/>
    <mergeCell ref="K54:L54"/>
    <mergeCell ref="M54:N54"/>
    <mergeCell ref="A51:G51"/>
    <mergeCell ref="I51:J51"/>
    <mergeCell ref="K51:L51"/>
    <mergeCell ref="M51:N51"/>
    <mergeCell ref="A52:G52"/>
    <mergeCell ref="I52:J52"/>
    <mergeCell ref="K52:L52"/>
    <mergeCell ref="M52:N52"/>
    <mergeCell ref="K42:L42"/>
    <mergeCell ref="M42:N42"/>
    <mergeCell ref="A44:N45"/>
    <mergeCell ref="A49:N49"/>
    <mergeCell ref="A50:G50"/>
    <mergeCell ref="I50:J50"/>
    <mergeCell ref="K50:L50"/>
    <mergeCell ref="M50:N50"/>
    <mergeCell ref="A39:G39"/>
    <mergeCell ref="I39:J39"/>
    <mergeCell ref="M39:N39"/>
    <mergeCell ref="A41:G41"/>
    <mergeCell ref="I41:J41"/>
    <mergeCell ref="M41:N41"/>
    <mergeCell ref="A37:G37"/>
    <mergeCell ref="I37:J37"/>
    <mergeCell ref="M37:N37"/>
    <mergeCell ref="A38:G38"/>
    <mergeCell ref="I38:J38"/>
    <mergeCell ref="M38:N38"/>
    <mergeCell ref="A34:N34"/>
    <mergeCell ref="A35:G35"/>
    <mergeCell ref="I35:J35"/>
    <mergeCell ref="M35:N35"/>
    <mergeCell ref="A36:G36"/>
    <mergeCell ref="I36:J36"/>
    <mergeCell ref="M36:N36"/>
    <mergeCell ref="A40:G40"/>
    <mergeCell ref="I40:J40"/>
    <mergeCell ref="M40:N40"/>
    <mergeCell ref="A31:G31"/>
    <mergeCell ref="I31:J31"/>
    <mergeCell ref="K31:L31"/>
    <mergeCell ref="M31:N31"/>
    <mergeCell ref="K32:L32"/>
    <mergeCell ref="M32:N32"/>
    <mergeCell ref="A29:G29"/>
    <mergeCell ref="I29:J29"/>
    <mergeCell ref="K29:L29"/>
    <mergeCell ref="M29:N29"/>
    <mergeCell ref="A30:G30"/>
    <mergeCell ref="I30:J30"/>
    <mergeCell ref="K30:L30"/>
    <mergeCell ref="M30:N30"/>
    <mergeCell ref="A27:G27"/>
    <mergeCell ref="I27:J27"/>
    <mergeCell ref="K27:L27"/>
    <mergeCell ref="M27:N27"/>
    <mergeCell ref="A28:G28"/>
    <mergeCell ref="I28:J28"/>
    <mergeCell ref="K28:L28"/>
    <mergeCell ref="M28:N28"/>
    <mergeCell ref="K23:L23"/>
    <mergeCell ref="M23:N23"/>
    <mergeCell ref="A25:N25"/>
    <mergeCell ref="A26:G26"/>
    <mergeCell ref="I26:J26"/>
    <mergeCell ref="K26:L26"/>
    <mergeCell ref="M26:N26"/>
    <mergeCell ref="A21:G21"/>
    <mergeCell ref="I21:J21"/>
    <mergeCell ref="K21:L21"/>
    <mergeCell ref="M21:N21"/>
    <mergeCell ref="A22:G22"/>
    <mergeCell ref="I22:J22"/>
    <mergeCell ref="K22:L22"/>
    <mergeCell ref="M22:N22"/>
    <mergeCell ref="A19:G19"/>
    <mergeCell ref="I19:J19"/>
    <mergeCell ref="K19:L19"/>
    <mergeCell ref="A20:G20"/>
    <mergeCell ref="I20:J20"/>
    <mergeCell ref="K20:L20"/>
    <mergeCell ref="M20:N20"/>
    <mergeCell ref="A3:N4"/>
    <mergeCell ref="A8:N8"/>
    <mergeCell ref="A9:G9"/>
    <mergeCell ref="I9:J9"/>
    <mergeCell ref="K9:L9"/>
    <mergeCell ref="M9:N9"/>
    <mergeCell ref="A17:N17"/>
    <mergeCell ref="A18:G18"/>
    <mergeCell ref="I18:J18"/>
    <mergeCell ref="K18:L18"/>
    <mergeCell ref="M18:N18"/>
    <mergeCell ref="M19:N19"/>
    <mergeCell ref="A14:G14"/>
    <mergeCell ref="I14:J14"/>
    <mergeCell ref="K14:L14"/>
    <mergeCell ref="M14:N14"/>
    <mergeCell ref="K15:L15"/>
    <mergeCell ref="M15:N15"/>
    <mergeCell ref="A12:G12"/>
    <mergeCell ref="I12:J12"/>
    <mergeCell ref="K12:L12"/>
    <mergeCell ref="M12:N12"/>
    <mergeCell ref="A13:G13"/>
    <mergeCell ref="I13:J13"/>
    <mergeCell ref="K13:L13"/>
    <mergeCell ref="M13:N13"/>
    <mergeCell ref="K391:L391"/>
    <mergeCell ref="M391:N391"/>
    <mergeCell ref="A392:G392"/>
    <mergeCell ref="I392:J392"/>
    <mergeCell ref="K392:L392"/>
    <mergeCell ref="M392:N392"/>
    <mergeCell ref="A393:G393"/>
    <mergeCell ref="I393:J393"/>
    <mergeCell ref="K393:L393"/>
    <mergeCell ref="M393:N393"/>
    <mergeCell ref="K394:L394"/>
    <mergeCell ref="M394:N394"/>
    <mergeCell ref="A396:N396"/>
    <mergeCell ref="V4:V5"/>
    <mergeCell ref="R4:R5"/>
    <mergeCell ref="S4:S5"/>
    <mergeCell ref="T4:T5"/>
    <mergeCell ref="U4:U5"/>
    <mergeCell ref="A187:G187"/>
    <mergeCell ref="I187:J187"/>
    <mergeCell ref="K187:L187"/>
    <mergeCell ref="A267:G267"/>
    <mergeCell ref="I267:J267"/>
    <mergeCell ref="K267:L267"/>
    <mergeCell ref="A10:G10"/>
    <mergeCell ref="I10:J10"/>
    <mergeCell ref="K10:L10"/>
    <mergeCell ref="M10:N10"/>
    <mergeCell ref="A11:G11"/>
    <mergeCell ref="I11:J11"/>
    <mergeCell ref="K11:L11"/>
    <mergeCell ref="M11:N11"/>
    <mergeCell ref="A397:G397"/>
    <mergeCell ref="I397:J397"/>
    <mergeCell ref="K397:L397"/>
    <mergeCell ref="M397:N397"/>
    <mergeCell ref="A398:G398"/>
    <mergeCell ref="I398:J398"/>
    <mergeCell ref="K398:L398"/>
    <mergeCell ref="M398:N398"/>
    <mergeCell ref="A399:G399"/>
    <mergeCell ref="I399:J399"/>
    <mergeCell ref="K399:L399"/>
    <mergeCell ref="M399:N399"/>
    <mergeCell ref="A400:G400"/>
    <mergeCell ref="I400:J400"/>
    <mergeCell ref="K400:L400"/>
    <mergeCell ref="M400:N400"/>
    <mergeCell ref="A401:G401"/>
    <mergeCell ref="I401:J401"/>
    <mergeCell ref="K401:L401"/>
    <mergeCell ref="M401:N401"/>
    <mergeCell ref="A402:G402"/>
    <mergeCell ref="I402:J402"/>
    <mergeCell ref="K402:L402"/>
    <mergeCell ref="M402:N402"/>
    <mergeCell ref="K403:L403"/>
    <mergeCell ref="M403:N403"/>
    <mergeCell ref="A405:N405"/>
    <mergeCell ref="A406:G406"/>
    <mergeCell ref="I406:J406"/>
    <mergeCell ref="K406:L406"/>
    <mergeCell ref="M406:N406"/>
    <mergeCell ref="A407:G407"/>
    <mergeCell ref="I407:J407"/>
    <mergeCell ref="K407:L407"/>
    <mergeCell ref="M407:N407"/>
    <mergeCell ref="A408:G408"/>
    <mergeCell ref="I408:J408"/>
    <mergeCell ref="K408:L408"/>
    <mergeCell ref="M408:N408"/>
    <mergeCell ref="I417:J417"/>
    <mergeCell ref="M417:N417"/>
    <mergeCell ref="A418:G418"/>
    <mergeCell ref="I418:J418"/>
    <mergeCell ref="M418:N418"/>
    <mergeCell ref="A419:G419"/>
    <mergeCell ref="I419:J419"/>
    <mergeCell ref="M419:N419"/>
    <mergeCell ref="A420:G420"/>
    <mergeCell ref="I420:J420"/>
    <mergeCell ref="M420:N420"/>
    <mergeCell ref="A421:G421"/>
    <mergeCell ref="I421:J421"/>
    <mergeCell ref="M421:N421"/>
    <mergeCell ref="A409:G409"/>
    <mergeCell ref="I409:J409"/>
    <mergeCell ref="K409:L409"/>
    <mergeCell ref="M409:N409"/>
    <mergeCell ref="A410:G410"/>
    <mergeCell ref="I410:J410"/>
    <mergeCell ref="K410:L410"/>
    <mergeCell ref="M410:N410"/>
    <mergeCell ref="A411:G411"/>
    <mergeCell ref="I411:J411"/>
    <mergeCell ref="K411:L411"/>
    <mergeCell ref="M411:N411"/>
    <mergeCell ref="K412:L412"/>
    <mergeCell ref="M412:N412"/>
    <mergeCell ref="A414:N414"/>
    <mergeCell ref="A415:G415"/>
    <mergeCell ref="I415:J415"/>
    <mergeCell ref="M415:N415"/>
    <mergeCell ref="A84:G84"/>
    <mergeCell ref="I84:J84"/>
    <mergeCell ref="M84:N84"/>
    <mergeCell ref="A85:G85"/>
    <mergeCell ref="A86:G86"/>
    <mergeCell ref="I85:J85"/>
    <mergeCell ref="I86:J86"/>
    <mergeCell ref="M85:N85"/>
    <mergeCell ref="M86:N86"/>
    <mergeCell ref="A128:G128"/>
    <mergeCell ref="I128:J128"/>
    <mergeCell ref="M128:N128"/>
    <mergeCell ref="A638:G638"/>
    <mergeCell ref="I638:J638"/>
    <mergeCell ref="K638:L638"/>
    <mergeCell ref="M638:N638"/>
    <mergeCell ref="A1:N2"/>
    <mergeCell ref="A422:G422"/>
    <mergeCell ref="I422:J422"/>
    <mergeCell ref="M422:N422"/>
    <mergeCell ref="A423:G423"/>
    <mergeCell ref="I423:J423"/>
    <mergeCell ref="M423:N423"/>
    <mergeCell ref="A424:G424"/>
    <mergeCell ref="I424:J424"/>
    <mergeCell ref="M424:N424"/>
    <mergeCell ref="K425:L425"/>
    <mergeCell ref="M425:N425"/>
    <mergeCell ref="A416:G416"/>
    <mergeCell ref="I416:J416"/>
    <mergeCell ref="M416:N416"/>
    <mergeCell ref="A417:G417"/>
    <mergeCell ref="A646:G646"/>
    <mergeCell ref="I646:J646"/>
    <mergeCell ref="K646:L646"/>
    <mergeCell ref="M646:N646"/>
    <mergeCell ref="A647:G647"/>
    <mergeCell ref="I647:J647"/>
    <mergeCell ref="K647:L647"/>
    <mergeCell ref="M647:N647"/>
    <mergeCell ref="A648:G648"/>
    <mergeCell ref="I648:J648"/>
    <mergeCell ref="K648:L648"/>
    <mergeCell ref="M648:N648"/>
    <mergeCell ref="A649:G649"/>
    <mergeCell ref="I649:J649"/>
    <mergeCell ref="K649:L649"/>
    <mergeCell ref="M649:N649"/>
    <mergeCell ref="A639:G639"/>
    <mergeCell ref="I639:J639"/>
    <mergeCell ref="K639:L639"/>
    <mergeCell ref="M639:N639"/>
    <mergeCell ref="A640:G640"/>
    <mergeCell ref="I640:J640"/>
    <mergeCell ref="K640:L640"/>
    <mergeCell ref="M640:N640"/>
    <mergeCell ref="A641:G641"/>
    <mergeCell ref="I641:J641"/>
    <mergeCell ref="K641:L641"/>
    <mergeCell ref="M641:N641"/>
    <mergeCell ref="K642:L642"/>
    <mergeCell ref="M642:N642"/>
    <mergeCell ref="A657:G657"/>
    <mergeCell ref="I657:J657"/>
    <mergeCell ref="K657:L657"/>
    <mergeCell ref="M657:N657"/>
    <mergeCell ref="A658:G658"/>
    <mergeCell ref="I658:J658"/>
    <mergeCell ref="K658:L658"/>
    <mergeCell ref="M658:N658"/>
    <mergeCell ref="A659:G659"/>
    <mergeCell ref="I659:J659"/>
    <mergeCell ref="K659:L659"/>
    <mergeCell ref="M659:N659"/>
    <mergeCell ref="K660:L660"/>
    <mergeCell ref="M660:N660"/>
    <mergeCell ref="A650:G650"/>
    <mergeCell ref="I650:J650"/>
    <mergeCell ref="K650:L650"/>
    <mergeCell ref="M650:N650"/>
    <mergeCell ref="K651:L651"/>
    <mergeCell ref="M651:N651"/>
    <mergeCell ref="A655:G655"/>
    <mergeCell ref="I655:J655"/>
    <mergeCell ref="K655:L655"/>
    <mergeCell ref="M655:N655"/>
    <mergeCell ref="A656:G656"/>
    <mergeCell ref="I656:J656"/>
    <mergeCell ref="K656:L656"/>
    <mergeCell ref="M656:N656"/>
    <mergeCell ref="A663:G663"/>
    <mergeCell ref="I663:J663"/>
    <mergeCell ref="M663:N663"/>
    <mergeCell ref="A670:G670"/>
    <mergeCell ref="I670:J670"/>
    <mergeCell ref="A664:G664"/>
    <mergeCell ref="I664:J664"/>
    <mergeCell ref="M664:N664"/>
    <mergeCell ref="A665:G665"/>
    <mergeCell ref="I665:J665"/>
    <mergeCell ref="M665:N665"/>
    <mergeCell ref="A666:G666"/>
    <mergeCell ref="I666:J666"/>
    <mergeCell ref="M666:N666"/>
    <mergeCell ref="A667:G667"/>
    <mergeCell ref="I667:J667"/>
    <mergeCell ref="M667:N667"/>
    <mergeCell ref="A668:G668"/>
    <mergeCell ref="I668:J668"/>
    <mergeCell ref="M668:N668"/>
    <mergeCell ref="A669:G669"/>
    <mergeCell ref="I669:J669"/>
    <mergeCell ref="M669:N669"/>
    <mergeCell ref="K718:M718"/>
    <mergeCell ref="K719:M719"/>
    <mergeCell ref="F718:I718"/>
    <mergeCell ref="F719:I719"/>
    <mergeCell ref="B718:D718"/>
    <mergeCell ref="B719:D719"/>
    <mergeCell ref="A671:G671"/>
    <mergeCell ref="I671:J671"/>
    <mergeCell ref="M671:N671"/>
    <mergeCell ref="A672:G672"/>
    <mergeCell ref="I672:J672"/>
    <mergeCell ref="M672:N672"/>
    <mergeCell ref="K673:L673"/>
    <mergeCell ref="M673:N673"/>
    <mergeCell ref="M670:N670"/>
    <mergeCell ref="A631:N632"/>
    <mergeCell ref="A636:N636"/>
    <mergeCell ref="A637:G637"/>
    <mergeCell ref="I637:J637"/>
    <mergeCell ref="K637:L637"/>
    <mergeCell ref="M637:N637"/>
    <mergeCell ref="A644:N644"/>
    <mergeCell ref="A645:G645"/>
    <mergeCell ref="I645:J645"/>
    <mergeCell ref="K645:L645"/>
    <mergeCell ref="M645:N645"/>
    <mergeCell ref="A653:N653"/>
    <mergeCell ref="A654:G654"/>
    <mergeCell ref="I654:J654"/>
    <mergeCell ref="K654:L654"/>
    <mergeCell ref="M654:N654"/>
    <mergeCell ref="A662:N662"/>
  </mergeCells>
  <phoneticPr fontId="21" type="noConversion"/>
  <dataValidations disablePrompts="1" count="2">
    <dataValidation type="list" allowBlank="1" showErrorMessage="1" sqref="A108:A111 A691:A694 A647:A650 A399:A402 A61:A64 A150:A153 A196:A198 A235:A238 A276:A278 A315:A318 A358:A361 A443:A446 A486:A489 A526:A529 A566:A569 A607:A610">
      <formula1>$C$8:$C$114</formula1>
    </dataValidation>
    <dataValidation type="list" allowBlank="1" showErrorMessage="1" sqref="A14 A685 A641 A393 A102 A55 A144 A189 A229 A309 A352 A437 A480 A520 A560 A601">
      <formula1>C$9:C$107</formula1>
    </dataValidation>
  </dataValidations>
  <pageMargins left="0.7" right="0.7" top="0.75" bottom="0.75" header="0.3" footer="0.3"/>
  <pageSetup scale="46" orientation="portrait" r:id="rId1"/>
  <rowBreaks count="3" manualBreakCount="3">
    <brk id="90" max="16383" man="1"/>
    <brk id="178" max="16383" man="1"/>
    <brk id="2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25"/>
  <sheetViews>
    <sheetView view="pageBreakPreview" topLeftCell="Z11" zoomScale="60" zoomScaleNormal="60" workbookViewId="0">
      <selection activeCell="AO26" sqref="AO26"/>
    </sheetView>
  </sheetViews>
  <sheetFormatPr baseColWidth="10" defaultRowHeight="15" x14ac:dyDescent="0.25"/>
  <cols>
    <col min="1" max="1" width="14.28515625" customWidth="1"/>
    <col min="2" max="2" width="50.42578125" style="148" customWidth="1"/>
    <col min="3" max="3" width="11.42578125" style="148"/>
    <col min="4" max="4" width="3.7109375" customWidth="1"/>
    <col min="5" max="5" width="3.42578125" customWidth="1"/>
    <col min="6" max="6" width="3.85546875" customWidth="1"/>
    <col min="7" max="7" width="3.7109375" customWidth="1"/>
    <col min="8" max="8" width="3.85546875" customWidth="1"/>
    <col min="9" max="9" width="3.7109375" customWidth="1"/>
    <col min="10" max="10" width="3.5703125" customWidth="1"/>
    <col min="11" max="11" width="3" customWidth="1"/>
    <col min="12" max="12" width="3.140625" customWidth="1"/>
    <col min="13" max="13" width="4.28515625" customWidth="1"/>
    <col min="14" max="14" width="4" customWidth="1"/>
    <col min="15" max="15" width="4.28515625" customWidth="1"/>
    <col min="16" max="16" width="4.5703125" customWidth="1"/>
    <col min="17" max="17" width="3.85546875" customWidth="1"/>
    <col min="18" max="18" width="4.42578125" customWidth="1"/>
    <col min="19" max="19" width="4.28515625" customWidth="1"/>
    <col min="20" max="20" width="3.85546875" customWidth="1"/>
    <col min="21" max="22" width="4.5703125" customWidth="1"/>
    <col min="23" max="23" width="5.28515625" customWidth="1"/>
    <col min="24" max="24" width="4" customWidth="1"/>
    <col min="25" max="25" width="5.28515625" customWidth="1"/>
    <col min="26" max="27" width="4.5703125" customWidth="1"/>
    <col min="28" max="28" width="4.85546875" customWidth="1"/>
    <col min="29" max="29" width="4.7109375" customWidth="1"/>
    <col min="30" max="32" width="4.28515625" customWidth="1"/>
    <col min="33" max="33" width="4.7109375" customWidth="1"/>
    <col min="34" max="34" width="4" customWidth="1"/>
    <col min="35" max="35" width="4.42578125" customWidth="1"/>
    <col min="36" max="36" width="6.5703125" customWidth="1"/>
    <col min="37" max="37" width="5.140625" customWidth="1"/>
    <col min="38" max="38" width="6.5703125" customWidth="1"/>
    <col min="39" max="39" width="4.42578125" customWidth="1"/>
    <col min="40" max="40" width="4.28515625" customWidth="1"/>
    <col min="41" max="41" width="5.28515625" customWidth="1"/>
    <col min="42" max="42" width="4.28515625" customWidth="1"/>
    <col min="43" max="43" width="5" customWidth="1"/>
    <col min="44" max="44" width="4" customWidth="1"/>
    <col min="45" max="45" width="5.140625" customWidth="1"/>
    <col min="46" max="46" width="5" customWidth="1"/>
    <col min="47" max="47" width="6.28515625" customWidth="1"/>
    <col min="48" max="48" width="4.140625" customWidth="1"/>
    <col min="49" max="49" width="5.7109375" customWidth="1"/>
    <col min="50" max="51" width="4.5703125" customWidth="1"/>
    <col min="52" max="52" width="4.7109375" customWidth="1"/>
    <col min="53" max="53" width="4" customWidth="1"/>
    <col min="54" max="54" width="4.42578125" customWidth="1"/>
    <col min="55" max="55" width="4.5703125" customWidth="1"/>
    <col min="56" max="56" width="4.28515625" customWidth="1"/>
    <col min="57" max="57" width="4" customWidth="1"/>
    <col min="58" max="58" width="3.85546875" customWidth="1"/>
    <col min="59" max="59" width="4.28515625" customWidth="1"/>
    <col min="60" max="60" width="4" customWidth="1"/>
    <col min="61" max="61" width="4.7109375" customWidth="1"/>
    <col min="62" max="62" width="5.7109375" customWidth="1"/>
    <col min="63" max="63" width="4.5703125" customWidth="1"/>
    <col min="64" max="64" width="4.28515625" customWidth="1"/>
    <col min="65" max="65" width="4.5703125" customWidth="1"/>
    <col min="66" max="66" width="4.7109375" customWidth="1"/>
    <col min="67" max="67" width="5.42578125" customWidth="1"/>
    <col min="68" max="68" width="5" customWidth="1"/>
    <col min="69" max="69" width="4.7109375" customWidth="1"/>
    <col min="70" max="70" width="4.85546875" customWidth="1"/>
    <col min="71" max="71" width="5" customWidth="1"/>
    <col min="72" max="72" width="4.85546875" customWidth="1"/>
    <col min="73" max="73" width="4" customWidth="1"/>
    <col min="74" max="74" width="3.85546875" customWidth="1"/>
    <col min="75" max="75" width="4" customWidth="1"/>
    <col min="76" max="76" width="4.28515625" customWidth="1"/>
    <col min="77" max="77" width="4.5703125" customWidth="1"/>
    <col min="78" max="78" width="3.85546875" customWidth="1"/>
    <col min="79" max="80" width="4" customWidth="1"/>
    <col min="81" max="81" width="4.7109375" customWidth="1"/>
    <col min="82" max="82" width="4.28515625" customWidth="1"/>
    <col min="83" max="83" width="4.5703125" customWidth="1"/>
    <col min="84" max="84" width="3.85546875" customWidth="1"/>
    <col min="85" max="85" width="5" customWidth="1"/>
    <col min="86" max="86" width="4.85546875" customWidth="1"/>
    <col min="87" max="87" width="4.7109375" customWidth="1"/>
    <col min="88" max="88" width="4" customWidth="1"/>
    <col min="89" max="89" width="5" customWidth="1"/>
    <col min="90" max="90" width="4.28515625" customWidth="1"/>
    <col min="91" max="91" width="4.85546875" customWidth="1"/>
    <col min="92" max="92" width="5" customWidth="1"/>
    <col min="93" max="93" width="4.28515625" customWidth="1"/>
  </cols>
  <sheetData>
    <row r="1" spans="1:93" ht="30.75" customHeight="1" x14ac:dyDescent="0.25">
      <c r="A1" s="161" t="s">
        <v>1</v>
      </c>
      <c r="B1" s="230" t="str">
        <f>PROFESIONALES!A5</f>
        <v>"CONSULTORÍA PARA LA ELABORACION DE LOS ESTUDIOS Y DISEÑOS CENTRO DE BIENESTAR ANIMAL  DE LA CIUDAD DE NEIVA DEPARTAMENTO DEL HUILA"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M1" s="230"/>
      <c r="AN1" s="230"/>
      <c r="AO1" s="230"/>
      <c r="AP1" s="230"/>
      <c r="AQ1" s="230"/>
      <c r="AR1" s="230"/>
      <c r="AS1" s="230"/>
      <c r="AT1" s="230"/>
      <c r="AU1" s="230"/>
      <c r="AV1" s="230"/>
      <c r="AW1" s="230"/>
      <c r="AX1" s="230"/>
      <c r="AY1" s="230"/>
      <c r="AZ1" s="230"/>
      <c r="BA1" s="230"/>
      <c r="BB1" s="230"/>
      <c r="BC1" s="230"/>
      <c r="BD1" s="230"/>
      <c r="BE1" s="230"/>
      <c r="BF1" s="230"/>
      <c r="BG1" s="230"/>
      <c r="BH1" s="230"/>
      <c r="BI1" s="230"/>
      <c r="BJ1" s="230"/>
      <c r="BK1" s="230"/>
      <c r="BL1" s="230"/>
      <c r="BM1" s="230"/>
      <c r="BN1" s="230"/>
      <c r="BO1" s="230"/>
      <c r="BP1" s="230"/>
      <c r="BQ1" s="230"/>
      <c r="BR1" s="230"/>
      <c r="BS1" s="230"/>
      <c r="BT1" s="230"/>
      <c r="BU1" s="230"/>
      <c r="BV1" s="230"/>
      <c r="BW1" s="230"/>
      <c r="BX1" s="230"/>
      <c r="BY1" s="230"/>
      <c r="BZ1" s="230"/>
      <c r="CA1" s="230"/>
      <c r="CB1" s="230"/>
      <c r="CC1" s="230"/>
      <c r="CD1" s="230"/>
      <c r="CE1" s="230"/>
      <c r="CF1" s="230"/>
      <c r="CG1" s="230"/>
      <c r="CH1" s="230"/>
      <c r="CI1" s="230"/>
      <c r="CJ1" s="230"/>
      <c r="CK1" s="230"/>
      <c r="CL1" s="230"/>
      <c r="CM1" s="230"/>
      <c r="CN1" s="230"/>
      <c r="CO1" s="230"/>
    </row>
    <row r="2" spans="1:93" x14ac:dyDescent="0.25">
      <c r="A2" s="89" t="s">
        <v>157</v>
      </c>
      <c r="B2" s="162" t="s">
        <v>158</v>
      </c>
      <c r="C2" s="163" t="s">
        <v>128</v>
      </c>
      <c r="D2" s="164">
        <v>1</v>
      </c>
      <c r="E2" s="162">
        <v>2</v>
      </c>
      <c r="F2" s="162">
        <v>3</v>
      </c>
      <c r="G2" s="162">
        <v>4</v>
      </c>
      <c r="H2" s="162">
        <v>5</v>
      </c>
      <c r="I2" s="162">
        <v>6</v>
      </c>
      <c r="J2" s="162">
        <v>7</v>
      </c>
      <c r="K2" s="162">
        <v>8</v>
      </c>
      <c r="L2" s="162">
        <v>9</v>
      </c>
      <c r="M2" s="162">
        <v>10</v>
      </c>
      <c r="N2" s="162">
        <v>11</v>
      </c>
      <c r="O2" s="162">
        <v>12</v>
      </c>
      <c r="P2" s="162">
        <v>13</v>
      </c>
      <c r="Q2" s="162">
        <v>14</v>
      </c>
      <c r="R2" s="162">
        <v>15</v>
      </c>
      <c r="S2" s="162">
        <v>16</v>
      </c>
      <c r="T2" s="162">
        <v>17</v>
      </c>
      <c r="U2" s="162">
        <v>18</v>
      </c>
      <c r="V2" s="162">
        <v>19</v>
      </c>
      <c r="W2" s="162">
        <v>20</v>
      </c>
      <c r="X2" s="162">
        <v>21</v>
      </c>
      <c r="Y2" s="162">
        <v>22</v>
      </c>
      <c r="Z2" s="162">
        <v>23</v>
      </c>
      <c r="AA2" s="162">
        <v>24</v>
      </c>
      <c r="AB2" s="162">
        <v>25</v>
      </c>
      <c r="AC2" s="162">
        <v>26</v>
      </c>
      <c r="AD2" s="162">
        <v>27</v>
      </c>
      <c r="AE2" s="162">
        <v>28</v>
      </c>
      <c r="AF2" s="162">
        <v>29</v>
      </c>
      <c r="AG2" s="165">
        <v>30</v>
      </c>
      <c r="AH2" s="164">
        <v>31</v>
      </c>
      <c r="AI2" s="162">
        <v>32</v>
      </c>
      <c r="AJ2" s="162">
        <v>33</v>
      </c>
      <c r="AK2" s="166">
        <v>34</v>
      </c>
      <c r="AL2" s="166">
        <v>35</v>
      </c>
      <c r="AM2" s="166">
        <v>36</v>
      </c>
      <c r="AN2" s="166">
        <v>37</v>
      </c>
      <c r="AO2" s="166">
        <v>38</v>
      </c>
      <c r="AP2" s="166">
        <v>39</v>
      </c>
      <c r="AQ2" s="166">
        <v>40</v>
      </c>
      <c r="AR2" s="166">
        <v>41</v>
      </c>
      <c r="AS2" s="166">
        <v>42</v>
      </c>
      <c r="AT2" s="166">
        <v>43</v>
      </c>
      <c r="AU2" s="166">
        <v>44</v>
      </c>
      <c r="AV2" s="166">
        <v>45</v>
      </c>
      <c r="AW2" s="166">
        <v>46</v>
      </c>
      <c r="AX2" s="166">
        <v>47</v>
      </c>
      <c r="AY2" s="166">
        <v>48</v>
      </c>
      <c r="AZ2" s="166">
        <v>49</v>
      </c>
      <c r="BA2" s="166">
        <v>50</v>
      </c>
      <c r="BB2" s="166">
        <v>51</v>
      </c>
      <c r="BC2" s="166">
        <v>52</v>
      </c>
      <c r="BD2" s="166">
        <v>53</v>
      </c>
      <c r="BE2" s="166">
        <v>54</v>
      </c>
      <c r="BF2" s="166">
        <v>55</v>
      </c>
      <c r="BG2" s="166">
        <v>56</v>
      </c>
      <c r="BH2" s="166">
        <v>57</v>
      </c>
      <c r="BI2" s="166">
        <v>58</v>
      </c>
      <c r="BJ2" s="166">
        <v>59</v>
      </c>
      <c r="BK2" s="167">
        <v>60</v>
      </c>
      <c r="BL2" s="168">
        <v>61</v>
      </c>
      <c r="BM2" s="166">
        <v>62</v>
      </c>
      <c r="BN2" s="166">
        <v>63</v>
      </c>
      <c r="BO2" s="166">
        <v>64</v>
      </c>
      <c r="BP2" s="166">
        <v>65</v>
      </c>
      <c r="BQ2" s="166">
        <v>66</v>
      </c>
      <c r="BR2" s="166">
        <v>67</v>
      </c>
      <c r="BS2" s="166">
        <v>68</v>
      </c>
      <c r="BT2" s="166">
        <v>69</v>
      </c>
      <c r="BU2" s="166">
        <v>70</v>
      </c>
      <c r="BV2" s="166">
        <v>71</v>
      </c>
      <c r="BW2" s="166">
        <v>72</v>
      </c>
      <c r="BX2" s="166">
        <v>73</v>
      </c>
      <c r="BY2" s="166">
        <v>74</v>
      </c>
      <c r="BZ2" s="166">
        <v>75</v>
      </c>
      <c r="CA2" s="166">
        <v>76</v>
      </c>
      <c r="CB2" s="166">
        <v>77</v>
      </c>
      <c r="CC2" s="166">
        <v>78</v>
      </c>
      <c r="CD2" s="166">
        <v>79</v>
      </c>
      <c r="CE2" s="166">
        <v>80</v>
      </c>
      <c r="CF2" s="166">
        <v>81</v>
      </c>
      <c r="CG2" s="166">
        <v>82</v>
      </c>
      <c r="CH2" s="166">
        <v>83</v>
      </c>
      <c r="CI2" s="166">
        <v>84</v>
      </c>
      <c r="CJ2" s="166">
        <v>85</v>
      </c>
      <c r="CK2" s="166">
        <v>86</v>
      </c>
      <c r="CL2" s="166">
        <v>87</v>
      </c>
      <c r="CM2" s="166">
        <v>88</v>
      </c>
      <c r="CN2" s="166">
        <v>89</v>
      </c>
      <c r="CO2" s="167">
        <v>90</v>
      </c>
    </row>
    <row r="3" spans="1:93" ht="30" customHeight="1" x14ac:dyDescent="0.25">
      <c r="A3" s="87" t="s">
        <v>130</v>
      </c>
      <c r="B3" s="88" t="str">
        <f>Productos!B8</f>
        <v>Diagnostico y Perfil del proyecto</v>
      </c>
      <c r="C3" s="158">
        <v>14</v>
      </c>
      <c r="D3" s="155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149"/>
      <c r="AH3" s="150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149"/>
      <c r="BL3" s="150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149"/>
    </row>
    <row r="4" spans="1:93" ht="41.25" customHeight="1" x14ac:dyDescent="0.25">
      <c r="A4" s="87" t="s">
        <v>131</v>
      </c>
      <c r="B4" s="147" t="str">
        <f>Productos!B9</f>
        <v>Diseño Arquitectonico y Urbanistico.</v>
      </c>
      <c r="C4" s="158">
        <v>28</v>
      </c>
      <c r="D4" s="150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156"/>
      <c r="AF4" s="156"/>
      <c r="AG4" s="157"/>
      <c r="AH4" s="155"/>
      <c r="AI4" s="156"/>
      <c r="AJ4" s="156"/>
      <c r="AK4" s="156"/>
      <c r="AL4" s="156"/>
      <c r="AM4" s="156"/>
      <c r="AN4" s="156"/>
      <c r="AO4" s="156"/>
      <c r="AP4" s="156"/>
      <c r="AQ4" s="156"/>
      <c r="AR4" s="156"/>
      <c r="AS4" s="156"/>
      <c r="AT4" s="156"/>
      <c r="AU4" s="156"/>
      <c r="AV4" s="156"/>
      <c r="AW4" s="156"/>
      <c r="AX4" s="156"/>
      <c r="AY4" s="156"/>
      <c r="AZ4" s="156"/>
      <c r="BA4" s="156"/>
      <c r="BB4" s="156"/>
      <c r="BC4" s="156"/>
      <c r="BD4" s="156"/>
      <c r="BE4" s="156"/>
      <c r="BF4" s="156"/>
      <c r="BG4" s="75"/>
      <c r="BH4" s="75"/>
      <c r="BI4" s="75"/>
      <c r="BJ4" s="75"/>
      <c r="BK4" s="149"/>
      <c r="BL4" s="150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149"/>
    </row>
    <row r="5" spans="1:93" ht="67.5" customHeight="1" x14ac:dyDescent="0.25">
      <c r="A5" s="87" t="s">
        <v>132</v>
      </c>
      <c r="B5" s="88" t="str">
        <f>Productos!B10</f>
        <v>Estudio y diseño de la Evaluación ambiental (Plan de Manejo Ambiental y Plan sanitario).</v>
      </c>
      <c r="C5" s="158">
        <v>20</v>
      </c>
      <c r="D5" s="150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156"/>
      <c r="AF5" s="156"/>
      <c r="AG5" s="157"/>
      <c r="AH5" s="155"/>
      <c r="AI5" s="156"/>
      <c r="AJ5" s="156"/>
      <c r="AK5" s="156"/>
      <c r="AL5" s="156"/>
      <c r="AM5" s="156"/>
      <c r="AN5" s="156"/>
      <c r="AO5" s="156"/>
      <c r="AP5" s="156"/>
      <c r="AQ5" s="156"/>
      <c r="AR5" s="156"/>
      <c r="AS5" s="156"/>
      <c r="AT5" s="156"/>
      <c r="AU5" s="156"/>
      <c r="AV5" s="156"/>
      <c r="AW5" s="156"/>
      <c r="AX5" s="156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149"/>
      <c r="BL5" s="150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149"/>
    </row>
    <row r="6" spans="1:93" ht="60" customHeight="1" x14ac:dyDescent="0.25">
      <c r="A6" s="87" t="s">
        <v>133</v>
      </c>
      <c r="B6" s="88" t="str">
        <f>Productos!B11</f>
        <v>Formulación, analisis de  alternativas y escogencia de la más viable</v>
      </c>
      <c r="C6" s="158">
        <v>14</v>
      </c>
      <c r="D6" s="150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75"/>
      <c r="AF6" s="75"/>
      <c r="AG6" s="149"/>
      <c r="AH6" s="150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149"/>
      <c r="BL6" s="150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149"/>
    </row>
    <row r="7" spans="1:93" ht="22.5" customHeight="1" x14ac:dyDescent="0.25">
      <c r="A7" s="87" t="s">
        <v>134</v>
      </c>
      <c r="B7" s="88" t="str">
        <f>Productos!B12</f>
        <v>Estudio de topografia</v>
      </c>
      <c r="C7" s="158">
        <v>14</v>
      </c>
      <c r="D7" s="155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149"/>
      <c r="AH7" s="150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149"/>
      <c r="BL7" s="150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149"/>
    </row>
    <row r="8" spans="1:93" ht="37.5" customHeight="1" x14ac:dyDescent="0.25">
      <c r="A8" s="87" t="s">
        <v>135</v>
      </c>
      <c r="B8" s="147" t="str">
        <f>Productos!B13</f>
        <v>Estudio hidrologico e hidrogeologico</v>
      </c>
      <c r="C8" s="158">
        <v>21</v>
      </c>
      <c r="D8" s="150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57"/>
      <c r="AH8" s="155"/>
      <c r="AI8" s="156"/>
      <c r="AJ8" s="156"/>
      <c r="AK8" s="156"/>
      <c r="AL8" s="156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149"/>
      <c r="BL8" s="150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5"/>
      <c r="CM8" s="75"/>
      <c r="CN8" s="75"/>
      <c r="CO8" s="149"/>
    </row>
    <row r="9" spans="1:93" ht="41.25" customHeight="1" x14ac:dyDescent="0.25">
      <c r="A9" s="87" t="s">
        <v>136</v>
      </c>
      <c r="B9" s="88" t="str">
        <f>Productos!B14</f>
        <v>Estudio de suelos y diseño de cimentaciones</v>
      </c>
      <c r="C9" s="158">
        <v>21</v>
      </c>
      <c r="D9" s="150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156"/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57"/>
      <c r="AH9" s="155"/>
      <c r="AI9" s="156"/>
      <c r="AJ9" s="156"/>
      <c r="AK9" s="156"/>
      <c r="AL9" s="156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149"/>
      <c r="BL9" s="150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149"/>
    </row>
    <row r="10" spans="1:93" ht="51" customHeight="1" x14ac:dyDescent="0.25">
      <c r="A10" s="87" t="s">
        <v>137</v>
      </c>
      <c r="B10" s="88" t="str">
        <f>Productos!B15</f>
        <v>Diseños hidraulicos, incluye memorias de calculo y manuelaes de operación y puesta en marcha</v>
      </c>
      <c r="C10" s="158">
        <v>21</v>
      </c>
      <c r="D10" s="150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149"/>
      <c r="AH10" s="150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156"/>
      <c r="BH10" s="156"/>
      <c r="BI10" s="156"/>
      <c r="BJ10" s="156"/>
      <c r="BK10" s="157"/>
      <c r="BL10" s="155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149"/>
    </row>
    <row r="11" spans="1:93" x14ac:dyDescent="0.25">
      <c r="A11" s="87" t="s">
        <v>138</v>
      </c>
      <c r="B11" s="88" t="str">
        <f>Productos!B16</f>
        <v>Diseños estructurales</v>
      </c>
      <c r="C11" s="158">
        <v>21</v>
      </c>
      <c r="D11" s="150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149"/>
      <c r="AH11" s="150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156"/>
      <c r="BH11" s="156"/>
      <c r="BI11" s="156"/>
      <c r="BJ11" s="156"/>
      <c r="BK11" s="157"/>
      <c r="BL11" s="155"/>
      <c r="BM11" s="156"/>
      <c r="BN11" s="156"/>
      <c r="BO11" s="156"/>
      <c r="BP11" s="156"/>
      <c r="BQ11" s="156"/>
      <c r="BR11" s="156"/>
      <c r="BS11" s="156"/>
      <c r="BT11" s="156"/>
      <c r="BU11" s="156"/>
      <c r="BV11" s="156"/>
      <c r="BW11" s="156"/>
      <c r="BX11" s="156"/>
      <c r="BY11" s="156"/>
      <c r="BZ11" s="156"/>
      <c r="CA11" s="156"/>
      <c r="CB11" s="75"/>
      <c r="CC11" s="75"/>
      <c r="CD11" s="75"/>
      <c r="CE11" s="75"/>
      <c r="CF11" s="75"/>
      <c r="CG11" s="75"/>
      <c r="CH11" s="75"/>
      <c r="CI11" s="75"/>
      <c r="CJ11" s="75"/>
      <c r="CK11" s="75"/>
      <c r="CL11" s="75"/>
      <c r="CM11" s="75"/>
      <c r="CN11" s="75"/>
      <c r="CO11" s="149"/>
    </row>
    <row r="12" spans="1:93" x14ac:dyDescent="0.25">
      <c r="A12" s="87" t="s">
        <v>139</v>
      </c>
      <c r="B12" s="88" t="str">
        <f>Productos!B17</f>
        <v>Diseños electricos</v>
      </c>
      <c r="C12" s="158">
        <v>14</v>
      </c>
      <c r="D12" s="150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149"/>
      <c r="AH12" s="150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156"/>
      <c r="BH12" s="156"/>
      <c r="BI12" s="156"/>
      <c r="BJ12" s="156"/>
      <c r="BK12" s="157"/>
      <c r="BL12" s="155"/>
      <c r="BM12" s="156"/>
      <c r="BN12" s="156"/>
      <c r="BO12" s="156"/>
      <c r="BP12" s="156"/>
      <c r="BQ12" s="156"/>
      <c r="BR12" s="156"/>
      <c r="BS12" s="156"/>
      <c r="BT12" s="156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149"/>
    </row>
    <row r="13" spans="1:93" ht="75" x14ac:dyDescent="0.25">
      <c r="A13" s="87" t="s">
        <v>140</v>
      </c>
      <c r="B13" s="88" t="str">
        <f>Productos!B18</f>
        <v>Planos de diseño de las diferentes especialidades debidamente firmados (Arquitectónico y Urbanístico – topografía – cimentaciones – hidráulicos – estructurales – eléctricos -  Red contra incendios, datos y todos los que se requieran).</v>
      </c>
      <c r="C13" s="158">
        <v>7</v>
      </c>
      <c r="D13" s="150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149"/>
      <c r="AH13" s="150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149"/>
      <c r="BL13" s="150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156"/>
      <c r="CC13" s="156"/>
      <c r="CD13" s="156"/>
      <c r="CE13" s="156"/>
      <c r="CF13" s="156"/>
      <c r="CG13" s="156"/>
      <c r="CH13" s="156"/>
      <c r="CI13" s="75"/>
      <c r="CJ13" s="75"/>
      <c r="CK13" s="75"/>
      <c r="CL13" s="75"/>
      <c r="CM13" s="75"/>
      <c r="CN13" s="75"/>
      <c r="CO13" s="149"/>
    </row>
    <row r="14" spans="1:93" ht="120" customHeight="1" x14ac:dyDescent="0.25">
      <c r="A14" s="87" t="s">
        <v>141</v>
      </c>
      <c r="B14" s="88" t="str">
        <f>Productos!B19</f>
        <v>Presupuesto de obras requeridas, dotación, insumos y equipos necesarios para la puesta en funcionamiento del CENTRO DE BIENESTAR ANIMAL, incluye Memorias de cantidades de obra detalladas por componente, Análisis de precios unitarios, EDT, EDO</v>
      </c>
      <c r="C14" s="158">
        <v>14</v>
      </c>
      <c r="D14" s="150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149"/>
      <c r="AH14" s="150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149"/>
      <c r="BL14" s="150"/>
      <c r="BM14" s="75"/>
      <c r="BN14" s="156"/>
      <c r="BO14" s="156"/>
      <c r="BP14" s="156"/>
      <c r="BQ14" s="156"/>
      <c r="BR14" s="156"/>
      <c r="BS14" s="156"/>
      <c r="BT14" s="156"/>
      <c r="BU14" s="156"/>
      <c r="BV14" s="156"/>
      <c r="BW14" s="156"/>
      <c r="BX14" s="156"/>
      <c r="BY14" s="156"/>
      <c r="BZ14" s="156"/>
      <c r="CA14" s="156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149"/>
    </row>
    <row r="15" spans="1:93" ht="30" x14ac:dyDescent="0.25">
      <c r="A15" s="87" t="s">
        <v>142</v>
      </c>
      <c r="B15" s="88" t="str">
        <f>Productos!B20</f>
        <v>Cronograma de ejecución y flujo de fondos de inversión, en PROJECT. .</v>
      </c>
      <c r="C15" s="158">
        <v>7</v>
      </c>
      <c r="D15" s="150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149"/>
      <c r="AH15" s="150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149"/>
      <c r="BL15" s="150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149"/>
    </row>
    <row r="16" spans="1:93" ht="30" x14ac:dyDescent="0.25">
      <c r="A16" s="87" t="s">
        <v>143</v>
      </c>
      <c r="B16" s="88" t="str">
        <f>Productos!B21</f>
        <v>Especificaciones y fichas técnicas de cada uno de los componentes  del proyecto</v>
      </c>
      <c r="C16" s="158">
        <v>10</v>
      </c>
      <c r="D16" s="150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149"/>
      <c r="AH16" s="150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149"/>
      <c r="BL16" s="150"/>
      <c r="BM16" s="75"/>
      <c r="BN16" s="75"/>
      <c r="BO16" s="75"/>
      <c r="BP16" s="75"/>
      <c r="BQ16" s="75"/>
      <c r="BR16" s="156"/>
      <c r="BS16" s="156"/>
      <c r="BT16" s="156"/>
      <c r="BU16" s="156"/>
      <c r="BV16" s="156"/>
      <c r="BW16" s="156"/>
      <c r="BX16" s="156"/>
      <c r="BY16" s="156"/>
      <c r="BZ16" s="156"/>
      <c r="CA16" s="156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149"/>
    </row>
    <row r="17" spans="1:93" ht="69.75" customHeight="1" x14ac:dyDescent="0.25">
      <c r="A17" s="87" t="s">
        <v>244</v>
      </c>
      <c r="B17" s="88" t="str">
        <f>Productos!B22</f>
        <v>Formulación de proyecto para entrega ante mecanismos de financiación (Asesoria y acompañamiento en formulación de componente Para La Aprobacion)</v>
      </c>
      <c r="C17" s="158">
        <v>21</v>
      </c>
      <c r="D17" s="150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149"/>
      <c r="AH17" s="150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149"/>
      <c r="BL17" s="150"/>
      <c r="BM17" s="75"/>
      <c r="BN17" s="75"/>
      <c r="BO17" s="75"/>
      <c r="BP17" s="75"/>
      <c r="BQ17" s="75"/>
      <c r="BR17" s="75"/>
      <c r="BS17" s="75"/>
      <c r="BT17" s="75"/>
      <c r="BU17" s="156"/>
      <c r="BV17" s="156"/>
      <c r="BW17" s="156"/>
      <c r="BX17" s="156"/>
      <c r="BY17" s="156"/>
      <c r="BZ17" s="156"/>
      <c r="CA17" s="156"/>
      <c r="CB17" s="156"/>
      <c r="CC17" s="156"/>
      <c r="CD17" s="156"/>
      <c r="CE17" s="156"/>
      <c r="CF17" s="156"/>
      <c r="CG17" s="156"/>
      <c r="CH17" s="156"/>
      <c r="CI17" s="156"/>
      <c r="CJ17" s="156"/>
      <c r="CK17" s="156"/>
      <c r="CL17" s="156"/>
      <c r="CM17" s="156"/>
      <c r="CN17" s="156"/>
      <c r="CO17" s="157"/>
    </row>
    <row r="18" spans="1:93" ht="50.25" customHeight="1" x14ac:dyDescent="0.25">
      <c r="A18" s="87" t="s">
        <v>261</v>
      </c>
      <c r="B18" s="88" t="str">
        <f>Productos!B23</f>
        <v>Diseño de Red contra incendios y datos. Incluye memorias de cálculos y especificaciones técnicas.</v>
      </c>
      <c r="C18" s="158">
        <v>21</v>
      </c>
      <c r="D18" s="150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149"/>
      <c r="AH18" s="150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156"/>
      <c r="BH18" s="156"/>
      <c r="BI18" s="156"/>
      <c r="BJ18" s="156"/>
      <c r="BK18" s="157"/>
      <c r="BL18" s="155"/>
      <c r="BM18" s="156"/>
      <c r="BN18" s="156"/>
      <c r="BO18" s="156"/>
      <c r="BP18" s="156"/>
      <c r="BQ18" s="156"/>
      <c r="BR18" s="156"/>
      <c r="BS18" s="156"/>
      <c r="BT18" s="156"/>
      <c r="BU18" s="156"/>
      <c r="BV18" s="156"/>
      <c r="BW18" s="156"/>
      <c r="BX18" s="156"/>
      <c r="BY18" s="156"/>
      <c r="BZ18" s="156"/>
      <c r="CA18" s="156"/>
      <c r="CB18" s="75"/>
      <c r="CC18" s="75"/>
      <c r="CD18" s="75"/>
      <c r="CE18" s="75"/>
      <c r="CF18" s="75"/>
      <c r="CG18" s="75"/>
      <c r="CH18" s="75"/>
      <c r="CI18" s="75"/>
      <c r="CJ18" s="75"/>
      <c r="CK18" s="75"/>
      <c r="CL18" s="75"/>
      <c r="CM18" s="75"/>
      <c r="CN18" s="75"/>
      <c r="CO18" s="149"/>
    </row>
    <row r="19" spans="1:93" ht="24.75" customHeight="1" thickBot="1" x14ac:dyDescent="0.3">
      <c r="A19" s="87" t="s">
        <v>264</v>
      </c>
      <c r="B19" s="146" t="str">
        <f>Productos!B24</f>
        <v>Estudio de sostenibilidad economica</v>
      </c>
      <c r="C19" s="159">
        <v>7</v>
      </c>
      <c r="D19" s="151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2"/>
      <c r="AF19" s="152"/>
      <c r="AG19" s="153"/>
      <c r="AH19" s="151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  <c r="BI19" s="152"/>
      <c r="BJ19" s="152"/>
      <c r="BK19" s="153"/>
      <c r="BL19" s="151"/>
      <c r="BM19" s="152"/>
      <c r="BN19" s="152"/>
      <c r="BO19" s="152"/>
      <c r="BP19" s="152"/>
      <c r="BQ19" s="152"/>
      <c r="BR19" s="152"/>
      <c r="BS19" s="152"/>
      <c r="BT19" s="152"/>
      <c r="BU19" s="152"/>
      <c r="BV19" s="152"/>
      <c r="BW19" s="152"/>
      <c r="BX19" s="152"/>
      <c r="BY19" s="152"/>
      <c r="BZ19" s="152"/>
      <c r="CA19" s="152"/>
      <c r="CB19" s="160"/>
      <c r="CC19" s="160"/>
      <c r="CD19" s="160"/>
      <c r="CE19" s="160"/>
      <c r="CF19" s="160"/>
      <c r="CG19" s="160"/>
      <c r="CH19" s="160"/>
      <c r="CI19" s="152"/>
      <c r="CJ19" s="152"/>
      <c r="CK19" s="152"/>
      <c r="CL19" s="152"/>
      <c r="CM19" s="152"/>
      <c r="CN19" s="152"/>
      <c r="CO19" s="153"/>
    </row>
    <row r="23" spans="1:93" x14ac:dyDescent="0.25">
      <c r="BW23" s="195" t="s">
        <v>268</v>
      </c>
      <c r="BX23" s="195"/>
      <c r="BY23" s="195"/>
      <c r="BZ23" s="195"/>
      <c r="CA23" s="195"/>
      <c r="CB23" s="195"/>
      <c r="CC23" s="195"/>
      <c r="CD23" s="195"/>
      <c r="CE23" s="195"/>
      <c r="CF23" s="195"/>
      <c r="CG23" s="195"/>
      <c r="CH23" s="195"/>
    </row>
    <row r="24" spans="1:93" x14ac:dyDescent="0.25">
      <c r="D24" s="195" t="s">
        <v>269</v>
      </c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AO24" s="195" t="s">
        <v>270</v>
      </c>
      <c r="AP24" s="195"/>
      <c r="AQ24" s="195"/>
      <c r="AR24" s="195"/>
      <c r="AS24" s="195"/>
      <c r="AT24" s="195"/>
      <c r="AU24" s="195"/>
      <c r="AV24" s="195"/>
      <c r="AW24" s="195"/>
      <c r="AX24" s="195"/>
      <c r="BW24" s="196" t="s">
        <v>248</v>
      </c>
      <c r="BX24" s="196"/>
      <c r="BY24" s="196"/>
      <c r="BZ24" s="196"/>
      <c r="CA24" s="196"/>
      <c r="CB24" s="196"/>
      <c r="CC24" s="196"/>
      <c r="CD24" s="196"/>
      <c r="CE24" s="196"/>
      <c r="CF24" s="196"/>
      <c r="CG24" s="196"/>
      <c r="CH24" s="196"/>
    </row>
    <row r="25" spans="1:93" x14ac:dyDescent="0.25">
      <c r="D25" s="196" t="s">
        <v>248</v>
      </c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AO25" s="196" t="s">
        <v>271</v>
      </c>
      <c r="AP25" s="196"/>
      <c r="AQ25" s="196"/>
      <c r="AR25" s="196"/>
      <c r="AS25" s="196"/>
      <c r="AT25" s="196"/>
      <c r="AU25" s="196"/>
      <c r="AV25" s="196"/>
      <c r="AW25" s="196"/>
      <c r="AX25" s="196"/>
    </row>
  </sheetData>
  <mergeCells count="7">
    <mergeCell ref="B1:CO1"/>
    <mergeCell ref="D24:O24"/>
    <mergeCell ref="D25:O25"/>
    <mergeCell ref="BW23:CH23"/>
    <mergeCell ref="BW24:CH24"/>
    <mergeCell ref="AO24:AX24"/>
    <mergeCell ref="AO25:AX25"/>
  </mergeCells>
  <phoneticPr fontId="21" type="noConversion"/>
  <pageMargins left="0.7" right="0.7" top="0.75" bottom="0.75" header="0.3" footer="0.3"/>
  <pageSetup scale="45" orientation="portrait" r:id="rId1"/>
  <colBreaks count="2" manualBreakCount="2">
    <brk id="33" max="28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view="pageBreakPreview" topLeftCell="A50" zoomScale="115" zoomScaleNormal="115" zoomScaleSheetLayoutView="115" workbookViewId="0">
      <selection activeCell="I61" sqref="I61:I63"/>
    </sheetView>
  </sheetViews>
  <sheetFormatPr baseColWidth="10" defaultRowHeight="15" x14ac:dyDescent="0.25"/>
  <sheetData>
    <row r="1" spans="1:9" x14ac:dyDescent="0.25">
      <c r="A1" s="283" t="s">
        <v>159</v>
      </c>
      <c r="B1" s="284"/>
      <c r="C1" s="284"/>
      <c r="D1" s="284"/>
      <c r="E1" s="284"/>
      <c r="F1" s="284"/>
      <c r="G1" s="284"/>
      <c r="H1" s="284"/>
      <c r="I1" s="285"/>
    </row>
    <row r="2" spans="1:9" x14ac:dyDescent="0.25">
      <c r="A2" s="286"/>
      <c r="B2" s="287"/>
      <c r="C2" s="287"/>
      <c r="D2" s="287"/>
      <c r="E2" s="287"/>
      <c r="F2" s="287"/>
      <c r="G2" s="287"/>
      <c r="H2" s="287"/>
      <c r="I2" s="288"/>
    </row>
    <row r="3" spans="1:9" x14ac:dyDescent="0.25">
      <c r="A3" s="90"/>
      <c r="B3" s="91"/>
      <c r="C3" s="91"/>
      <c r="D3" s="91"/>
      <c r="E3" s="91"/>
      <c r="F3" s="91"/>
      <c r="G3" s="92"/>
      <c r="H3" s="93"/>
      <c r="I3" s="93"/>
    </row>
    <row r="4" spans="1:9" x14ac:dyDescent="0.25">
      <c r="A4" s="289" t="s">
        <v>160</v>
      </c>
      <c r="B4" s="225"/>
      <c r="C4" s="289" t="s">
        <v>161</v>
      </c>
      <c r="D4" s="225"/>
      <c r="E4" s="91"/>
      <c r="F4" s="289" t="s">
        <v>162</v>
      </c>
      <c r="G4" s="225"/>
      <c r="H4" s="289" t="s">
        <v>163</v>
      </c>
      <c r="I4" s="225"/>
    </row>
    <row r="5" spans="1:9" x14ac:dyDescent="0.25">
      <c r="A5" s="290">
        <v>1423500</v>
      </c>
      <c r="B5" s="198"/>
      <c r="C5" s="290">
        <f>+A5/30</f>
        <v>47450</v>
      </c>
      <c r="D5" s="198"/>
      <c r="E5" s="91"/>
      <c r="F5" s="290">
        <v>200000</v>
      </c>
      <c r="G5" s="198"/>
      <c r="H5" s="290">
        <f>+ROUND(F5/30,0)</f>
        <v>6667</v>
      </c>
      <c r="I5" s="198"/>
    </row>
    <row r="6" spans="1:9" x14ac:dyDescent="0.25">
      <c r="A6" s="93"/>
      <c r="B6" s="91"/>
      <c r="C6" s="91"/>
      <c r="D6" s="91"/>
      <c r="E6" s="91"/>
      <c r="F6" s="91"/>
      <c r="G6" s="92"/>
      <c r="H6" s="93"/>
      <c r="I6" s="93"/>
    </row>
    <row r="7" spans="1:9" x14ac:dyDescent="0.25">
      <c r="A7" s="102" t="s">
        <v>1</v>
      </c>
      <c r="B7" s="291" t="s">
        <v>164</v>
      </c>
      <c r="C7" s="219"/>
      <c r="D7" s="219"/>
      <c r="E7" s="219"/>
      <c r="F7" s="219"/>
      <c r="G7" s="219"/>
      <c r="H7" s="225"/>
      <c r="I7" s="102" t="s">
        <v>165</v>
      </c>
    </row>
    <row r="8" spans="1:9" x14ac:dyDescent="0.25">
      <c r="A8" s="102" t="s">
        <v>57</v>
      </c>
      <c r="B8" s="292" t="s">
        <v>166</v>
      </c>
      <c r="C8" s="282"/>
      <c r="D8" s="282"/>
      <c r="E8" s="282"/>
      <c r="F8" s="282"/>
      <c r="G8" s="282"/>
      <c r="H8" s="198"/>
      <c r="I8" s="94"/>
    </row>
    <row r="9" spans="1:9" x14ac:dyDescent="0.25">
      <c r="A9" s="93"/>
      <c r="B9" s="91"/>
      <c r="C9" s="91"/>
      <c r="D9" s="91"/>
      <c r="E9" s="91"/>
      <c r="F9" s="91"/>
      <c r="G9" s="291" t="s">
        <v>122</v>
      </c>
      <c r="H9" s="225"/>
      <c r="I9" s="103"/>
    </row>
    <row r="10" spans="1:9" x14ac:dyDescent="0.25">
      <c r="A10" s="93"/>
      <c r="B10" s="91"/>
      <c r="C10" s="91"/>
      <c r="D10" s="91"/>
      <c r="E10" s="91"/>
      <c r="F10" s="91"/>
      <c r="G10" s="92"/>
      <c r="H10" s="93"/>
      <c r="I10" s="95"/>
    </row>
    <row r="11" spans="1:9" x14ac:dyDescent="0.25">
      <c r="A11" s="102" t="s">
        <v>2</v>
      </c>
      <c r="B11" s="291" t="s">
        <v>167</v>
      </c>
      <c r="C11" s="219"/>
      <c r="D11" s="219"/>
      <c r="E11" s="219"/>
      <c r="F11" s="219"/>
      <c r="G11" s="219"/>
      <c r="H11" s="225"/>
      <c r="I11" s="102" t="s">
        <v>165</v>
      </c>
    </row>
    <row r="12" spans="1:9" x14ac:dyDescent="0.25">
      <c r="A12" s="102" t="s">
        <v>78</v>
      </c>
      <c r="B12" s="281" t="s">
        <v>168</v>
      </c>
      <c r="C12" s="282"/>
      <c r="D12" s="282"/>
      <c r="E12" s="282"/>
      <c r="F12" s="282"/>
      <c r="G12" s="282"/>
      <c r="H12" s="198"/>
      <c r="I12" s="96"/>
    </row>
    <row r="13" spans="1:9" x14ac:dyDescent="0.25">
      <c r="A13" s="102" t="s">
        <v>81</v>
      </c>
      <c r="B13" s="281" t="s">
        <v>169</v>
      </c>
      <c r="C13" s="282"/>
      <c r="D13" s="282"/>
      <c r="E13" s="282"/>
      <c r="F13" s="282"/>
      <c r="G13" s="282"/>
      <c r="H13" s="198"/>
      <c r="I13" s="96"/>
    </row>
    <row r="14" spans="1:9" x14ac:dyDescent="0.25">
      <c r="A14" s="102" t="s">
        <v>83</v>
      </c>
      <c r="B14" s="281" t="s">
        <v>170</v>
      </c>
      <c r="C14" s="282"/>
      <c r="D14" s="282"/>
      <c r="E14" s="282"/>
      <c r="F14" s="282"/>
      <c r="G14" s="282"/>
      <c r="H14" s="198"/>
      <c r="I14" s="96"/>
    </row>
    <row r="15" spans="1:9" x14ac:dyDescent="0.25">
      <c r="A15" s="102" t="s">
        <v>84</v>
      </c>
      <c r="B15" s="281" t="s">
        <v>171</v>
      </c>
      <c r="C15" s="282"/>
      <c r="D15" s="282"/>
      <c r="E15" s="282"/>
      <c r="F15" s="282"/>
      <c r="G15" s="282"/>
      <c r="H15" s="198"/>
      <c r="I15" s="96"/>
    </row>
    <row r="16" spans="1:9" x14ac:dyDescent="0.25">
      <c r="A16" s="102" t="s">
        <v>86</v>
      </c>
      <c r="B16" s="281" t="s">
        <v>172</v>
      </c>
      <c r="C16" s="282"/>
      <c r="D16" s="282"/>
      <c r="E16" s="282"/>
      <c r="F16" s="282"/>
      <c r="G16" s="282"/>
      <c r="H16" s="198"/>
      <c r="I16" s="96"/>
    </row>
    <row r="17" spans="1:9" x14ac:dyDescent="0.25">
      <c r="A17" s="93"/>
      <c r="B17" s="91"/>
      <c r="C17" s="91"/>
      <c r="D17" s="91"/>
      <c r="E17" s="91"/>
      <c r="F17" s="91"/>
      <c r="G17" s="291" t="s">
        <v>122</v>
      </c>
      <c r="H17" s="225"/>
      <c r="I17" s="104">
        <f>SUM(I12:I16)</f>
        <v>0</v>
      </c>
    </row>
    <row r="18" spans="1:9" x14ac:dyDescent="0.25">
      <c r="A18" s="93"/>
      <c r="B18" s="91"/>
      <c r="C18" s="91"/>
      <c r="D18" s="91"/>
      <c r="E18" s="91"/>
      <c r="F18" s="91"/>
      <c r="G18" s="92"/>
      <c r="H18" s="93"/>
      <c r="I18" s="97"/>
    </row>
    <row r="19" spans="1:9" x14ac:dyDescent="0.25">
      <c r="A19" s="102" t="s">
        <v>173</v>
      </c>
      <c r="B19" s="291" t="s">
        <v>174</v>
      </c>
      <c r="C19" s="219"/>
      <c r="D19" s="219"/>
      <c r="E19" s="219"/>
      <c r="F19" s="219"/>
      <c r="G19" s="219"/>
      <c r="H19" s="225"/>
      <c r="I19" s="104" t="s">
        <v>165</v>
      </c>
    </row>
    <row r="20" spans="1:9" x14ac:dyDescent="0.25">
      <c r="A20" s="102" t="s">
        <v>175</v>
      </c>
      <c r="B20" s="281" t="s">
        <v>176</v>
      </c>
      <c r="C20" s="282"/>
      <c r="D20" s="282"/>
      <c r="E20" s="282"/>
      <c r="F20" s="282"/>
      <c r="G20" s="282"/>
      <c r="H20" s="198"/>
      <c r="I20" s="96"/>
    </row>
    <row r="21" spans="1:9" x14ac:dyDescent="0.25">
      <c r="A21" s="102" t="s">
        <v>177</v>
      </c>
      <c r="B21" s="281" t="s">
        <v>178</v>
      </c>
      <c r="C21" s="282"/>
      <c r="D21" s="282"/>
      <c r="E21" s="282"/>
      <c r="F21" s="282"/>
      <c r="G21" s="282"/>
      <c r="H21" s="198"/>
      <c r="I21" s="96"/>
    </row>
    <row r="22" spans="1:9" x14ac:dyDescent="0.25">
      <c r="A22" s="102" t="s">
        <v>179</v>
      </c>
      <c r="B22" s="281" t="s">
        <v>180</v>
      </c>
      <c r="C22" s="282"/>
      <c r="D22" s="282"/>
      <c r="E22" s="282"/>
      <c r="F22" s="282"/>
      <c r="G22" s="282"/>
      <c r="H22" s="198"/>
      <c r="I22" s="96"/>
    </row>
    <row r="23" spans="1:9" x14ac:dyDescent="0.25">
      <c r="A23" s="93"/>
      <c r="B23" s="91"/>
      <c r="C23" s="91"/>
      <c r="D23" s="91"/>
      <c r="E23" s="91"/>
      <c r="F23" s="91"/>
      <c r="G23" s="291" t="s">
        <v>122</v>
      </c>
      <c r="H23" s="225"/>
      <c r="I23" s="104">
        <f>SUM(I20:I22)</f>
        <v>0</v>
      </c>
    </row>
    <row r="24" spans="1:9" x14ac:dyDescent="0.25">
      <c r="A24" s="93"/>
      <c r="B24" s="91"/>
      <c r="C24" s="91"/>
      <c r="D24" s="91"/>
      <c r="E24" s="91"/>
      <c r="F24" s="91"/>
      <c r="G24" s="92"/>
      <c r="H24" s="93"/>
      <c r="I24" s="93"/>
    </row>
    <row r="25" spans="1:9" x14ac:dyDescent="0.25">
      <c r="A25" s="102" t="s">
        <v>181</v>
      </c>
      <c r="B25" s="291" t="s">
        <v>182</v>
      </c>
      <c r="C25" s="219"/>
      <c r="D25" s="219"/>
      <c r="E25" s="219"/>
      <c r="F25" s="219"/>
      <c r="G25" s="219"/>
      <c r="H25" s="225"/>
      <c r="I25" s="102" t="s">
        <v>165</v>
      </c>
    </row>
    <row r="26" spans="1:9" x14ac:dyDescent="0.25">
      <c r="A26" s="102" t="s">
        <v>183</v>
      </c>
      <c r="B26" s="281" t="s">
        <v>184</v>
      </c>
      <c r="C26" s="282"/>
      <c r="D26" s="282"/>
      <c r="E26" s="282"/>
      <c r="F26" s="282"/>
      <c r="G26" s="282"/>
      <c r="H26" s="198"/>
      <c r="I26" s="96"/>
    </row>
    <row r="27" spans="1:9" x14ac:dyDescent="0.25">
      <c r="A27" s="102" t="s">
        <v>185</v>
      </c>
      <c r="B27" s="281" t="s">
        <v>186</v>
      </c>
      <c r="C27" s="282"/>
      <c r="D27" s="282"/>
      <c r="E27" s="282"/>
      <c r="F27" s="282"/>
      <c r="G27" s="282"/>
      <c r="H27" s="198"/>
      <c r="I27" s="96"/>
    </row>
    <row r="28" spans="1:9" x14ac:dyDescent="0.25">
      <c r="A28" s="102" t="s">
        <v>187</v>
      </c>
      <c r="B28" s="281" t="s">
        <v>188</v>
      </c>
      <c r="C28" s="282"/>
      <c r="D28" s="282"/>
      <c r="E28" s="282"/>
      <c r="F28" s="282"/>
      <c r="G28" s="282"/>
      <c r="H28" s="198"/>
      <c r="I28" s="96"/>
    </row>
    <row r="29" spans="1:9" x14ac:dyDescent="0.25">
      <c r="A29" s="102" t="s">
        <v>189</v>
      </c>
      <c r="B29" s="293" t="s">
        <v>190</v>
      </c>
      <c r="C29" s="282"/>
      <c r="D29" s="282"/>
      <c r="E29" s="282"/>
      <c r="F29" s="282"/>
      <c r="G29" s="282"/>
      <c r="H29" s="198"/>
      <c r="I29" s="96"/>
    </row>
    <row r="30" spans="1:9" x14ac:dyDescent="0.25">
      <c r="A30" s="102" t="s">
        <v>191</v>
      </c>
      <c r="B30" s="293" t="s">
        <v>192</v>
      </c>
      <c r="C30" s="282"/>
      <c r="D30" s="282"/>
      <c r="E30" s="282"/>
      <c r="F30" s="282"/>
      <c r="G30" s="282"/>
      <c r="H30" s="198"/>
      <c r="I30" s="96"/>
    </row>
    <row r="31" spans="1:9" x14ac:dyDescent="0.25">
      <c r="A31" s="102" t="s">
        <v>193</v>
      </c>
      <c r="B31" s="281" t="s">
        <v>194</v>
      </c>
      <c r="C31" s="282"/>
      <c r="D31" s="282"/>
      <c r="E31" s="282"/>
      <c r="F31" s="282"/>
      <c r="G31" s="282"/>
      <c r="H31" s="198"/>
      <c r="I31" s="96"/>
    </row>
    <row r="32" spans="1:9" x14ac:dyDescent="0.25">
      <c r="A32" s="93"/>
      <c r="B32" s="91"/>
      <c r="C32" s="91"/>
      <c r="D32" s="91"/>
      <c r="E32" s="91"/>
      <c r="F32" s="91"/>
      <c r="G32" s="294" t="s">
        <v>122</v>
      </c>
      <c r="H32" s="194"/>
      <c r="I32" s="105">
        <f>SUM(I26:I31)</f>
        <v>0</v>
      </c>
    </row>
    <row r="33" spans="1:9" x14ac:dyDescent="0.25">
      <c r="A33" s="93"/>
      <c r="B33" s="91"/>
      <c r="C33" s="91"/>
      <c r="D33" s="91"/>
      <c r="E33" s="91"/>
      <c r="F33" s="91"/>
      <c r="G33" s="92"/>
      <c r="H33" s="93"/>
      <c r="I33" s="93"/>
    </row>
    <row r="34" spans="1:9" x14ac:dyDescent="0.25">
      <c r="A34" s="102" t="s">
        <v>195</v>
      </c>
      <c r="B34" s="291" t="s">
        <v>196</v>
      </c>
      <c r="C34" s="219"/>
      <c r="D34" s="219"/>
      <c r="E34" s="219"/>
      <c r="F34" s="219"/>
      <c r="G34" s="219"/>
      <c r="H34" s="225"/>
      <c r="I34" s="102" t="s">
        <v>165</v>
      </c>
    </row>
    <row r="35" spans="1:9" x14ac:dyDescent="0.25">
      <c r="A35" s="102" t="s">
        <v>197</v>
      </c>
      <c r="B35" s="281" t="s">
        <v>198</v>
      </c>
      <c r="C35" s="282"/>
      <c r="D35" s="282"/>
      <c r="E35" s="282"/>
      <c r="F35" s="282"/>
      <c r="G35" s="282"/>
      <c r="H35" s="198"/>
      <c r="I35" s="96"/>
    </row>
    <row r="36" spans="1:9" x14ac:dyDescent="0.25">
      <c r="A36" s="102" t="s">
        <v>199</v>
      </c>
      <c r="B36" s="281" t="s">
        <v>200</v>
      </c>
      <c r="C36" s="282"/>
      <c r="D36" s="282"/>
      <c r="E36" s="282"/>
      <c r="F36" s="282"/>
      <c r="G36" s="282"/>
      <c r="H36" s="198"/>
      <c r="I36" s="96"/>
    </row>
    <row r="37" spans="1:9" x14ac:dyDescent="0.25">
      <c r="A37" s="93"/>
      <c r="B37" s="91"/>
      <c r="C37" s="91"/>
      <c r="D37" s="91"/>
      <c r="E37" s="91"/>
      <c r="F37" s="91"/>
      <c r="G37" s="291" t="s">
        <v>122</v>
      </c>
      <c r="H37" s="225"/>
      <c r="I37" s="104">
        <f>SUM(I35:I36)</f>
        <v>0</v>
      </c>
    </row>
    <row r="38" spans="1:9" x14ac:dyDescent="0.25">
      <c r="A38" s="93"/>
      <c r="B38" s="91"/>
      <c r="C38" s="91"/>
      <c r="D38" s="91"/>
      <c r="E38" s="91"/>
      <c r="F38" s="91"/>
      <c r="G38" s="92"/>
      <c r="H38" s="93"/>
      <c r="I38" s="93"/>
    </row>
    <row r="39" spans="1:9" x14ac:dyDescent="0.25">
      <c r="A39" s="93"/>
      <c r="B39" s="91"/>
      <c r="C39" s="91"/>
      <c r="D39" s="91"/>
      <c r="E39" s="91"/>
      <c r="F39" s="291" t="s">
        <v>201</v>
      </c>
      <c r="G39" s="225"/>
      <c r="H39" s="295">
        <f>I9+I17+I23+I32+I37</f>
        <v>0</v>
      </c>
      <c r="I39" s="198"/>
    </row>
    <row r="40" spans="1:9" x14ac:dyDescent="0.25">
      <c r="A40" s="93"/>
      <c r="B40" s="91"/>
      <c r="C40" s="91"/>
      <c r="D40" s="91"/>
      <c r="E40" s="91"/>
      <c r="F40" s="91"/>
      <c r="G40" s="92"/>
      <c r="H40" s="93"/>
      <c r="I40" s="93"/>
    </row>
    <row r="41" spans="1:9" x14ac:dyDescent="0.25">
      <c r="A41" s="102" t="s">
        <v>202</v>
      </c>
      <c r="B41" s="291" t="s">
        <v>203</v>
      </c>
      <c r="C41" s="219"/>
      <c r="D41" s="219"/>
      <c r="E41" s="219"/>
      <c r="F41" s="219"/>
      <c r="G41" s="219"/>
      <c r="H41" s="225"/>
      <c r="I41" s="102" t="s">
        <v>165</v>
      </c>
    </row>
    <row r="42" spans="1:9" ht="15" customHeight="1" x14ac:dyDescent="0.25">
      <c r="A42" s="102" t="s">
        <v>204</v>
      </c>
      <c r="B42" s="281" t="s">
        <v>205</v>
      </c>
      <c r="C42" s="282"/>
      <c r="D42" s="282"/>
      <c r="E42" s="282"/>
      <c r="F42" s="282"/>
      <c r="G42" s="282"/>
      <c r="H42" s="198"/>
      <c r="I42" s="96"/>
    </row>
    <row r="43" spans="1:9" x14ac:dyDescent="0.25">
      <c r="A43" s="102" t="s">
        <v>206</v>
      </c>
      <c r="B43" s="281" t="s">
        <v>207</v>
      </c>
      <c r="C43" s="282"/>
      <c r="D43" s="282"/>
      <c r="E43" s="282"/>
      <c r="F43" s="282"/>
      <c r="G43" s="282"/>
      <c r="H43" s="198"/>
      <c r="I43" s="96"/>
    </row>
    <row r="44" spans="1:9" x14ac:dyDescent="0.25">
      <c r="A44" s="102" t="s">
        <v>208</v>
      </c>
      <c r="B44" s="281" t="s">
        <v>209</v>
      </c>
      <c r="C44" s="282"/>
      <c r="D44" s="282"/>
      <c r="E44" s="282"/>
      <c r="F44" s="282"/>
      <c r="G44" s="282"/>
      <c r="H44" s="198"/>
      <c r="I44" s="96"/>
    </row>
    <row r="45" spans="1:9" x14ac:dyDescent="0.25">
      <c r="A45" s="102" t="s">
        <v>210</v>
      </c>
      <c r="B45" s="281" t="s">
        <v>211</v>
      </c>
      <c r="C45" s="282"/>
      <c r="D45" s="282"/>
      <c r="E45" s="282"/>
      <c r="F45" s="282"/>
      <c r="G45" s="282"/>
      <c r="H45" s="198"/>
      <c r="I45" s="96"/>
    </row>
    <row r="46" spans="1:9" x14ac:dyDescent="0.25">
      <c r="A46" s="102" t="s">
        <v>212</v>
      </c>
      <c r="B46" s="281" t="s">
        <v>275</v>
      </c>
      <c r="C46" s="282"/>
      <c r="D46" s="282"/>
      <c r="E46" s="282"/>
      <c r="F46" s="282"/>
      <c r="G46" s="282"/>
      <c r="H46" s="198"/>
      <c r="I46" s="96"/>
    </row>
    <row r="47" spans="1:9" x14ac:dyDescent="0.25">
      <c r="A47" s="102"/>
      <c r="B47" s="281"/>
      <c r="C47" s="282"/>
      <c r="D47" s="282"/>
      <c r="E47" s="282"/>
      <c r="F47" s="282"/>
      <c r="G47" s="282"/>
      <c r="H47" s="198"/>
      <c r="I47" s="96"/>
    </row>
    <row r="48" spans="1:9" x14ac:dyDescent="0.25">
      <c r="A48" s="91"/>
      <c r="B48" s="91"/>
      <c r="C48" s="91"/>
      <c r="D48" s="91"/>
      <c r="E48" s="91"/>
      <c r="F48" s="91"/>
      <c r="G48" s="291" t="s">
        <v>122</v>
      </c>
      <c r="H48" s="225"/>
      <c r="I48" s="104">
        <f>SUM(I42:I47)</f>
        <v>0</v>
      </c>
    </row>
    <row r="49" spans="1:9" x14ac:dyDescent="0.25">
      <c r="A49" s="98" t="s">
        <v>213</v>
      </c>
      <c r="B49" s="91" t="s">
        <v>213</v>
      </c>
      <c r="C49" s="91" t="s">
        <v>213</v>
      </c>
      <c r="D49" s="91" t="s">
        <v>213</v>
      </c>
      <c r="E49" s="91" t="s">
        <v>213</v>
      </c>
      <c r="F49" s="91" t="s">
        <v>213</v>
      </c>
      <c r="G49" s="91"/>
      <c r="H49" s="99" t="s">
        <v>213</v>
      </c>
      <c r="I49" s="100" t="s">
        <v>213</v>
      </c>
    </row>
    <row r="50" spans="1:9" x14ac:dyDescent="0.25">
      <c r="A50" s="102" t="s">
        <v>214</v>
      </c>
      <c r="B50" s="291" t="s">
        <v>215</v>
      </c>
      <c r="C50" s="219"/>
      <c r="D50" s="219"/>
      <c r="E50" s="219"/>
      <c r="F50" s="219"/>
      <c r="G50" s="219"/>
      <c r="H50" s="225"/>
      <c r="I50" s="102" t="s">
        <v>165</v>
      </c>
    </row>
    <row r="51" spans="1:9" x14ac:dyDescent="0.25">
      <c r="A51" s="102" t="s">
        <v>216</v>
      </c>
      <c r="B51" s="281" t="s">
        <v>217</v>
      </c>
      <c r="C51" s="282"/>
      <c r="D51" s="282"/>
      <c r="E51" s="282"/>
      <c r="F51" s="282"/>
      <c r="G51" s="282"/>
      <c r="H51" s="198"/>
      <c r="I51" s="96"/>
    </row>
    <row r="52" spans="1:9" x14ac:dyDescent="0.25">
      <c r="A52" s="102" t="s">
        <v>218</v>
      </c>
      <c r="B52" s="281" t="s">
        <v>219</v>
      </c>
      <c r="C52" s="282"/>
      <c r="D52" s="282"/>
      <c r="E52" s="282"/>
      <c r="F52" s="282"/>
      <c r="G52" s="282"/>
      <c r="H52" s="198"/>
      <c r="I52" s="96"/>
    </row>
    <row r="53" spans="1:9" x14ac:dyDescent="0.25">
      <c r="A53" s="102" t="s">
        <v>220</v>
      </c>
      <c r="B53" s="281" t="s">
        <v>221</v>
      </c>
      <c r="C53" s="282"/>
      <c r="D53" s="282"/>
      <c r="E53" s="282"/>
      <c r="F53" s="282"/>
      <c r="G53" s="282"/>
      <c r="H53" s="198"/>
      <c r="I53" s="96"/>
    </row>
    <row r="54" spans="1:9" x14ac:dyDescent="0.25">
      <c r="A54" s="102" t="s">
        <v>222</v>
      </c>
      <c r="B54" s="281" t="s">
        <v>223</v>
      </c>
      <c r="C54" s="282"/>
      <c r="D54" s="282"/>
      <c r="E54" s="282"/>
      <c r="F54" s="282"/>
      <c r="G54" s="282"/>
      <c r="H54" s="198"/>
      <c r="I54" s="96"/>
    </row>
    <row r="55" spans="1:9" x14ac:dyDescent="0.25">
      <c r="A55" s="102" t="s">
        <v>224</v>
      </c>
      <c r="B55" s="281" t="s">
        <v>225</v>
      </c>
      <c r="C55" s="282"/>
      <c r="D55" s="282"/>
      <c r="E55" s="282"/>
      <c r="F55" s="282"/>
      <c r="G55" s="282"/>
      <c r="H55" s="198"/>
      <c r="I55" s="96"/>
    </row>
    <row r="56" spans="1:9" x14ac:dyDescent="0.25">
      <c r="A56" s="184" t="s">
        <v>226</v>
      </c>
      <c r="B56" s="298" t="s">
        <v>227</v>
      </c>
      <c r="C56" s="299"/>
      <c r="D56" s="299"/>
      <c r="E56" s="299"/>
      <c r="F56" s="299"/>
      <c r="G56" s="299"/>
      <c r="H56" s="211"/>
      <c r="I56" s="185"/>
    </row>
    <row r="57" spans="1:9" x14ac:dyDescent="0.25">
      <c r="A57" s="186" t="s">
        <v>273</v>
      </c>
      <c r="B57" s="300" t="s">
        <v>274</v>
      </c>
      <c r="C57" s="300"/>
      <c r="D57" s="300"/>
      <c r="E57" s="300"/>
      <c r="F57" s="300"/>
      <c r="G57" s="300"/>
      <c r="H57" s="300"/>
      <c r="I57" s="187"/>
    </row>
    <row r="58" spans="1:9" x14ac:dyDescent="0.25">
      <c r="A58" s="93"/>
      <c r="B58" s="91"/>
      <c r="C58" s="91"/>
      <c r="D58" s="91"/>
      <c r="E58" s="91"/>
      <c r="F58" s="91"/>
      <c r="G58" s="294" t="s">
        <v>122</v>
      </c>
      <c r="H58" s="194"/>
      <c r="I58" s="105">
        <f>SUM(I51:I57)</f>
        <v>0</v>
      </c>
    </row>
    <row r="59" spans="1:9" x14ac:dyDescent="0.25">
      <c r="A59" s="98" t="s">
        <v>213</v>
      </c>
      <c r="B59" s="91" t="s">
        <v>213</v>
      </c>
      <c r="C59" s="91"/>
      <c r="D59" s="91"/>
      <c r="E59" s="91"/>
      <c r="F59" s="91"/>
      <c r="G59" s="91"/>
      <c r="H59" s="99" t="s">
        <v>213</v>
      </c>
      <c r="I59" s="100" t="s">
        <v>213</v>
      </c>
    </row>
    <row r="60" spans="1:9" x14ac:dyDescent="0.25">
      <c r="A60" s="102" t="s">
        <v>228</v>
      </c>
      <c r="B60" s="291" t="s">
        <v>229</v>
      </c>
      <c r="C60" s="219"/>
      <c r="D60" s="219"/>
      <c r="E60" s="219"/>
      <c r="F60" s="219"/>
      <c r="G60" s="219"/>
      <c r="H60" s="225"/>
      <c r="I60" s="102" t="s">
        <v>165</v>
      </c>
    </row>
    <row r="61" spans="1:9" x14ac:dyDescent="0.25">
      <c r="A61" s="102" t="s">
        <v>230</v>
      </c>
      <c r="B61" s="281" t="s">
        <v>231</v>
      </c>
      <c r="C61" s="282"/>
      <c r="D61" s="282"/>
      <c r="E61" s="282"/>
      <c r="F61" s="282"/>
      <c r="G61" s="282"/>
      <c r="H61" s="198"/>
      <c r="I61" s="96"/>
    </row>
    <row r="62" spans="1:9" x14ac:dyDescent="0.25">
      <c r="A62" s="102" t="s">
        <v>232</v>
      </c>
      <c r="B62" s="281" t="s">
        <v>233</v>
      </c>
      <c r="C62" s="282"/>
      <c r="D62" s="282"/>
      <c r="E62" s="282"/>
      <c r="F62" s="282"/>
      <c r="G62" s="282"/>
      <c r="H62" s="198"/>
      <c r="I62" s="96"/>
    </row>
    <row r="63" spans="1:9" x14ac:dyDescent="0.25">
      <c r="A63" s="102" t="s">
        <v>234</v>
      </c>
      <c r="B63" s="281" t="s">
        <v>235</v>
      </c>
      <c r="C63" s="282"/>
      <c r="D63" s="282"/>
      <c r="E63" s="282"/>
      <c r="F63" s="282"/>
      <c r="G63" s="282"/>
      <c r="H63" s="198"/>
      <c r="I63" s="96"/>
    </row>
    <row r="64" spans="1:9" x14ac:dyDescent="0.25">
      <c r="A64" s="91" t="s">
        <v>213</v>
      </c>
      <c r="B64" s="91" t="s">
        <v>213</v>
      </c>
      <c r="C64" s="91" t="s">
        <v>213</v>
      </c>
      <c r="D64" s="91" t="s">
        <v>213</v>
      </c>
      <c r="E64" s="91" t="s">
        <v>213</v>
      </c>
      <c r="F64" s="91" t="s">
        <v>213</v>
      </c>
      <c r="G64" s="291" t="s">
        <v>122</v>
      </c>
      <c r="H64" s="225"/>
      <c r="I64" s="104">
        <f>SUM(I61:I63)</f>
        <v>0</v>
      </c>
    </row>
    <row r="65" spans="1:9" x14ac:dyDescent="0.25">
      <c r="A65" s="93"/>
      <c r="B65" s="69"/>
      <c r="C65" s="69"/>
      <c r="D65" s="69"/>
      <c r="E65" s="69"/>
      <c r="F65" s="93"/>
      <c r="G65" s="93"/>
      <c r="H65" s="93"/>
      <c r="I65" s="93"/>
    </row>
    <row r="66" spans="1:9" x14ac:dyDescent="0.25">
      <c r="A66" s="93"/>
      <c r="F66" s="93"/>
      <c r="G66" s="296" t="s">
        <v>126</v>
      </c>
      <c r="H66" s="102" t="s">
        <v>236</v>
      </c>
      <c r="I66" s="101">
        <f>H39+I48+I64+I58</f>
        <v>0</v>
      </c>
    </row>
    <row r="67" spans="1:9" x14ac:dyDescent="0.25">
      <c r="A67" s="93"/>
      <c r="F67" s="93"/>
      <c r="G67" s="297"/>
      <c r="H67" s="102" t="s">
        <v>237</v>
      </c>
      <c r="I67" s="104">
        <f>ROUNDUP((I66),1)</f>
        <v>0</v>
      </c>
    </row>
  </sheetData>
  <mergeCells count="61">
    <mergeCell ref="B62:H62"/>
    <mergeCell ref="B63:H63"/>
    <mergeCell ref="G64:H64"/>
    <mergeCell ref="G66:G67"/>
    <mergeCell ref="B54:H54"/>
    <mergeCell ref="B55:H55"/>
    <mergeCell ref="B56:H56"/>
    <mergeCell ref="G58:H58"/>
    <mergeCell ref="B60:H60"/>
    <mergeCell ref="B61:H61"/>
    <mergeCell ref="B57:H57"/>
    <mergeCell ref="B53:H53"/>
    <mergeCell ref="B42:H42"/>
    <mergeCell ref="B43:H43"/>
    <mergeCell ref="B44:H44"/>
    <mergeCell ref="B45:H45"/>
    <mergeCell ref="B46:H46"/>
    <mergeCell ref="B47:H47"/>
    <mergeCell ref="G48:H48"/>
    <mergeCell ref="B50:H50"/>
    <mergeCell ref="B51:H51"/>
    <mergeCell ref="B52:H52"/>
    <mergeCell ref="B41:H41"/>
    <mergeCell ref="B28:H28"/>
    <mergeCell ref="B29:H29"/>
    <mergeCell ref="B30:H30"/>
    <mergeCell ref="B31:H31"/>
    <mergeCell ref="G32:H32"/>
    <mergeCell ref="B34:H34"/>
    <mergeCell ref="B35:H35"/>
    <mergeCell ref="B36:H36"/>
    <mergeCell ref="G37:H37"/>
    <mergeCell ref="F39:G39"/>
    <mergeCell ref="H39:I39"/>
    <mergeCell ref="B27:H27"/>
    <mergeCell ref="B14:H14"/>
    <mergeCell ref="B15:H15"/>
    <mergeCell ref="B16:H16"/>
    <mergeCell ref="G17:H17"/>
    <mergeCell ref="B19:H19"/>
    <mergeCell ref="B20:H20"/>
    <mergeCell ref="B21:H21"/>
    <mergeCell ref="B22:H22"/>
    <mergeCell ref="G23:H23"/>
    <mergeCell ref="B25:H25"/>
    <mergeCell ref="B26:H26"/>
    <mergeCell ref="B13:H13"/>
    <mergeCell ref="A1:I2"/>
    <mergeCell ref="A4:B4"/>
    <mergeCell ref="C4:D4"/>
    <mergeCell ref="F4:G4"/>
    <mergeCell ref="H4:I4"/>
    <mergeCell ref="A5:B5"/>
    <mergeCell ref="C5:D5"/>
    <mergeCell ref="F5:G5"/>
    <mergeCell ref="H5:I5"/>
    <mergeCell ref="B7:H7"/>
    <mergeCell ref="B8:H8"/>
    <mergeCell ref="G9:H9"/>
    <mergeCell ref="B11:H11"/>
    <mergeCell ref="B12:H12"/>
  </mergeCells>
  <pageMargins left="0.7" right="0.7" top="0.75" bottom="0.75" header="0.3" footer="0.3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showGridLines="0" topLeftCell="A22" workbookViewId="0">
      <selection activeCell="C32" sqref="C32"/>
    </sheetView>
  </sheetViews>
  <sheetFormatPr baseColWidth="10" defaultRowHeight="12.75" x14ac:dyDescent="0.2"/>
  <cols>
    <col min="1" max="1" width="46.140625" style="1" customWidth="1"/>
    <col min="2" max="2" width="13.42578125" style="1" customWidth="1"/>
    <col min="3" max="3" width="14.28515625" style="1" customWidth="1"/>
    <col min="4" max="4" width="17.42578125" style="1" customWidth="1"/>
    <col min="5" max="5" width="11.42578125" style="1"/>
    <col min="6" max="7" width="16.85546875" style="1" customWidth="1"/>
    <col min="8" max="256" width="11.42578125" style="1"/>
    <col min="257" max="257" width="46.140625" style="1" customWidth="1"/>
    <col min="258" max="258" width="13.42578125" style="1" customWidth="1"/>
    <col min="259" max="259" width="14.28515625" style="1" customWidth="1"/>
    <col min="260" max="260" width="17.42578125" style="1" customWidth="1"/>
    <col min="261" max="261" width="11.42578125" style="1"/>
    <col min="262" max="263" width="16.85546875" style="1" customWidth="1"/>
    <col min="264" max="512" width="11.42578125" style="1"/>
    <col min="513" max="513" width="46.140625" style="1" customWidth="1"/>
    <col min="514" max="514" width="13.42578125" style="1" customWidth="1"/>
    <col min="515" max="515" width="14.28515625" style="1" customWidth="1"/>
    <col min="516" max="516" width="17.42578125" style="1" customWidth="1"/>
    <col min="517" max="517" width="11.42578125" style="1"/>
    <col min="518" max="519" width="16.85546875" style="1" customWidth="1"/>
    <col min="520" max="768" width="11.42578125" style="1"/>
    <col min="769" max="769" width="46.140625" style="1" customWidth="1"/>
    <col min="770" max="770" width="13.42578125" style="1" customWidth="1"/>
    <col min="771" max="771" width="14.28515625" style="1" customWidth="1"/>
    <col min="772" max="772" width="17.42578125" style="1" customWidth="1"/>
    <col min="773" max="773" width="11.42578125" style="1"/>
    <col min="774" max="775" width="16.85546875" style="1" customWidth="1"/>
    <col min="776" max="1024" width="11.42578125" style="1"/>
    <col min="1025" max="1025" width="46.140625" style="1" customWidth="1"/>
    <col min="1026" max="1026" width="13.42578125" style="1" customWidth="1"/>
    <col min="1027" max="1027" width="14.28515625" style="1" customWidth="1"/>
    <col min="1028" max="1028" width="17.42578125" style="1" customWidth="1"/>
    <col min="1029" max="1029" width="11.42578125" style="1"/>
    <col min="1030" max="1031" width="16.85546875" style="1" customWidth="1"/>
    <col min="1032" max="1280" width="11.42578125" style="1"/>
    <col min="1281" max="1281" width="46.140625" style="1" customWidth="1"/>
    <col min="1282" max="1282" width="13.42578125" style="1" customWidth="1"/>
    <col min="1283" max="1283" width="14.28515625" style="1" customWidth="1"/>
    <col min="1284" max="1284" width="17.42578125" style="1" customWidth="1"/>
    <col min="1285" max="1285" width="11.42578125" style="1"/>
    <col min="1286" max="1287" width="16.85546875" style="1" customWidth="1"/>
    <col min="1288" max="1536" width="11.42578125" style="1"/>
    <col min="1537" max="1537" width="46.140625" style="1" customWidth="1"/>
    <col min="1538" max="1538" width="13.42578125" style="1" customWidth="1"/>
    <col min="1539" max="1539" width="14.28515625" style="1" customWidth="1"/>
    <col min="1540" max="1540" width="17.42578125" style="1" customWidth="1"/>
    <col min="1541" max="1541" width="11.42578125" style="1"/>
    <col min="1542" max="1543" width="16.85546875" style="1" customWidth="1"/>
    <col min="1544" max="1792" width="11.42578125" style="1"/>
    <col min="1793" max="1793" width="46.140625" style="1" customWidth="1"/>
    <col min="1794" max="1794" width="13.42578125" style="1" customWidth="1"/>
    <col min="1795" max="1795" width="14.28515625" style="1" customWidth="1"/>
    <col min="1796" max="1796" width="17.42578125" style="1" customWidth="1"/>
    <col min="1797" max="1797" width="11.42578125" style="1"/>
    <col min="1798" max="1799" width="16.85546875" style="1" customWidth="1"/>
    <col min="1800" max="2048" width="11.42578125" style="1"/>
    <col min="2049" max="2049" width="46.140625" style="1" customWidth="1"/>
    <col min="2050" max="2050" width="13.42578125" style="1" customWidth="1"/>
    <col min="2051" max="2051" width="14.28515625" style="1" customWidth="1"/>
    <col min="2052" max="2052" width="17.42578125" style="1" customWidth="1"/>
    <col min="2053" max="2053" width="11.42578125" style="1"/>
    <col min="2054" max="2055" width="16.85546875" style="1" customWidth="1"/>
    <col min="2056" max="2304" width="11.42578125" style="1"/>
    <col min="2305" max="2305" width="46.140625" style="1" customWidth="1"/>
    <col min="2306" max="2306" width="13.42578125" style="1" customWidth="1"/>
    <col min="2307" max="2307" width="14.28515625" style="1" customWidth="1"/>
    <col min="2308" max="2308" width="17.42578125" style="1" customWidth="1"/>
    <col min="2309" max="2309" width="11.42578125" style="1"/>
    <col min="2310" max="2311" width="16.85546875" style="1" customWidth="1"/>
    <col min="2312" max="2560" width="11.42578125" style="1"/>
    <col min="2561" max="2561" width="46.140625" style="1" customWidth="1"/>
    <col min="2562" max="2562" width="13.42578125" style="1" customWidth="1"/>
    <col min="2563" max="2563" width="14.28515625" style="1" customWidth="1"/>
    <col min="2564" max="2564" width="17.42578125" style="1" customWidth="1"/>
    <col min="2565" max="2565" width="11.42578125" style="1"/>
    <col min="2566" max="2567" width="16.85546875" style="1" customWidth="1"/>
    <col min="2568" max="2816" width="11.42578125" style="1"/>
    <col min="2817" max="2817" width="46.140625" style="1" customWidth="1"/>
    <col min="2818" max="2818" width="13.42578125" style="1" customWidth="1"/>
    <col min="2819" max="2819" width="14.28515625" style="1" customWidth="1"/>
    <col min="2820" max="2820" width="17.42578125" style="1" customWidth="1"/>
    <col min="2821" max="2821" width="11.42578125" style="1"/>
    <col min="2822" max="2823" width="16.85546875" style="1" customWidth="1"/>
    <col min="2824" max="3072" width="11.42578125" style="1"/>
    <col min="3073" max="3073" width="46.140625" style="1" customWidth="1"/>
    <col min="3074" max="3074" width="13.42578125" style="1" customWidth="1"/>
    <col min="3075" max="3075" width="14.28515625" style="1" customWidth="1"/>
    <col min="3076" max="3076" width="17.42578125" style="1" customWidth="1"/>
    <col min="3077" max="3077" width="11.42578125" style="1"/>
    <col min="3078" max="3079" width="16.85546875" style="1" customWidth="1"/>
    <col min="3080" max="3328" width="11.42578125" style="1"/>
    <col min="3329" max="3329" width="46.140625" style="1" customWidth="1"/>
    <col min="3330" max="3330" width="13.42578125" style="1" customWidth="1"/>
    <col min="3331" max="3331" width="14.28515625" style="1" customWidth="1"/>
    <col min="3332" max="3332" width="17.42578125" style="1" customWidth="1"/>
    <col min="3333" max="3333" width="11.42578125" style="1"/>
    <col min="3334" max="3335" width="16.85546875" style="1" customWidth="1"/>
    <col min="3336" max="3584" width="11.42578125" style="1"/>
    <col min="3585" max="3585" width="46.140625" style="1" customWidth="1"/>
    <col min="3586" max="3586" width="13.42578125" style="1" customWidth="1"/>
    <col min="3587" max="3587" width="14.28515625" style="1" customWidth="1"/>
    <col min="3588" max="3588" width="17.42578125" style="1" customWidth="1"/>
    <col min="3589" max="3589" width="11.42578125" style="1"/>
    <col min="3590" max="3591" width="16.85546875" style="1" customWidth="1"/>
    <col min="3592" max="3840" width="11.42578125" style="1"/>
    <col min="3841" max="3841" width="46.140625" style="1" customWidth="1"/>
    <col min="3842" max="3842" width="13.42578125" style="1" customWidth="1"/>
    <col min="3843" max="3843" width="14.28515625" style="1" customWidth="1"/>
    <col min="3844" max="3844" width="17.42578125" style="1" customWidth="1"/>
    <col min="3845" max="3845" width="11.42578125" style="1"/>
    <col min="3846" max="3847" width="16.85546875" style="1" customWidth="1"/>
    <col min="3848" max="4096" width="11.42578125" style="1"/>
    <col min="4097" max="4097" width="46.140625" style="1" customWidth="1"/>
    <col min="4098" max="4098" width="13.42578125" style="1" customWidth="1"/>
    <col min="4099" max="4099" width="14.28515625" style="1" customWidth="1"/>
    <col min="4100" max="4100" width="17.42578125" style="1" customWidth="1"/>
    <col min="4101" max="4101" width="11.42578125" style="1"/>
    <col min="4102" max="4103" width="16.85546875" style="1" customWidth="1"/>
    <col min="4104" max="4352" width="11.42578125" style="1"/>
    <col min="4353" max="4353" width="46.140625" style="1" customWidth="1"/>
    <col min="4354" max="4354" width="13.42578125" style="1" customWidth="1"/>
    <col min="4355" max="4355" width="14.28515625" style="1" customWidth="1"/>
    <col min="4356" max="4356" width="17.42578125" style="1" customWidth="1"/>
    <col min="4357" max="4357" width="11.42578125" style="1"/>
    <col min="4358" max="4359" width="16.85546875" style="1" customWidth="1"/>
    <col min="4360" max="4608" width="11.42578125" style="1"/>
    <col min="4609" max="4609" width="46.140625" style="1" customWidth="1"/>
    <col min="4610" max="4610" width="13.42578125" style="1" customWidth="1"/>
    <col min="4611" max="4611" width="14.28515625" style="1" customWidth="1"/>
    <col min="4612" max="4612" width="17.42578125" style="1" customWidth="1"/>
    <col min="4613" max="4613" width="11.42578125" style="1"/>
    <col min="4614" max="4615" width="16.85546875" style="1" customWidth="1"/>
    <col min="4616" max="4864" width="11.42578125" style="1"/>
    <col min="4865" max="4865" width="46.140625" style="1" customWidth="1"/>
    <col min="4866" max="4866" width="13.42578125" style="1" customWidth="1"/>
    <col min="4867" max="4867" width="14.28515625" style="1" customWidth="1"/>
    <col min="4868" max="4868" width="17.42578125" style="1" customWidth="1"/>
    <col min="4869" max="4869" width="11.42578125" style="1"/>
    <col min="4870" max="4871" width="16.85546875" style="1" customWidth="1"/>
    <col min="4872" max="5120" width="11.42578125" style="1"/>
    <col min="5121" max="5121" width="46.140625" style="1" customWidth="1"/>
    <col min="5122" max="5122" width="13.42578125" style="1" customWidth="1"/>
    <col min="5123" max="5123" width="14.28515625" style="1" customWidth="1"/>
    <col min="5124" max="5124" width="17.42578125" style="1" customWidth="1"/>
    <col min="5125" max="5125" width="11.42578125" style="1"/>
    <col min="5126" max="5127" width="16.85546875" style="1" customWidth="1"/>
    <col min="5128" max="5376" width="11.42578125" style="1"/>
    <col min="5377" max="5377" width="46.140625" style="1" customWidth="1"/>
    <col min="5378" max="5378" width="13.42578125" style="1" customWidth="1"/>
    <col min="5379" max="5379" width="14.28515625" style="1" customWidth="1"/>
    <col min="5380" max="5380" width="17.42578125" style="1" customWidth="1"/>
    <col min="5381" max="5381" width="11.42578125" style="1"/>
    <col min="5382" max="5383" width="16.85546875" style="1" customWidth="1"/>
    <col min="5384" max="5632" width="11.42578125" style="1"/>
    <col min="5633" max="5633" width="46.140625" style="1" customWidth="1"/>
    <col min="5634" max="5634" width="13.42578125" style="1" customWidth="1"/>
    <col min="5635" max="5635" width="14.28515625" style="1" customWidth="1"/>
    <col min="5636" max="5636" width="17.42578125" style="1" customWidth="1"/>
    <col min="5637" max="5637" width="11.42578125" style="1"/>
    <col min="5638" max="5639" width="16.85546875" style="1" customWidth="1"/>
    <col min="5640" max="5888" width="11.42578125" style="1"/>
    <col min="5889" max="5889" width="46.140625" style="1" customWidth="1"/>
    <col min="5890" max="5890" width="13.42578125" style="1" customWidth="1"/>
    <col min="5891" max="5891" width="14.28515625" style="1" customWidth="1"/>
    <col min="5892" max="5892" width="17.42578125" style="1" customWidth="1"/>
    <col min="5893" max="5893" width="11.42578125" style="1"/>
    <col min="5894" max="5895" width="16.85546875" style="1" customWidth="1"/>
    <col min="5896" max="6144" width="11.42578125" style="1"/>
    <col min="6145" max="6145" width="46.140625" style="1" customWidth="1"/>
    <col min="6146" max="6146" width="13.42578125" style="1" customWidth="1"/>
    <col min="6147" max="6147" width="14.28515625" style="1" customWidth="1"/>
    <col min="6148" max="6148" width="17.42578125" style="1" customWidth="1"/>
    <col min="6149" max="6149" width="11.42578125" style="1"/>
    <col min="6150" max="6151" width="16.85546875" style="1" customWidth="1"/>
    <col min="6152" max="6400" width="11.42578125" style="1"/>
    <col min="6401" max="6401" width="46.140625" style="1" customWidth="1"/>
    <col min="6402" max="6402" width="13.42578125" style="1" customWidth="1"/>
    <col min="6403" max="6403" width="14.28515625" style="1" customWidth="1"/>
    <col min="6404" max="6404" width="17.42578125" style="1" customWidth="1"/>
    <col min="6405" max="6405" width="11.42578125" style="1"/>
    <col min="6406" max="6407" width="16.85546875" style="1" customWidth="1"/>
    <col min="6408" max="6656" width="11.42578125" style="1"/>
    <col min="6657" max="6657" width="46.140625" style="1" customWidth="1"/>
    <col min="6658" max="6658" width="13.42578125" style="1" customWidth="1"/>
    <col min="6659" max="6659" width="14.28515625" style="1" customWidth="1"/>
    <col min="6660" max="6660" width="17.42578125" style="1" customWidth="1"/>
    <col min="6661" max="6661" width="11.42578125" style="1"/>
    <col min="6662" max="6663" width="16.85546875" style="1" customWidth="1"/>
    <col min="6664" max="6912" width="11.42578125" style="1"/>
    <col min="6913" max="6913" width="46.140625" style="1" customWidth="1"/>
    <col min="6914" max="6914" width="13.42578125" style="1" customWidth="1"/>
    <col min="6915" max="6915" width="14.28515625" style="1" customWidth="1"/>
    <col min="6916" max="6916" width="17.42578125" style="1" customWidth="1"/>
    <col min="6917" max="6917" width="11.42578125" style="1"/>
    <col min="6918" max="6919" width="16.85546875" style="1" customWidth="1"/>
    <col min="6920" max="7168" width="11.42578125" style="1"/>
    <col min="7169" max="7169" width="46.140625" style="1" customWidth="1"/>
    <col min="7170" max="7170" width="13.42578125" style="1" customWidth="1"/>
    <col min="7171" max="7171" width="14.28515625" style="1" customWidth="1"/>
    <col min="7172" max="7172" width="17.42578125" style="1" customWidth="1"/>
    <col min="7173" max="7173" width="11.42578125" style="1"/>
    <col min="7174" max="7175" width="16.85546875" style="1" customWidth="1"/>
    <col min="7176" max="7424" width="11.42578125" style="1"/>
    <col min="7425" max="7425" width="46.140625" style="1" customWidth="1"/>
    <col min="7426" max="7426" width="13.42578125" style="1" customWidth="1"/>
    <col min="7427" max="7427" width="14.28515625" style="1" customWidth="1"/>
    <col min="7428" max="7428" width="17.42578125" style="1" customWidth="1"/>
    <col min="7429" max="7429" width="11.42578125" style="1"/>
    <col min="7430" max="7431" width="16.85546875" style="1" customWidth="1"/>
    <col min="7432" max="7680" width="11.42578125" style="1"/>
    <col min="7681" max="7681" width="46.140625" style="1" customWidth="1"/>
    <col min="7682" max="7682" width="13.42578125" style="1" customWidth="1"/>
    <col min="7683" max="7683" width="14.28515625" style="1" customWidth="1"/>
    <col min="7684" max="7684" width="17.42578125" style="1" customWidth="1"/>
    <col min="7685" max="7685" width="11.42578125" style="1"/>
    <col min="7686" max="7687" width="16.85546875" style="1" customWidth="1"/>
    <col min="7688" max="7936" width="11.42578125" style="1"/>
    <col min="7937" max="7937" width="46.140625" style="1" customWidth="1"/>
    <col min="7938" max="7938" width="13.42578125" style="1" customWidth="1"/>
    <col min="7939" max="7939" width="14.28515625" style="1" customWidth="1"/>
    <col min="7940" max="7940" width="17.42578125" style="1" customWidth="1"/>
    <col min="7941" max="7941" width="11.42578125" style="1"/>
    <col min="7942" max="7943" width="16.85546875" style="1" customWidth="1"/>
    <col min="7944" max="8192" width="11.42578125" style="1"/>
    <col min="8193" max="8193" width="46.140625" style="1" customWidth="1"/>
    <col min="8194" max="8194" width="13.42578125" style="1" customWidth="1"/>
    <col min="8195" max="8195" width="14.28515625" style="1" customWidth="1"/>
    <col min="8196" max="8196" width="17.42578125" style="1" customWidth="1"/>
    <col min="8197" max="8197" width="11.42578125" style="1"/>
    <col min="8198" max="8199" width="16.85546875" style="1" customWidth="1"/>
    <col min="8200" max="8448" width="11.42578125" style="1"/>
    <col min="8449" max="8449" width="46.140625" style="1" customWidth="1"/>
    <col min="8450" max="8450" width="13.42578125" style="1" customWidth="1"/>
    <col min="8451" max="8451" width="14.28515625" style="1" customWidth="1"/>
    <col min="8452" max="8452" width="17.42578125" style="1" customWidth="1"/>
    <col min="8453" max="8453" width="11.42578125" style="1"/>
    <col min="8454" max="8455" width="16.85546875" style="1" customWidth="1"/>
    <col min="8456" max="8704" width="11.42578125" style="1"/>
    <col min="8705" max="8705" width="46.140625" style="1" customWidth="1"/>
    <col min="8706" max="8706" width="13.42578125" style="1" customWidth="1"/>
    <col min="8707" max="8707" width="14.28515625" style="1" customWidth="1"/>
    <col min="8708" max="8708" width="17.42578125" style="1" customWidth="1"/>
    <col min="8709" max="8709" width="11.42578125" style="1"/>
    <col min="8710" max="8711" width="16.85546875" style="1" customWidth="1"/>
    <col min="8712" max="8960" width="11.42578125" style="1"/>
    <col min="8961" max="8961" width="46.140625" style="1" customWidth="1"/>
    <col min="8962" max="8962" width="13.42578125" style="1" customWidth="1"/>
    <col min="8963" max="8963" width="14.28515625" style="1" customWidth="1"/>
    <col min="8964" max="8964" width="17.42578125" style="1" customWidth="1"/>
    <col min="8965" max="8965" width="11.42578125" style="1"/>
    <col min="8966" max="8967" width="16.85546875" style="1" customWidth="1"/>
    <col min="8968" max="9216" width="11.42578125" style="1"/>
    <col min="9217" max="9217" width="46.140625" style="1" customWidth="1"/>
    <col min="9218" max="9218" width="13.42578125" style="1" customWidth="1"/>
    <col min="9219" max="9219" width="14.28515625" style="1" customWidth="1"/>
    <col min="9220" max="9220" width="17.42578125" style="1" customWidth="1"/>
    <col min="9221" max="9221" width="11.42578125" style="1"/>
    <col min="9222" max="9223" width="16.85546875" style="1" customWidth="1"/>
    <col min="9224" max="9472" width="11.42578125" style="1"/>
    <col min="9473" max="9473" width="46.140625" style="1" customWidth="1"/>
    <col min="9474" max="9474" width="13.42578125" style="1" customWidth="1"/>
    <col min="9475" max="9475" width="14.28515625" style="1" customWidth="1"/>
    <col min="9476" max="9476" width="17.42578125" style="1" customWidth="1"/>
    <col min="9477" max="9477" width="11.42578125" style="1"/>
    <col min="9478" max="9479" width="16.85546875" style="1" customWidth="1"/>
    <col min="9480" max="9728" width="11.42578125" style="1"/>
    <col min="9729" max="9729" width="46.140625" style="1" customWidth="1"/>
    <col min="9730" max="9730" width="13.42578125" style="1" customWidth="1"/>
    <col min="9731" max="9731" width="14.28515625" style="1" customWidth="1"/>
    <col min="9732" max="9732" width="17.42578125" style="1" customWidth="1"/>
    <col min="9733" max="9733" width="11.42578125" style="1"/>
    <col min="9734" max="9735" width="16.85546875" style="1" customWidth="1"/>
    <col min="9736" max="9984" width="11.42578125" style="1"/>
    <col min="9985" max="9985" width="46.140625" style="1" customWidth="1"/>
    <col min="9986" max="9986" width="13.42578125" style="1" customWidth="1"/>
    <col min="9987" max="9987" width="14.28515625" style="1" customWidth="1"/>
    <col min="9988" max="9988" width="17.42578125" style="1" customWidth="1"/>
    <col min="9989" max="9989" width="11.42578125" style="1"/>
    <col min="9990" max="9991" width="16.85546875" style="1" customWidth="1"/>
    <col min="9992" max="10240" width="11.42578125" style="1"/>
    <col min="10241" max="10241" width="46.140625" style="1" customWidth="1"/>
    <col min="10242" max="10242" width="13.42578125" style="1" customWidth="1"/>
    <col min="10243" max="10243" width="14.28515625" style="1" customWidth="1"/>
    <col min="10244" max="10244" width="17.42578125" style="1" customWidth="1"/>
    <col min="10245" max="10245" width="11.42578125" style="1"/>
    <col min="10246" max="10247" width="16.85546875" style="1" customWidth="1"/>
    <col min="10248" max="10496" width="11.42578125" style="1"/>
    <col min="10497" max="10497" width="46.140625" style="1" customWidth="1"/>
    <col min="10498" max="10498" width="13.42578125" style="1" customWidth="1"/>
    <col min="10499" max="10499" width="14.28515625" style="1" customWidth="1"/>
    <col min="10500" max="10500" width="17.42578125" style="1" customWidth="1"/>
    <col min="10501" max="10501" width="11.42578125" style="1"/>
    <col min="10502" max="10503" width="16.85546875" style="1" customWidth="1"/>
    <col min="10504" max="10752" width="11.42578125" style="1"/>
    <col min="10753" max="10753" width="46.140625" style="1" customWidth="1"/>
    <col min="10754" max="10754" width="13.42578125" style="1" customWidth="1"/>
    <col min="10755" max="10755" width="14.28515625" style="1" customWidth="1"/>
    <col min="10756" max="10756" width="17.42578125" style="1" customWidth="1"/>
    <col min="10757" max="10757" width="11.42578125" style="1"/>
    <col min="10758" max="10759" width="16.85546875" style="1" customWidth="1"/>
    <col min="10760" max="11008" width="11.42578125" style="1"/>
    <col min="11009" max="11009" width="46.140625" style="1" customWidth="1"/>
    <col min="11010" max="11010" width="13.42578125" style="1" customWidth="1"/>
    <col min="11011" max="11011" width="14.28515625" style="1" customWidth="1"/>
    <col min="11012" max="11012" width="17.42578125" style="1" customWidth="1"/>
    <col min="11013" max="11013" width="11.42578125" style="1"/>
    <col min="11014" max="11015" width="16.85546875" style="1" customWidth="1"/>
    <col min="11016" max="11264" width="11.42578125" style="1"/>
    <col min="11265" max="11265" width="46.140625" style="1" customWidth="1"/>
    <col min="11266" max="11266" width="13.42578125" style="1" customWidth="1"/>
    <col min="11267" max="11267" width="14.28515625" style="1" customWidth="1"/>
    <col min="11268" max="11268" width="17.42578125" style="1" customWidth="1"/>
    <col min="11269" max="11269" width="11.42578125" style="1"/>
    <col min="11270" max="11271" width="16.85546875" style="1" customWidth="1"/>
    <col min="11272" max="11520" width="11.42578125" style="1"/>
    <col min="11521" max="11521" width="46.140625" style="1" customWidth="1"/>
    <col min="11522" max="11522" width="13.42578125" style="1" customWidth="1"/>
    <col min="11523" max="11523" width="14.28515625" style="1" customWidth="1"/>
    <col min="11524" max="11524" width="17.42578125" style="1" customWidth="1"/>
    <col min="11525" max="11525" width="11.42578125" style="1"/>
    <col min="11526" max="11527" width="16.85546875" style="1" customWidth="1"/>
    <col min="11528" max="11776" width="11.42578125" style="1"/>
    <col min="11777" max="11777" width="46.140625" style="1" customWidth="1"/>
    <col min="11778" max="11778" width="13.42578125" style="1" customWidth="1"/>
    <col min="11779" max="11779" width="14.28515625" style="1" customWidth="1"/>
    <col min="11780" max="11780" width="17.42578125" style="1" customWidth="1"/>
    <col min="11781" max="11781" width="11.42578125" style="1"/>
    <col min="11782" max="11783" width="16.85546875" style="1" customWidth="1"/>
    <col min="11784" max="12032" width="11.42578125" style="1"/>
    <col min="12033" max="12033" width="46.140625" style="1" customWidth="1"/>
    <col min="12034" max="12034" width="13.42578125" style="1" customWidth="1"/>
    <col min="12035" max="12035" width="14.28515625" style="1" customWidth="1"/>
    <col min="12036" max="12036" width="17.42578125" style="1" customWidth="1"/>
    <col min="12037" max="12037" width="11.42578125" style="1"/>
    <col min="12038" max="12039" width="16.85546875" style="1" customWidth="1"/>
    <col min="12040" max="12288" width="11.42578125" style="1"/>
    <col min="12289" max="12289" width="46.140625" style="1" customWidth="1"/>
    <col min="12290" max="12290" width="13.42578125" style="1" customWidth="1"/>
    <col min="12291" max="12291" width="14.28515625" style="1" customWidth="1"/>
    <col min="12292" max="12292" width="17.42578125" style="1" customWidth="1"/>
    <col min="12293" max="12293" width="11.42578125" style="1"/>
    <col min="12294" max="12295" width="16.85546875" style="1" customWidth="1"/>
    <col min="12296" max="12544" width="11.42578125" style="1"/>
    <col min="12545" max="12545" width="46.140625" style="1" customWidth="1"/>
    <col min="12546" max="12546" width="13.42578125" style="1" customWidth="1"/>
    <col min="12547" max="12547" width="14.28515625" style="1" customWidth="1"/>
    <col min="12548" max="12548" width="17.42578125" style="1" customWidth="1"/>
    <col min="12549" max="12549" width="11.42578125" style="1"/>
    <col min="12550" max="12551" width="16.85546875" style="1" customWidth="1"/>
    <col min="12552" max="12800" width="11.42578125" style="1"/>
    <col min="12801" max="12801" width="46.140625" style="1" customWidth="1"/>
    <col min="12802" max="12802" width="13.42578125" style="1" customWidth="1"/>
    <col min="12803" max="12803" width="14.28515625" style="1" customWidth="1"/>
    <col min="12804" max="12804" width="17.42578125" style="1" customWidth="1"/>
    <col min="12805" max="12805" width="11.42578125" style="1"/>
    <col min="12806" max="12807" width="16.85546875" style="1" customWidth="1"/>
    <col min="12808" max="13056" width="11.42578125" style="1"/>
    <col min="13057" max="13057" width="46.140625" style="1" customWidth="1"/>
    <col min="13058" max="13058" width="13.42578125" style="1" customWidth="1"/>
    <col min="13059" max="13059" width="14.28515625" style="1" customWidth="1"/>
    <col min="13060" max="13060" width="17.42578125" style="1" customWidth="1"/>
    <col min="13061" max="13061" width="11.42578125" style="1"/>
    <col min="13062" max="13063" width="16.85546875" style="1" customWidth="1"/>
    <col min="13064" max="13312" width="11.42578125" style="1"/>
    <col min="13313" max="13313" width="46.140625" style="1" customWidth="1"/>
    <col min="13314" max="13314" width="13.42578125" style="1" customWidth="1"/>
    <col min="13315" max="13315" width="14.28515625" style="1" customWidth="1"/>
    <col min="13316" max="13316" width="17.42578125" style="1" customWidth="1"/>
    <col min="13317" max="13317" width="11.42578125" style="1"/>
    <col min="13318" max="13319" width="16.85546875" style="1" customWidth="1"/>
    <col min="13320" max="13568" width="11.42578125" style="1"/>
    <col min="13569" max="13569" width="46.140625" style="1" customWidth="1"/>
    <col min="13570" max="13570" width="13.42578125" style="1" customWidth="1"/>
    <col min="13571" max="13571" width="14.28515625" style="1" customWidth="1"/>
    <col min="13572" max="13572" width="17.42578125" style="1" customWidth="1"/>
    <col min="13573" max="13573" width="11.42578125" style="1"/>
    <col min="13574" max="13575" width="16.85546875" style="1" customWidth="1"/>
    <col min="13576" max="13824" width="11.42578125" style="1"/>
    <col min="13825" max="13825" width="46.140625" style="1" customWidth="1"/>
    <col min="13826" max="13826" width="13.42578125" style="1" customWidth="1"/>
    <col min="13827" max="13827" width="14.28515625" style="1" customWidth="1"/>
    <col min="13828" max="13828" width="17.42578125" style="1" customWidth="1"/>
    <col min="13829" max="13829" width="11.42578125" style="1"/>
    <col min="13830" max="13831" width="16.85546875" style="1" customWidth="1"/>
    <col min="13832" max="14080" width="11.42578125" style="1"/>
    <col min="14081" max="14081" width="46.140625" style="1" customWidth="1"/>
    <col min="14082" max="14082" width="13.42578125" style="1" customWidth="1"/>
    <col min="14083" max="14083" width="14.28515625" style="1" customWidth="1"/>
    <col min="14084" max="14084" width="17.42578125" style="1" customWidth="1"/>
    <col min="14085" max="14085" width="11.42578125" style="1"/>
    <col min="14086" max="14087" width="16.85546875" style="1" customWidth="1"/>
    <col min="14088" max="14336" width="11.42578125" style="1"/>
    <col min="14337" max="14337" width="46.140625" style="1" customWidth="1"/>
    <col min="14338" max="14338" width="13.42578125" style="1" customWidth="1"/>
    <col min="14339" max="14339" width="14.28515625" style="1" customWidth="1"/>
    <col min="14340" max="14340" width="17.42578125" style="1" customWidth="1"/>
    <col min="14341" max="14341" width="11.42578125" style="1"/>
    <col min="14342" max="14343" width="16.85546875" style="1" customWidth="1"/>
    <col min="14344" max="14592" width="11.42578125" style="1"/>
    <col min="14593" max="14593" width="46.140625" style="1" customWidth="1"/>
    <col min="14594" max="14594" width="13.42578125" style="1" customWidth="1"/>
    <col min="14595" max="14595" width="14.28515625" style="1" customWidth="1"/>
    <col min="14596" max="14596" width="17.42578125" style="1" customWidth="1"/>
    <col min="14597" max="14597" width="11.42578125" style="1"/>
    <col min="14598" max="14599" width="16.85546875" style="1" customWidth="1"/>
    <col min="14600" max="14848" width="11.42578125" style="1"/>
    <col min="14849" max="14849" width="46.140625" style="1" customWidth="1"/>
    <col min="14850" max="14850" width="13.42578125" style="1" customWidth="1"/>
    <col min="14851" max="14851" width="14.28515625" style="1" customWidth="1"/>
    <col min="14852" max="14852" width="17.42578125" style="1" customWidth="1"/>
    <col min="14853" max="14853" width="11.42578125" style="1"/>
    <col min="14854" max="14855" width="16.85546875" style="1" customWidth="1"/>
    <col min="14856" max="15104" width="11.42578125" style="1"/>
    <col min="15105" max="15105" width="46.140625" style="1" customWidth="1"/>
    <col min="15106" max="15106" width="13.42578125" style="1" customWidth="1"/>
    <col min="15107" max="15107" width="14.28515625" style="1" customWidth="1"/>
    <col min="15108" max="15108" width="17.42578125" style="1" customWidth="1"/>
    <col min="15109" max="15109" width="11.42578125" style="1"/>
    <col min="15110" max="15111" width="16.85546875" style="1" customWidth="1"/>
    <col min="15112" max="15360" width="11.42578125" style="1"/>
    <col min="15361" max="15361" width="46.140625" style="1" customWidth="1"/>
    <col min="15362" max="15362" width="13.42578125" style="1" customWidth="1"/>
    <col min="15363" max="15363" width="14.28515625" style="1" customWidth="1"/>
    <col min="15364" max="15364" width="17.42578125" style="1" customWidth="1"/>
    <col min="15365" max="15365" width="11.42578125" style="1"/>
    <col min="15366" max="15367" width="16.85546875" style="1" customWidth="1"/>
    <col min="15368" max="15616" width="11.42578125" style="1"/>
    <col min="15617" max="15617" width="46.140625" style="1" customWidth="1"/>
    <col min="15618" max="15618" width="13.42578125" style="1" customWidth="1"/>
    <col min="15619" max="15619" width="14.28515625" style="1" customWidth="1"/>
    <col min="15620" max="15620" width="17.42578125" style="1" customWidth="1"/>
    <col min="15621" max="15621" width="11.42578125" style="1"/>
    <col min="15622" max="15623" width="16.85546875" style="1" customWidth="1"/>
    <col min="15624" max="15872" width="11.42578125" style="1"/>
    <col min="15873" max="15873" width="46.140625" style="1" customWidth="1"/>
    <col min="15874" max="15874" width="13.42578125" style="1" customWidth="1"/>
    <col min="15875" max="15875" width="14.28515625" style="1" customWidth="1"/>
    <col min="15876" max="15876" width="17.42578125" style="1" customWidth="1"/>
    <col min="15877" max="15877" width="11.42578125" style="1"/>
    <col min="15878" max="15879" width="16.85546875" style="1" customWidth="1"/>
    <col min="15880" max="16128" width="11.42578125" style="1"/>
    <col min="16129" max="16129" width="46.140625" style="1" customWidth="1"/>
    <col min="16130" max="16130" width="13.42578125" style="1" customWidth="1"/>
    <col min="16131" max="16131" width="14.28515625" style="1" customWidth="1"/>
    <col min="16132" max="16132" width="17.42578125" style="1" customWidth="1"/>
    <col min="16133" max="16133" width="11.42578125" style="1"/>
    <col min="16134" max="16135" width="16.85546875" style="1" customWidth="1"/>
    <col min="16136" max="16384" width="11.42578125" style="1"/>
  </cols>
  <sheetData>
    <row r="1" spans="1:7" ht="43.5" customHeight="1" x14ac:dyDescent="0.2">
      <c r="A1" s="301" t="s">
        <v>48</v>
      </c>
      <c r="B1" s="301"/>
      <c r="C1" s="301"/>
      <c r="D1" s="301"/>
      <c r="E1" s="301"/>
      <c r="F1" s="301"/>
      <c r="G1" s="301"/>
    </row>
    <row r="2" spans="1:7" x14ac:dyDescent="0.2">
      <c r="A2" s="302"/>
      <c r="B2" s="302"/>
      <c r="C2" s="302"/>
      <c r="D2" s="302"/>
      <c r="E2" s="302"/>
      <c r="F2" s="302"/>
      <c r="G2" s="302"/>
    </row>
    <row r="3" spans="1:7" ht="15" x14ac:dyDescent="0.25">
      <c r="A3" s="303" t="s">
        <v>3</v>
      </c>
      <c r="B3" s="303"/>
      <c r="C3" s="303"/>
      <c r="D3" s="303"/>
      <c r="E3" s="303"/>
      <c r="F3" s="303"/>
      <c r="G3" s="303"/>
    </row>
    <row r="4" spans="1:7" ht="15" x14ac:dyDescent="0.25">
      <c r="A4" s="303" t="s">
        <v>0</v>
      </c>
      <c r="B4" s="303"/>
      <c r="C4" s="303"/>
      <c r="D4" s="303"/>
      <c r="E4" s="303"/>
      <c r="F4" s="303"/>
      <c r="G4" s="303"/>
    </row>
    <row r="5" spans="1:7" ht="13.5" thickBot="1" x14ac:dyDescent="0.25"/>
    <row r="6" spans="1:7" ht="25.5" x14ac:dyDescent="0.2">
      <c r="A6" s="2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4" t="s">
        <v>9</v>
      </c>
      <c r="G6" s="4" t="s">
        <v>9</v>
      </c>
    </row>
    <row r="7" spans="1:7" ht="13.5" thickBot="1" x14ac:dyDescent="0.25">
      <c r="A7" s="5"/>
      <c r="B7" s="6" t="s">
        <v>10</v>
      </c>
      <c r="C7" s="6" t="s">
        <v>10</v>
      </c>
      <c r="D7" s="6" t="s">
        <v>11</v>
      </c>
      <c r="E7" s="6"/>
      <c r="F7" s="7" t="s">
        <v>11</v>
      </c>
      <c r="G7" s="7" t="s">
        <v>12</v>
      </c>
    </row>
    <row r="8" spans="1:7" x14ac:dyDescent="0.2">
      <c r="A8" s="8" t="s">
        <v>13</v>
      </c>
      <c r="B8" s="9">
        <v>12</v>
      </c>
      <c r="C8" s="9">
        <v>10</v>
      </c>
      <c r="D8" s="10">
        <v>8904128</v>
      </c>
      <c r="E8" s="11">
        <v>0.8</v>
      </c>
      <c r="F8" s="12">
        <f>ROUND(D8*E8/100000,0)*100000</f>
        <v>7100000</v>
      </c>
      <c r="G8" s="12">
        <f>ROUND((F8/24)/1000,0)*1000</f>
        <v>296000</v>
      </c>
    </row>
    <row r="9" spans="1:7" x14ac:dyDescent="0.2">
      <c r="A9" s="13" t="s">
        <v>14</v>
      </c>
      <c r="B9" s="14">
        <v>10</v>
      </c>
      <c r="C9" s="14">
        <v>7</v>
      </c>
      <c r="D9" s="15">
        <v>6786012</v>
      </c>
      <c r="E9" s="16">
        <v>0.8</v>
      </c>
      <c r="F9" s="17">
        <f>ROUND(D9*E9/100000,0)*100000</f>
        <v>5400000</v>
      </c>
      <c r="G9" s="17">
        <f>ROUND((F9/24)/1000,0)*1000</f>
        <v>225000</v>
      </c>
    </row>
    <row r="10" spans="1:7" x14ac:dyDescent="0.2">
      <c r="A10" s="13" t="s">
        <v>15</v>
      </c>
      <c r="B10" s="14">
        <v>8</v>
      </c>
      <c r="C10" s="14">
        <v>5</v>
      </c>
      <c r="D10" s="15">
        <v>5725896</v>
      </c>
      <c r="E10" s="16">
        <v>0.8</v>
      </c>
      <c r="F10" s="17">
        <f t="shared" ref="F10:F17" si="0">ROUND(D10*E10/100000,0)*100000</f>
        <v>4600000</v>
      </c>
      <c r="G10" s="17">
        <f t="shared" ref="G10:G17" si="1">ROUND((F10/24)/1000,0)*1000</f>
        <v>192000</v>
      </c>
    </row>
    <row r="11" spans="1:7" x14ac:dyDescent="0.2">
      <c r="A11" s="13" t="s">
        <v>16</v>
      </c>
      <c r="B11" s="14">
        <v>6</v>
      </c>
      <c r="C11" s="14">
        <v>4</v>
      </c>
      <c r="D11" s="15">
        <v>4876322</v>
      </c>
      <c r="E11" s="16">
        <v>0.8</v>
      </c>
      <c r="F11" s="17">
        <f t="shared" si="0"/>
        <v>3900000</v>
      </c>
      <c r="G11" s="17">
        <f t="shared" si="1"/>
        <v>163000</v>
      </c>
    </row>
    <row r="12" spans="1:7" x14ac:dyDescent="0.2">
      <c r="A12" s="13" t="s">
        <v>17</v>
      </c>
      <c r="B12" s="14">
        <v>4</v>
      </c>
      <c r="C12" s="14">
        <v>3</v>
      </c>
      <c r="D12" s="15">
        <v>4397048</v>
      </c>
      <c r="E12" s="16">
        <v>0.8</v>
      </c>
      <c r="F12" s="17">
        <f t="shared" si="0"/>
        <v>3500000</v>
      </c>
      <c r="G12" s="17">
        <f t="shared" si="1"/>
        <v>146000</v>
      </c>
    </row>
    <row r="13" spans="1:7" x14ac:dyDescent="0.2">
      <c r="A13" s="13" t="s">
        <v>18</v>
      </c>
      <c r="B13" s="14">
        <v>3</v>
      </c>
      <c r="C13" s="14">
        <v>1</v>
      </c>
      <c r="D13" s="15">
        <v>3922006</v>
      </c>
      <c r="E13" s="16">
        <v>0.8</v>
      </c>
      <c r="F13" s="17">
        <f t="shared" si="0"/>
        <v>3100000</v>
      </c>
      <c r="G13" s="17">
        <f t="shared" si="1"/>
        <v>129000</v>
      </c>
    </row>
    <row r="14" spans="1:7" x14ac:dyDescent="0.2">
      <c r="A14" s="13" t="s">
        <v>19</v>
      </c>
      <c r="B14" s="14">
        <v>2</v>
      </c>
      <c r="C14" s="14">
        <v>0</v>
      </c>
      <c r="D14" s="15">
        <v>2964516</v>
      </c>
      <c r="E14" s="16">
        <v>0.8</v>
      </c>
      <c r="F14" s="17">
        <f t="shared" si="0"/>
        <v>2400000</v>
      </c>
      <c r="G14" s="17">
        <f t="shared" si="1"/>
        <v>100000</v>
      </c>
    </row>
    <row r="15" spans="1:7" x14ac:dyDescent="0.2">
      <c r="A15" s="13" t="s">
        <v>20</v>
      </c>
      <c r="B15" s="14">
        <v>1</v>
      </c>
      <c r="C15" s="14">
        <v>0</v>
      </c>
      <c r="D15" s="15">
        <v>2797352</v>
      </c>
      <c r="E15" s="16">
        <v>0.8</v>
      </c>
      <c r="F15" s="17">
        <f t="shared" si="0"/>
        <v>2200000</v>
      </c>
      <c r="G15" s="17">
        <f t="shared" si="1"/>
        <v>92000</v>
      </c>
    </row>
    <row r="16" spans="1:7" x14ac:dyDescent="0.2">
      <c r="A16" s="13" t="s">
        <v>21</v>
      </c>
      <c r="B16" s="14"/>
      <c r="C16" s="14"/>
      <c r="D16" s="15">
        <v>1613450</v>
      </c>
      <c r="E16" s="16">
        <v>0.8</v>
      </c>
      <c r="F16" s="17">
        <f t="shared" si="0"/>
        <v>1300000</v>
      </c>
      <c r="G16" s="17">
        <f t="shared" si="1"/>
        <v>54000</v>
      </c>
    </row>
    <row r="17" spans="1:7" x14ac:dyDescent="0.2">
      <c r="A17" s="13" t="s">
        <v>22</v>
      </c>
      <c r="B17" s="14"/>
      <c r="C17" s="14"/>
      <c r="D17" s="15">
        <v>1911806</v>
      </c>
      <c r="E17" s="16">
        <v>0.8</v>
      </c>
      <c r="F17" s="17">
        <f t="shared" si="0"/>
        <v>1500000</v>
      </c>
      <c r="G17" s="17">
        <f t="shared" si="1"/>
        <v>63000</v>
      </c>
    </row>
    <row r="18" spans="1:7" ht="13.5" thickBot="1" x14ac:dyDescent="0.25">
      <c r="A18" s="18" t="s">
        <v>23</v>
      </c>
      <c r="B18" s="19"/>
      <c r="C18" s="19"/>
      <c r="D18" s="20">
        <v>1032608</v>
      </c>
      <c r="E18" s="21">
        <v>0.8</v>
      </c>
      <c r="F18" s="22">
        <f>ROUND(D18*E18/100000,0)*100000</f>
        <v>800000</v>
      </c>
      <c r="G18" s="22">
        <f>ROUND((F18/24)/1000,0)*1000</f>
        <v>33000</v>
      </c>
    </row>
    <row r="19" spans="1:7" x14ac:dyDescent="0.2">
      <c r="B19" s="23"/>
      <c r="C19" s="23"/>
      <c r="D19" s="24"/>
      <c r="E19" s="25"/>
      <c r="F19" s="24"/>
      <c r="G19" s="24"/>
    </row>
    <row r="20" spans="1:7" x14ac:dyDescent="0.2">
      <c r="A20" s="26" t="s">
        <v>24</v>
      </c>
    </row>
    <row r="22" spans="1:7" ht="13.5" thickBot="1" x14ac:dyDescent="0.25">
      <c r="A22" s="1" t="s">
        <v>25</v>
      </c>
    </row>
    <row r="23" spans="1:7" ht="13.5" thickBot="1" x14ac:dyDescent="0.25">
      <c r="A23" s="27">
        <v>2011</v>
      </c>
      <c r="B23" s="28">
        <v>566700</v>
      </c>
      <c r="C23" s="29"/>
    </row>
    <row r="24" spans="1:7" ht="13.5" thickBot="1" x14ac:dyDescent="0.25"/>
    <row r="25" spans="1:7" ht="26.25" thickBot="1" x14ac:dyDescent="0.25">
      <c r="A25" s="30" t="s">
        <v>26</v>
      </c>
      <c r="B25" s="31" t="s">
        <v>27</v>
      </c>
      <c r="C25" s="31" t="s">
        <v>28</v>
      </c>
      <c r="D25" s="32" t="s">
        <v>9</v>
      </c>
    </row>
    <row r="26" spans="1:7" x14ac:dyDescent="0.2">
      <c r="A26" s="33" t="s">
        <v>29</v>
      </c>
      <c r="B26" s="34">
        <v>2326000</v>
      </c>
      <c r="C26" s="35">
        <v>1</v>
      </c>
      <c r="D26" s="17">
        <f>ROUND(B26*C26/1000,0)*1000</f>
        <v>2326000</v>
      </c>
      <c r="E26" s="1" t="s">
        <v>30</v>
      </c>
    </row>
    <row r="27" spans="1:7" x14ac:dyDescent="0.2">
      <c r="A27" s="33" t="s">
        <v>31</v>
      </c>
      <c r="B27" s="34">
        <v>800000</v>
      </c>
      <c r="C27" s="35">
        <v>1</v>
      </c>
      <c r="D27" s="36">
        <f t="shared" ref="D27:D39" si="2">ROUND(B27*C27/1000,0)*1000</f>
        <v>800000</v>
      </c>
    </row>
    <row r="28" spans="1:7" x14ac:dyDescent="0.2">
      <c r="A28" s="13" t="s">
        <v>32</v>
      </c>
      <c r="B28" s="15">
        <v>180000</v>
      </c>
      <c r="C28" s="16">
        <v>1</v>
      </c>
      <c r="D28" s="36">
        <f t="shared" si="2"/>
        <v>180000</v>
      </c>
    </row>
    <row r="29" spans="1:7" x14ac:dyDescent="0.2">
      <c r="A29" s="13" t="s">
        <v>33</v>
      </c>
      <c r="B29" s="15">
        <f>4027000*0.75</f>
        <v>3020250</v>
      </c>
      <c r="C29" s="16">
        <v>0.6</v>
      </c>
      <c r="D29" s="36">
        <f t="shared" si="2"/>
        <v>1812000</v>
      </c>
      <c r="E29" s="1" t="s">
        <v>34</v>
      </c>
    </row>
    <row r="30" spans="1:7" x14ac:dyDescent="0.2">
      <c r="A30" s="13" t="s">
        <v>35</v>
      </c>
      <c r="B30" s="15">
        <v>4412250</v>
      </c>
      <c r="C30" s="16">
        <v>1</v>
      </c>
      <c r="D30" s="36">
        <f t="shared" si="2"/>
        <v>4412000</v>
      </c>
      <c r="E30" s="1" t="s">
        <v>36</v>
      </c>
    </row>
    <row r="31" spans="1:7" x14ac:dyDescent="0.2">
      <c r="A31" s="13" t="s">
        <v>37</v>
      </c>
      <c r="B31" s="15">
        <v>120000</v>
      </c>
      <c r="C31" s="16">
        <v>1</v>
      </c>
      <c r="D31" s="36">
        <f t="shared" si="2"/>
        <v>120000</v>
      </c>
    </row>
    <row r="32" spans="1:7" x14ac:dyDescent="0.2">
      <c r="A32" s="13" t="s">
        <v>38</v>
      </c>
      <c r="B32" s="15">
        <v>100000</v>
      </c>
      <c r="C32" s="16">
        <v>1</v>
      </c>
      <c r="D32" s="36">
        <f t="shared" si="2"/>
        <v>100000</v>
      </c>
      <c r="F32" s="24"/>
    </row>
    <row r="33" spans="1:4" x14ac:dyDescent="0.2">
      <c r="A33" s="13" t="s">
        <v>39</v>
      </c>
      <c r="B33" s="15">
        <v>90000</v>
      </c>
      <c r="C33" s="16">
        <v>1</v>
      </c>
      <c r="D33" s="36">
        <f>ROUND(B33*C33/1000,0)*1000</f>
        <v>90000</v>
      </c>
    </row>
    <row r="34" spans="1:4" x14ac:dyDescent="0.2">
      <c r="A34" s="13" t="s">
        <v>40</v>
      </c>
      <c r="B34" s="15">
        <v>120000</v>
      </c>
      <c r="C34" s="16">
        <v>1</v>
      </c>
      <c r="D34" s="36">
        <f t="shared" si="2"/>
        <v>120000</v>
      </c>
    </row>
    <row r="35" spans="1:4" x14ac:dyDescent="0.2">
      <c r="A35" s="13" t="s">
        <v>41</v>
      </c>
      <c r="B35" s="15">
        <v>80000</v>
      </c>
      <c r="C35" s="16">
        <v>1</v>
      </c>
      <c r="D35" s="36">
        <f t="shared" si="2"/>
        <v>80000</v>
      </c>
    </row>
    <row r="36" spans="1:4" x14ac:dyDescent="0.2">
      <c r="A36" s="13" t="s">
        <v>49</v>
      </c>
      <c r="B36" s="15">
        <v>100000</v>
      </c>
      <c r="C36" s="16">
        <v>1</v>
      </c>
      <c r="D36" s="36">
        <f t="shared" si="2"/>
        <v>100000</v>
      </c>
    </row>
    <row r="37" spans="1:4" x14ac:dyDescent="0.2">
      <c r="A37" s="13" t="s">
        <v>42</v>
      </c>
      <c r="B37" s="15">
        <v>150000</v>
      </c>
      <c r="C37" s="16">
        <v>1</v>
      </c>
      <c r="D37" s="36">
        <f t="shared" si="2"/>
        <v>150000</v>
      </c>
    </row>
    <row r="38" spans="1:4" x14ac:dyDescent="0.2">
      <c r="A38" s="13" t="s">
        <v>43</v>
      </c>
      <c r="B38" s="15">
        <v>120000</v>
      </c>
      <c r="C38" s="16">
        <v>1</v>
      </c>
      <c r="D38" s="36">
        <f t="shared" si="2"/>
        <v>120000</v>
      </c>
    </row>
    <row r="39" spans="1:4" ht="13.5" thickBot="1" x14ac:dyDescent="0.25">
      <c r="A39" s="18" t="s">
        <v>44</v>
      </c>
      <c r="B39" s="20">
        <v>5000</v>
      </c>
      <c r="C39" s="21">
        <v>1</v>
      </c>
      <c r="D39" s="22">
        <f t="shared" si="2"/>
        <v>5000</v>
      </c>
    </row>
    <row r="41" spans="1:4" x14ac:dyDescent="0.2">
      <c r="A41" s="26" t="s">
        <v>45</v>
      </c>
    </row>
  </sheetData>
  <mergeCells count="4">
    <mergeCell ref="A1:G1"/>
    <mergeCell ref="A2:G2"/>
    <mergeCell ref="A3:G3"/>
    <mergeCell ref="A4:G4"/>
  </mergeCells>
  <printOptions horizontalCentered="1"/>
  <pageMargins left="0.75" right="0.75" top="1" bottom="1" header="0" footer="0"/>
  <pageSetup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PROFESIONALES</vt:lpstr>
      <vt:lpstr>Productos</vt:lpstr>
      <vt:lpstr>APUS</vt:lpstr>
      <vt:lpstr>CRONOGRAMA</vt:lpstr>
      <vt:lpstr>F.P</vt:lpstr>
      <vt:lpstr>HONORARIOS</vt:lpstr>
      <vt:lpstr>APUS!Área_de_impresión</vt:lpstr>
      <vt:lpstr>CRONOGRAMA!Área_de_impresión</vt:lpstr>
      <vt:lpstr>Productos!Área_de_impresión</vt:lpstr>
      <vt:lpstr>PROFESIONALES!Área_de_impresión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</dc:creator>
  <cp:lastModifiedBy>PACO</cp:lastModifiedBy>
  <cp:lastPrinted>2025-08-22T13:57:59Z</cp:lastPrinted>
  <dcterms:created xsi:type="dcterms:W3CDTF">2012-02-15T21:31:21Z</dcterms:created>
  <dcterms:modified xsi:type="dcterms:W3CDTF">2025-10-16T21:48:32Z</dcterms:modified>
</cp:coreProperties>
</file>