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0730" windowHeight="11160"/>
  </bookViews>
  <sheets>
    <sheet name="HABILITANTES" sheetId="1" r:id="rId1"/>
    <sheet name="HV" sheetId="2" r:id="rId2"/>
    <sheet name="EXP ADICIONAL" sheetId="5" r:id="rId3"/>
    <sheet name="PUNTUABLES" sheetId="3" r:id="rId4"/>
    <sheet name="Evaluación Económica" sheetId="4" r:id="rId5"/>
  </sheets>
  <externalReferences>
    <externalReference r:id="rId6"/>
  </externalReferences>
  <definedNames>
    <definedName name="_xlnm._FilterDatabase" localSheetId="4" hidden="1">'Evaluación Económica'!$B$3:$M$14</definedName>
    <definedName name="_xlnm._FilterDatabase" localSheetId="3" hidden="1">PUNTUABLES!$B$1:$T$8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6" i="1" l="1"/>
  <c r="X37" i="2"/>
  <c r="V37" i="2"/>
  <c r="P19" i="1" l="1"/>
  <c r="P6" i="1"/>
  <c r="E5" i="4"/>
  <c r="E16" i="4" s="1"/>
  <c r="K14" i="3"/>
  <c r="K7" i="3"/>
  <c r="K9" i="3"/>
  <c r="K2" i="3"/>
  <c r="AD4" i="2"/>
  <c r="AD15" i="2"/>
  <c r="AD20" i="2"/>
  <c r="AD26" i="2"/>
  <c r="AD42" i="2"/>
  <c r="AD37" i="2"/>
  <c r="Y4" i="5"/>
  <c r="Y10" i="5"/>
  <c r="T10" i="5"/>
  <c r="R10" i="5"/>
  <c r="P10" i="5"/>
  <c r="T4" i="5"/>
  <c r="R4" i="5"/>
  <c r="P4" i="5"/>
  <c r="N4" i="5"/>
  <c r="L4" i="5"/>
  <c r="T42" i="2"/>
  <c r="R42" i="2"/>
  <c r="N10" i="5"/>
  <c r="P14" i="1"/>
  <c r="T37" i="2"/>
  <c r="R37" i="2"/>
  <c r="X31" i="2"/>
  <c r="V31" i="2"/>
  <c r="T31" i="2"/>
  <c r="R31" i="2"/>
  <c r="P31" i="2"/>
  <c r="N31" i="2"/>
  <c r="X26" i="2"/>
  <c r="V26" i="2"/>
  <c r="T26" i="2"/>
  <c r="R26" i="2"/>
  <c r="P26" i="2"/>
  <c r="N26" i="2"/>
  <c r="X20" i="2"/>
  <c r="V20" i="2"/>
  <c r="T20" i="2"/>
  <c r="R20" i="2"/>
  <c r="P20" i="2"/>
  <c r="N20" i="2"/>
  <c r="X15" i="2"/>
  <c r="V15" i="2"/>
  <c r="T15" i="2"/>
  <c r="R15" i="2"/>
  <c r="P15" i="2"/>
  <c r="N15" i="2"/>
  <c r="X9" i="2"/>
  <c r="V9" i="2"/>
  <c r="T9" i="2"/>
  <c r="R9" i="2"/>
  <c r="G4" i="4" l="1"/>
  <c r="F5" i="4"/>
  <c r="G5" i="4" s="1"/>
  <c r="D9" i="3"/>
  <c r="B9" i="3"/>
  <c r="L9" i="3"/>
  <c r="P9" i="3" s="1"/>
  <c r="L2" i="3"/>
  <c r="P2" i="3" s="1"/>
  <c r="B8" i="5"/>
  <c r="L10" i="5"/>
  <c r="J10" i="5"/>
  <c r="H10" i="5"/>
  <c r="W11" i="5" s="1"/>
  <c r="Y11" i="5" s="1"/>
  <c r="J4" i="5"/>
  <c r="H4" i="5"/>
  <c r="B2" i="5"/>
  <c r="D2" i="3"/>
  <c r="B2" i="3"/>
  <c r="M12" i="4"/>
  <c r="L12" i="4"/>
  <c r="J12" i="4"/>
  <c r="F12" i="4"/>
  <c r="C12" i="4"/>
  <c r="M11" i="4"/>
  <c r="L11" i="4"/>
  <c r="J11" i="4"/>
  <c r="F11" i="4"/>
  <c r="C11" i="4"/>
  <c r="M10" i="4"/>
  <c r="L10" i="4"/>
  <c r="J10" i="4"/>
  <c r="F10" i="4"/>
  <c r="C10" i="4"/>
  <c r="M9" i="4"/>
  <c r="L9" i="4"/>
  <c r="J9" i="4"/>
  <c r="F9" i="4"/>
  <c r="C9" i="4"/>
  <c r="M8" i="4"/>
  <c r="L8" i="4"/>
  <c r="J8" i="4"/>
  <c r="F8" i="4"/>
  <c r="C8" i="4"/>
  <c r="M7" i="4"/>
  <c r="L7" i="4"/>
  <c r="J7" i="4"/>
  <c r="F7" i="4"/>
  <c r="C7" i="4"/>
  <c r="M6" i="4"/>
  <c r="L6" i="4"/>
  <c r="J6" i="4"/>
  <c r="F6" i="4"/>
  <c r="C6" i="4"/>
  <c r="M5" i="4"/>
  <c r="L5" i="4"/>
  <c r="M4" i="4"/>
  <c r="L4" i="4"/>
  <c r="X11" i="5" l="1"/>
  <c r="F8" i="5" s="1"/>
  <c r="W5" i="5"/>
  <c r="X5" i="5" s="1"/>
  <c r="L19" i="1"/>
  <c r="L14" i="1"/>
  <c r="L9" i="1"/>
  <c r="L4" i="1"/>
  <c r="P21" i="1"/>
  <c r="P11" i="1"/>
  <c r="P9" i="1"/>
  <c r="P4" i="1"/>
  <c r="B24" i="2"/>
  <c r="P42" i="2"/>
  <c r="N42" i="2"/>
  <c r="AB43" i="2" s="1"/>
  <c r="AA40" i="2" s="1"/>
  <c r="L42" i="2"/>
  <c r="P37" i="2"/>
  <c r="N37" i="2"/>
  <c r="L37" i="2"/>
  <c r="AD31" i="2"/>
  <c r="L31" i="2"/>
  <c r="AB32" i="2" s="1"/>
  <c r="AA29" i="2" s="1"/>
  <c r="L26" i="2"/>
  <c r="AB27" i="2" s="1"/>
  <c r="L20" i="2"/>
  <c r="L15" i="2"/>
  <c r="B2" i="2"/>
  <c r="P4" i="2"/>
  <c r="N4" i="2"/>
  <c r="L4" i="2"/>
  <c r="AD9" i="2"/>
  <c r="P9" i="2"/>
  <c r="N9" i="2"/>
  <c r="L9" i="2"/>
  <c r="AB38" i="2" l="1"/>
  <c r="G9" i="3"/>
  <c r="AA35" i="2"/>
  <c r="Y5" i="5"/>
  <c r="AB16" i="2"/>
  <c r="AB21" i="2"/>
  <c r="AC32" i="2"/>
  <c r="N16" i="1" s="1"/>
  <c r="AC38" i="2"/>
  <c r="AB10" i="2"/>
  <c r="AA7" i="2" s="1"/>
  <c r="O6" i="1" s="1"/>
  <c r="AB5" i="2"/>
  <c r="AD43" i="2"/>
  <c r="AC16" i="2" l="1"/>
  <c r="N9" i="1" s="1"/>
  <c r="AA13" i="2"/>
  <c r="AD21" i="2"/>
  <c r="AA18" i="2"/>
  <c r="O11" i="1" s="1"/>
  <c r="AA2" i="2"/>
  <c r="O4" i="1" s="1"/>
  <c r="AC10" i="2"/>
  <c r="N6" i="1" s="1"/>
  <c r="AD10" i="2"/>
  <c r="AA24" i="2"/>
  <c r="O14" i="1" s="1"/>
  <c r="F2" i="5"/>
  <c r="G2" i="3"/>
  <c r="AC43" i="2"/>
  <c r="N21" i="1" s="1"/>
  <c r="O9" i="1"/>
  <c r="O21" i="1"/>
  <c r="AD32" i="2"/>
  <c r="AC27" i="2"/>
  <c r="N14" i="1" s="1"/>
  <c r="AC21" i="2"/>
  <c r="N11" i="1" s="1"/>
  <c r="AD38" i="2"/>
  <c r="O16" i="1"/>
  <c r="AD27" i="2"/>
  <c r="AD16" i="2"/>
  <c r="N19" i="1"/>
  <c r="AC5" i="2"/>
  <c r="N4" i="1" s="1"/>
  <c r="AD5" i="2"/>
  <c r="O19" i="1" l="1"/>
  <c r="I14" i="1"/>
  <c r="I4" i="1"/>
</calcChain>
</file>

<file path=xl/comments1.xml><?xml version="1.0" encoding="utf-8"?>
<comments xmlns="http://schemas.openxmlformats.org/spreadsheetml/2006/main">
  <authors>
    <author>Luis Eduardo Bernal Romero</author>
  </authors>
  <commentList>
    <comment ref="C1" authorId="0">
      <text>
        <r>
          <rPr>
            <b/>
            <sz val="9"/>
            <color indexed="81"/>
            <rFont val="Tahoma"/>
            <family val="2"/>
          </rPr>
          <t>Luis Eduardo Bernal Romero:</t>
        </r>
        <r>
          <rPr>
            <sz val="9"/>
            <color indexed="81"/>
            <rFont val="Tahoma"/>
            <family val="2"/>
          </rPr>
          <t xml:space="preserve">
Se debe requerir a los que no ucmplen</t>
        </r>
      </text>
    </comment>
  </commentList>
</comments>
</file>

<file path=xl/comments2.xml><?xml version="1.0" encoding="utf-8"?>
<comments xmlns="http://schemas.openxmlformats.org/spreadsheetml/2006/main">
  <authors>
    <author>Luis Eduardo Bernal Romero</author>
  </authors>
  <commentList>
    <comment ref="C1" authorId="0">
      <text>
        <r>
          <rPr>
            <b/>
            <sz val="9"/>
            <color indexed="81"/>
            <rFont val="Tahoma"/>
            <family val="2"/>
          </rPr>
          <t>Luis Eduardo Bernal Romero:</t>
        </r>
        <r>
          <rPr>
            <sz val="9"/>
            <color indexed="81"/>
            <rFont val="Tahoma"/>
            <family val="2"/>
          </rPr>
          <t xml:space="preserve">
Se debe requerir a los que no ucmplen</t>
        </r>
      </text>
    </comment>
  </commentList>
</comments>
</file>

<file path=xl/comments3.xml><?xml version="1.0" encoding="utf-8"?>
<comments xmlns="http://schemas.openxmlformats.org/spreadsheetml/2006/main">
  <authors>
    <author>Luis Eduardo Bernal Romero</author>
  </authors>
  <commentList>
    <comment ref="D1" authorId="0">
      <text>
        <r>
          <rPr>
            <b/>
            <sz val="9"/>
            <color indexed="81"/>
            <rFont val="Tahoma"/>
            <family val="2"/>
          </rPr>
          <t>Luis Eduardo Bernal Romero:</t>
        </r>
        <r>
          <rPr>
            <sz val="9"/>
            <color indexed="81"/>
            <rFont val="Tahoma"/>
            <family val="2"/>
          </rPr>
          <t xml:space="preserve">
Se evaluan los habilitados</t>
        </r>
      </text>
    </comment>
    <comment ref="O1" authorId="0">
      <text>
        <r>
          <rPr>
            <b/>
            <sz val="9"/>
            <color indexed="81"/>
            <rFont val="Tahoma"/>
            <family val="2"/>
          </rPr>
          <t>Luis Eduardo Bernal Romero:</t>
        </r>
        <r>
          <rPr>
            <sz val="9"/>
            <color indexed="81"/>
            <rFont val="Tahoma"/>
            <family val="2"/>
          </rPr>
          <t xml:space="preserve">
Diligenciar conforme a las reglas del pliego</t>
        </r>
      </text>
    </comment>
  </commentList>
</comments>
</file>

<file path=xl/sharedStrings.xml><?xml version="1.0" encoding="utf-8"?>
<sst xmlns="http://schemas.openxmlformats.org/spreadsheetml/2006/main" count="323" uniqueCount="162">
  <si>
    <t xml:space="preserve">Número </t>
  </si>
  <si>
    <t>Nombre del proponente</t>
  </si>
  <si>
    <t xml:space="preserve">HABILITANTES </t>
  </si>
  <si>
    <t>RUP - CÓDIGOS UNSPSC</t>
  </si>
  <si>
    <t xml:space="preserve">Experiencia mínima </t>
  </si>
  <si>
    <t xml:space="preserve">Personal </t>
  </si>
  <si>
    <t xml:space="preserve">Condición </t>
  </si>
  <si>
    <t>Observación</t>
  </si>
  <si>
    <t xml:space="preserve">Requerimiento </t>
  </si>
  <si>
    <t xml:space="preserve">Nombre empresa </t>
  </si>
  <si>
    <t xml:space="preserve">Número del Contrato 
</t>
  </si>
  <si>
    <t>Valor en SMMLV</t>
  </si>
  <si>
    <r>
      <t xml:space="preserve">TOTAL SMMLV
</t>
    </r>
    <r>
      <rPr>
        <b/>
        <sz val="18"/>
        <color theme="1"/>
        <rFont val="Calibri"/>
        <family val="2"/>
        <scheme val="minor"/>
      </rPr>
      <t>SMMLV</t>
    </r>
  </si>
  <si>
    <t xml:space="preserve">Observaciones </t>
  </si>
  <si>
    <t>Perfil profesional Director</t>
  </si>
  <si>
    <t>Experiencia</t>
  </si>
  <si>
    <t>OBSERVACIÓN</t>
  </si>
  <si>
    <t>CUMPLE</t>
  </si>
  <si>
    <t>80101504
80101509</t>
  </si>
  <si>
    <t>Ministerio de Educación Nacional</t>
  </si>
  <si>
    <r>
      <t xml:space="preserve">EXPERIENCIA PROFESIONAL
</t>
    </r>
    <r>
      <rPr>
        <b/>
        <sz val="11"/>
        <color rgb="FFFF0000"/>
        <rFont val="Calibri"/>
        <family val="2"/>
        <scheme val="minor"/>
      </rPr>
      <t>90 MESES</t>
    </r>
  </si>
  <si>
    <r>
      <t xml:space="preserve">EXPERIENCIA RELACIONADA 
</t>
    </r>
    <r>
      <rPr>
        <b/>
        <sz val="11"/>
        <color rgb="FFFF0000"/>
        <rFont val="Calibri"/>
        <family val="2"/>
        <scheme val="minor"/>
      </rPr>
      <t>60 MESES</t>
    </r>
  </si>
  <si>
    <t>Perfil Líder en fortalecimiento institucional</t>
  </si>
  <si>
    <r>
      <t xml:space="preserve">EXPERIENCIA PROFESIONAL
</t>
    </r>
    <r>
      <rPr>
        <b/>
        <sz val="11"/>
        <color rgb="FFFF0000"/>
        <rFont val="Calibri"/>
        <family val="2"/>
        <scheme val="minor"/>
      </rPr>
      <t>70 MESES</t>
    </r>
  </si>
  <si>
    <r>
      <t xml:space="preserve">EXPERIENCIA RELACIONADA
</t>
    </r>
    <r>
      <rPr>
        <b/>
        <sz val="11"/>
        <color rgb="FFFF0000"/>
        <rFont val="Calibri"/>
        <family val="2"/>
        <scheme val="minor"/>
      </rPr>
      <t>50 MESES</t>
    </r>
  </si>
  <si>
    <t>NO CUMPLE</t>
  </si>
  <si>
    <t>Requerimiento</t>
  </si>
  <si>
    <t>KMP CONSULTING S.A.S.</t>
  </si>
  <si>
    <t>Nº 1090-2016
RUP: 112</t>
  </si>
  <si>
    <t>ANGULO &amp; VELANDIA SAS</t>
  </si>
  <si>
    <r>
      <t xml:space="preserve">Condición 
</t>
    </r>
    <r>
      <rPr>
        <b/>
        <sz val="22"/>
        <color rgb="FFFF0000"/>
        <rFont val="Calibri"/>
        <family val="2"/>
        <scheme val="minor"/>
      </rPr>
      <t>Ppto 386,25</t>
    </r>
  </si>
  <si>
    <t>DELFIN SOTO CHAVES</t>
  </si>
  <si>
    <t>JUANITA BENAVIDES DELGADO</t>
  </si>
  <si>
    <t>Requerimiento PERFIL</t>
  </si>
  <si>
    <t xml:space="preserve">Nombre </t>
  </si>
  <si>
    <t xml:space="preserve">Formación pregrado </t>
  </si>
  <si>
    <t xml:space="preserve">Formación posgrado </t>
  </si>
  <si>
    <t xml:space="preserve">Tarjeta profesional </t>
  </si>
  <si>
    <t>Condición perfil 
CUMPLE / NO CUMPLE</t>
  </si>
  <si>
    <t>Tipo Experiencia</t>
  </si>
  <si>
    <t>Contrato 1</t>
  </si>
  <si>
    <t>Contrato 2</t>
  </si>
  <si>
    <t>Contrato 3</t>
  </si>
  <si>
    <t>Observaciones</t>
  </si>
  <si>
    <t>Habilitante</t>
  </si>
  <si>
    <t>Folio</t>
  </si>
  <si>
    <t>Dias Totales</t>
  </si>
  <si>
    <t>Meses</t>
  </si>
  <si>
    <t>Años totales (en dias)</t>
  </si>
  <si>
    <t>Experiencia Habilitante</t>
  </si>
  <si>
    <t>EXPERIENCIA PROFESIONAL
90 MESES</t>
  </si>
  <si>
    <r>
      <rPr>
        <b/>
        <sz val="11"/>
        <color theme="1"/>
        <rFont val="Calibri"/>
        <family val="2"/>
        <scheme val="minor"/>
      </rPr>
      <t xml:space="preserve">DIRECTOR DEL PROYECTO
</t>
    </r>
    <r>
      <rPr>
        <sz val="11"/>
        <color theme="1"/>
        <rFont val="Calibri"/>
        <family val="2"/>
        <scheme val="minor"/>
      </rPr>
      <t>Profesional universitario en
cualquiera de las siguientes áreas
del conocimiento de acuerdo al
SNIES:
1.-Ciencias sociales y humanas. 
2.-Ingeniería, Arquitectura, Urbanismo y afines.
3.-Ciencias de la educación.
4.-Economía, Administración, Contaduría y afines
TÍTULO DE POSTGRADO.
En modalidad Maestría o Doctorado Homologable con 36 meses de experiencia profesional relacionada adicional a la mínima solicitada en la prestación de servicios profesionales en los procedimientos propios del Sistema de Aseguramiento de la Calidad para la Educación Superior.</t>
    </r>
  </si>
  <si>
    <t>Economista 29/04/1982 - Pontificia Universidad Javeriana</t>
  </si>
  <si>
    <t>Especialista de Estadística 13/12/1993 - Universidad Nacional de Colombia</t>
  </si>
  <si>
    <t xml:space="preserve">Economista 29/09/1989 - Universidad pedagógica y Tecnologóa de Colombia
</t>
  </si>
  <si>
    <t>Magister en Ciencias Económicas 29/04/1998 -Universidad Nacional de Colombia</t>
  </si>
  <si>
    <t>Tarjeta Profesional Economista 7451 - 05/03/1986</t>
  </si>
  <si>
    <t>Matricula de Economista -12123
03/04/1991</t>
  </si>
  <si>
    <t>Experiencia Profesional
90 MESES</t>
  </si>
  <si>
    <t>Experiencia Relacionada
60 MESES</t>
  </si>
  <si>
    <t>EXPERIENCIA PROFESIONAL
70 MESES</t>
  </si>
  <si>
    <r>
      <rPr>
        <b/>
        <sz val="11"/>
        <color theme="1"/>
        <rFont val="Calibri"/>
        <family val="2"/>
        <scheme val="minor"/>
      </rPr>
      <t xml:space="preserve">EXPERIENCIA RELACIONADA 
50 MESES
</t>
    </r>
    <r>
      <rPr>
        <sz val="11"/>
        <color theme="1"/>
        <rFont val="Calibri"/>
        <family val="2"/>
        <scheme val="minor"/>
      </rPr>
      <t>Contar como mínimo con 50 meses de experiencia profesional en actividades relacionadas con la prestación de servicios profesionales en los procedimientos propios del Sistema de Aseguramiento de la Calidad para la Educación Superior. No deberán ser adicionales a la experiencia mínima profesional exigida.</t>
    </r>
  </si>
  <si>
    <t>Experiencia Profesional
70 MESES</t>
  </si>
  <si>
    <t>Experiencia Relacionada
50 MESES</t>
  </si>
  <si>
    <r>
      <rPr>
        <b/>
        <sz val="11"/>
        <color theme="1"/>
        <rFont val="Calibri"/>
        <family val="2"/>
        <scheme val="minor"/>
      </rPr>
      <t xml:space="preserve">EXPERIENCIA RELACIONADA 
60 MESES
</t>
    </r>
    <r>
      <rPr>
        <sz val="11"/>
        <color theme="1"/>
        <rFont val="Calibri"/>
        <family val="2"/>
        <scheme val="minor"/>
      </rPr>
      <t>Haber ejercido mínimo por 60 meses como Gerente, Director o Coordinador de proyectos en actividades relacionadas en la prestación de servicios de consultoría y/o asesoría en los procedimientos propios del Sistema de Aseguramiento de la Calidad para la Educación Superior. 
Estos no deberán ser adicionales a la experiencia mínima profesional exigida.</t>
    </r>
  </si>
  <si>
    <t>CORPORACION LABOR Y FUTURO - Director de Consultorias</t>
  </si>
  <si>
    <t>FULECOL - Director de interventorìa</t>
  </si>
  <si>
    <t>UNIVERSIDAD DE CIENCIAS APLICADAS Y AMBIENTALES U.D.C.A. - Direccion del
Departamento de Planeación.</t>
  </si>
  <si>
    <t>29 al 32</t>
  </si>
  <si>
    <t>Cumple con el perfil y la experiencia profesional de 90 meses requerida en el literal a) "RELACIÓN DE EQUIPO HUMANO MÍNIMO HABILITANTE (CUMPLE / NO CUMPLE)", del pliego de condiciones.</t>
  </si>
  <si>
    <t>Cumple con el perfil y la experiencia profesional de 70 meses requeridaen el literal a) "RELACIÓN DE EQUIPO HUMANO MÍNIMO HABILITANTE (CUMPLE / NO CUMPLE)", del pliego de condiciones.</t>
  </si>
  <si>
    <t>Cumple con el perfil y la experiencia relacionada de 50 meses requerida en el literal a) "RELACIÓN DE EQUIPO HUMANO MÍNIMO HABILITANTE (CUMPLE / NO CUMPLE)", del pliego de condiciones.</t>
  </si>
  <si>
    <t>Condición experiencia
CUMPLE / NO CUMPLE</t>
  </si>
  <si>
    <t>HABILITADO</t>
  </si>
  <si>
    <t>Criterio de Calidad</t>
  </si>
  <si>
    <t xml:space="preserve">Puntaje </t>
  </si>
  <si>
    <t>TOTAL PUNTOS ASPECTOS DE CALIDAD</t>
  </si>
  <si>
    <t xml:space="preserve">Apoyo a la industria nacional 
Puntaje </t>
  </si>
  <si>
    <t>Valor Propuesta económica con IVA</t>
  </si>
  <si>
    <t>Puntuación TOTAL</t>
  </si>
  <si>
    <t>APORTA</t>
  </si>
  <si>
    <t>Valor techo 2020</t>
  </si>
  <si>
    <t>Valor antes de IVA</t>
  </si>
  <si>
    <t>Valor propuesta económica sin IVA</t>
  </si>
  <si>
    <t xml:space="preserve">PUNTAJE </t>
  </si>
  <si>
    <t>Orden Propuesta económica</t>
  </si>
  <si>
    <t>Valor propuesta económica</t>
  </si>
  <si>
    <t>Habilitado / NO habilitado 
TÉCNICO</t>
  </si>
  <si>
    <t>Habilitado / NO habilitado 
JURÍDICO</t>
  </si>
  <si>
    <t>Habilitado / NO habilitado 
FINANCIERO</t>
  </si>
  <si>
    <t xml:space="preserve">PROPONENTE </t>
  </si>
  <si>
    <t>EXPERIENCIA ADICIONAL ESPECIFICA DEL EQUIPO DE
TRABAJO (35 puntos):</t>
  </si>
  <si>
    <t>Experiencia específica adicional, contratos que el objeto o descripción o alcance o actividades principales sea la prestación de servicios, relacionados con actividades propias del Sistema de Aseguramiento de la Calidad para la Educación Superior, que se numeran a continuación:
1. El registro calificado.
2. Mecanismo de autorregulación y autoevaluación.
3. La acreditación de calidad institucional y de programas académicos.
4. La planeación institucional de IES.
5. Seguimiento y evaluación de procesos a través de esquemas de monitoreo o tableros de control.
6. Actividades consistentes en la recopilación, análisis de información, desarrollo de insumos o propuesta para la expedición de regulaciones o reglamentos administrativos, tales como decretos, resoluciones, acuerdos y demás actos administrativos de carácter general y abstracto, es decir, que no tienen un destinatario determinado y aunque pueden en ocasiones crear situaciones particulares, su alcance es indeterminado entendiendo esto como la característica de generalidad y abstracción sobre los sujetos.
Cada contrato presentado deberá cumplir con al menos una de estas actividades y no podrán ser los mismos con los que el proponente aporto para acreditar su experiencia mínima habilitante.</t>
  </si>
  <si>
    <t>Director de proyecto o el Líder fortalecimiento institucional</t>
  </si>
  <si>
    <t>Líder fortalecimiento institucional</t>
  </si>
  <si>
    <t>13 al 17</t>
  </si>
  <si>
    <t>18 al 21</t>
  </si>
  <si>
    <t>KMP CONSULTING
SAS - Consultor externo
de Aseguramiento
de Calidad para la
Educación
Superior</t>
  </si>
  <si>
    <t>Experiencia adicional</t>
  </si>
  <si>
    <t>MESES ADICIONALES</t>
  </si>
  <si>
    <t>12 meses</t>
  </si>
  <si>
    <t>12 meses 1 día hasta 24 meses</t>
  </si>
  <si>
    <t xml:space="preserve">24 meses 1 día hasta 36 meses </t>
  </si>
  <si>
    <t>36 meses un día en adelante</t>
  </si>
  <si>
    <t>X</t>
  </si>
  <si>
    <t xml:space="preserve"> HERRAMIENTA INFORMÁTICA (15 PUNTOS):</t>
  </si>
  <si>
    <t>FORMATO 9 “COMPROMISO DE HERRAMIENTA INFORMATICA"</t>
  </si>
  <si>
    <t>MESES ADICIONALES ACREDITADOS
(Director de proyecto o el Líder fortalecimiento institucional)</t>
  </si>
  <si>
    <r>
      <t xml:space="preserve">Oferta económica </t>
    </r>
    <r>
      <rPr>
        <b/>
        <sz val="14"/>
        <color rgb="FFFF0000"/>
        <rFont val="Calibri"/>
        <family val="2"/>
        <scheme val="minor"/>
      </rPr>
      <t xml:space="preserve">PAGINA 47 DEL PLIEGO </t>
    </r>
    <r>
      <rPr>
        <b/>
        <sz val="14"/>
        <color theme="1"/>
        <rFont val="Calibri"/>
        <family val="2"/>
        <scheme val="minor"/>
      </rPr>
      <t>(TMR</t>
    </r>
    <r>
      <rPr>
        <b/>
        <sz val="14"/>
        <color rgb="FFFF0000"/>
        <rFont val="Calibri"/>
        <family val="2"/>
        <scheme val="minor"/>
      </rPr>
      <t xml:space="preserve"> XXXXXX  DE 22/10/2020)</t>
    </r>
  </si>
  <si>
    <t>Universidad
Autónoma
de Occidente</t>
  </si>
  <si>
    <t>JUR-2017-
802</t>
  </si>
  <si>
    <t>Universidad
Católica de
Manizales</t>
  </si>
  <si>
    <t>Contrato
40 - 2017</t>
  </si>
  <si>
    <t>Universidad
Santo Tomas</t>
  </si>
  <si>
    <t>246 de
2017</t>
  </si>
  <si>
    <t>Universidad
del Norte</t>
  </si>
  <si>
    <t>P0119783</t>
  </si>
  <si>
    <t>El objeto se encuentra relacionado con las actividades descritas en el pliego (4)</t>
  </si>
  <si>
    <t>El objeto se encuentra relacionado con las actividades descritas en el pliego (2-3)</t>
  </si>
  <si>
    <t>El objeto se encuentra relacionado con las actividades descritas en el pliego (5)</t>
  </si>
  <si>
    <t>Arquitecto- Universidad de los Andes-20/06/1990</t>
  </si>
  <si>
    <t>Cotrato 4</t>
  </si>
  <si>
    <t>Contrato 5</t>
  </si>
  <si>
    <t>Contrato 6</t>
  </si>
  <si>
    <t>Contrato 7</t>
  </si>
  <si>
    <t>Matrícula Profesional
 25700-37628
22/11/1990</t>
  </si>
  <si>
    <t xml:space="preserve"> Carolina Marcela Salazar Ceballos</t>
  </si>
  <si>
    <t>N/A</t>
  </si>
  <si>
    <t>TP. 05228151059 ANT -21/02/2008</t>
  </si>
  <si>
    <t>Sergio Arboleda</t>
  </si>
  <si>
    <t>Univesidad Santo tomás</t>
  </si>
  <si>
    <t>Universidad Santo Tomás</t>
  </si>
  <si>
    <t>Universidad de los Andes- Analísta</t>
  </si>
  <si>
    <t>Claudia Lucía Velandia Gómez</t>
  </si>
  <si>
    <t>Ministerio de Educación- contrato 889 de 2014 Nacional- Contratista</t>
  </si>
  <si>
    <t>4 al 9</t>
  </si>
  <si>
    <t>Ingeniera insudtrial - Universidad de Antioquia-10/12/2007</t>
  </si>
  <si>
    <t>x</t>
  </si>
  <si>
    <t>ÁNGULO &amp; VELANDIA SAS</t>
  </si>
  <si>
    <t>La certificación aportada no permite ver si el objeto y las actividades están relacionados con actividades propias del Sistema de Aseguramiento de la Calidad
para la Educación Superior, como lo expresa el pliego de condiciones en le literal a. EXPERIENCIA MÍNIMA DEL PROPONENTE: 3.2.1 PROPONENTE SINGULAR PERSONA NATURAL O JURÍDICA. (58,7)</t>
  </si>
  <si>
    <r>
      <rPr>
        <b/>
        <sz val="11"/>
        <color theme="1"/>
        <rFont val="Calibri"/>
        <family val="2"/>
        <scheme val="minor"/>
      </rPr>
      <t xml:space="preserve">LÍDER EN FORTALECIMIENTO INSTITUCIONAL
</t>
    </r>
    <r>
      <rPr>
        <sz val="11"/>
        <color theme="1"/>
        <rFont val="Calibri"/>
        <family val="2"/>
        <scheme val="minor"/>
      </rPr>
      <t>Profesional universitario en
cualquiera de las siguientes áreas
del conocimiento de acuerdo al
SNIES:
1.-Ciencias sociales y humanas. 
2.-Ingeniería, Arquitectura, Urbanismo y afines.
3.-Ciencias de la educación.
4.-Economía, Administración, Contaduría y afines.</t>
    </r>
  </si>
  <si>
    <t>Universidad de los Andes- gerente de campus</t>
  </si>
  <si>
    <t>Universidad de los Andes- Directora de Planeación y evaluación</t>
  </si>
  <si>
    <t>Universidad de los Andes- analista de planeación</t>
  </si>
  <si>
    <t>Universidad de los Andes- arquitecta facultad de arquitectuura</t>
  </si>
  <si>
    <t>Cumple con el perfil y la experiencia relacionada de 60 meses requerida en el literal a) "RELACIÓN DE EQUIPO HUMANO MÍNIMO HABILITANTE (CUMPLE / NO CUMPLE)", del pliego de condiciones.</t>
  </si>
  <si>
    <r>
      <t xml:space="preserve">Acredite título en administración. </t>
    </r>
    <r>
      <rPr>
        <sz val="11"/>
        <color theme="1"/>
        <rFont val="Calibri"/>
        <family val="2"/>
        <scheme val="minor"/>
      </rPr>
      <t>21/03/2009</t>
    </r>
  </si>
  <si>
    <t>Ángulo &amp; Velandia</t>
  </si>
  <si>
    <t>Ángulo &amp; Velandia- Consultora educación</t>
  </si>
  <si>
    <t>Univesidad Santo Tomás-Consultoria</t>
  </si>
  <si>
    <t xml:space="preserve"> CINDA</t>
  </si>
  <si>
    <t>CINDA</t>
  </si>
  <si>
    <t>Cumple con el perfil y la experiencia profesional de 70 meses requerida en el literal a) "RELACIÓN DE EQUIPO HUMANO MÍNIMO HABILITANTE (CUMPLE / NO CUMPLE)", del pliego de condiciones.</t>
  </si>
  <si>
    <t>Cumple con el perfil y la experiencia profesional de 60 meses requerida en el literal a) "RELACIÓN DE EQUIPO HUMANO MÍNIMO HABILITANTE (CUMPLE / NO CUMPLE)", del pliego de condiciones.</t>
  </si>
  <si>
    <t>Tasa Representativa del Mercado (TRM) del día 22/10/2020: $ 3,784.51  Metodología para la puntuación de la Oferta económica: Medía Geométrica</t>
  </si>
  <si>
    <t>Media Geométrica</t>
  </si>
  <si>
    <t>Cumple/No Cumple</t>
  </si>
  <si>
    <t>Orden de elegibilidad evaluación</t>
  </si>
  <si>
    <t>* El formato No.8 no está firmado por los profesionales, según lo establecido en los pliegos pagina 43 y 44 "De igual manera el proponente deberá incluir la Carta De Compromiso (FORMATO No. 8) debidamente suscrita por cada profesional y el representante legal del proponente para este criterio de experiencia adicional. Se aclara que en el evento que se allegue este documento después del cierre, de acuerdo con lo señalado en el parágrafo 1 del artículo 5 de la Ley 1882 de 2018 no se tendrá en cuenta."</t>
  </si>
  <si>
    <t>Universidad de los Andes- Vicerrectora de Asuntos Administrativos y  financieros</t>
  </si>
  <si>
    <t>Universidad de los Andes- coodinador de centro de investigaciones CIFA</t>
  </si>
  <si>
    <t xml:space="preserve">
 -  RUP vigente, expedido por la respectiva Cámara  de  Comercio  dentro  de  los  treinta  (30)  días  calendario,  anteriores  al  cierre  del  proceso  de selección
 - Clasificación UNSPSC se encuentra al tercer Nivel. 
80101500</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</si>
</sst>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quot;$&quot;#,##0.0"/>
    <numFmt numFmtId="166" formatCode="&quot;$&quot;#,##0.00"/>
    <numFmt numFmtId="167" formatCode="&quot;$&quot;\ #,##0"/>
    <numFmt numFmtId="168" formatCode="&quot;$&quot;\ #,##0.00"/>
    <numFmt numFmtId="169" formatCode="_-&quot;$&quot;\ * #,##0.00_-;\-&quot;$&quot;\ * #,##0.00_-;_-&quot;$&quot;\ * &quot;-&quot;_-;_-@_-"/>
  </numFmts>
  <fonts count="35" x14ac:knownFonts="1">
    <font>
      <sz val="11"/>
      <color theme="1"/>
      <name val="Calibri"/>
      <family val="2"/>
      <scheme val="minor"/>
    </font>
    <font>
      <b/>
      <sz val="11"/>
      <color theme="1"/>
      <name val="Calibri"/>
      <family val="2"/>
      <scheme val="minor"/>
    </font>
    <font>
      <b/>
      <sz val="18"/>
      <color theme="1"/>
      <name val="Calibri"/>
      <family val="2"/>
      <scheme val="minor"/>
    </font>
    <font>
      <b/>
      <sz val="18"/>
      <color theme="0"/>
      <name val="Calibri"/>
      <family val="2"/>
      <scheme val="minor"/>
    </font>
    <font>
      <b/>
      <sz val="22"/>
      <color rgb="FFFF0000"/>
      <name val="Calibri"/>
      <family val="2"/>
      <scheme val="minor"/>
    </font>
    <font>
      <b/>
      <sz val="22"/>
      <color theme="1"/>
      <name val="Calibri"/>
      <family val="2"/>
      <scheme val="minor"/>
    </font>
    <font>
      <sz val="20"/>
      <color theme="1"/>
      <name val="Calibri"/>
      <family val="2"/>
      <scheme val="minor"/>
    </font>
    <font>
      <sz val="18"/>
      <color theme="1"/>
      <name val="Calibri"/>
      <family val="2"/>
      <scheme val="minor"/>
    </font>
    <font>
      <sz val="11"/>
      <color rgb="FF000000"/>
      <name val="Calibri"/>
      <family val="2"/>
    </font>
    <font>
      <b/>
      <sz val="20"/>
      <color theme="1"/>
      <name val="Calibri"/>
      <family val="2"/>
      <scheme val="minor"/>
    </font>
    <font>
      <b/>
      <sz val="11"/>
      <color rgb="FFFF0000"/>
      <name val="Calibri"/>
      <family val="2"/>
      <scheme val="minor"/>
    </font>
    <font>
      <sz val="11"/>
      <name val="Calibri"/>
      <family val="2"/>
      <scheme val="minor"/>
    </font>
    <font>
      <b/>
      <sz val="11"/>
      <name val="Calibri"/>
      <family val="2"/>
      <scheme val="minor"/>
    </font>
    <font>
      <sz val="11"/>
      <name val="Calibri"/>
      <family val="2"/>
    </font>
    <font>
      <sz val="11"/>
      <color theme="1"/>
      <name val="Calibri"/>
      <family val="2"/>
      <scheme val="minor"/>
    </font>
    <font>
      <b/>
      <sz val="11"/>
      <color theme="0"/>
      <name val="Calibri"/>
      <family val="2"/>
      <scheme val="minor"/>
    </font>
    <font>
      <b/>
      <sz val="14"/>
      <color theme="1"/>
      <name val="Calibri"/>
      <family val="2"/>
      <scheme val="minor"/>
    </font>
    <font>
      <sz val="15"/>
      <color theme="1"/>
      <name val="Calibri"/>
      <family val="2"/>
      <scheme val="minor"/>
    </font>
    <font>
      <b/>
      <sz val="11"/>
      <color rgb="FF000000"/>
      <name val="Calibri"/>
      <family val="2"/>
    </font>
    <font>
      <sz val="9"/>
      <name val="Calibri"/>
      <family val="2"/>
    </font>
    <font>
      <b/>
      <sz val="11"/>
      <color theme="5"/>
      <name val="Calibri"/>
      <family val="2"/>
      <scheme val="minor"/>
    </font>
    <font>
      <b/>
      <sz val="9"/>
      <color indexed="81"/>
      <name val="Tahoma"/>
      <family val="2"/>
    </font>
    <font>
      <sz val="9"/>
      <color indexed="81"/>
      <name val="Tahoma"/>
      <family val="2"/>
    </font>
    <font>
      <sz val="11"/>
      <color theme="1"/>
      <name val="Calibri"/>
      <family val="2"/>
    </font>
    <font>
      <b/>
      <sz val="14"/>
      <color rgb="FFFF0000"/>
      <name val="Calibri"/>
      <family val="2"/>
      <scheme val="minor"/>
    </font>
    <font>
      <b/>
      <sz val="24"/>
      <color theme="1"/>
      <name val="Calibri"/>
      <family val="2"/>
      <scheme val="minor"/>
    </font>
    <font>
      <sz val="14"/>
      <color theme="1"/>
      <name val="Calibri"/>
      <family val="2"/>
      <scheme val="minor"/>
    </font>
    <font>
      <sz val="22"/>
      <color theme="1"/>
      <name val="Calibri"/>
      <family val="2"/>
      <scheme val="minor"/>
    </font>
    <font>
      <b/>
      <sz val="26"/>
      <color theme="1"/>
      <name val="Calibri"/>
      <family val="2"/>
      <scheme val="minor"/>
    </font>
    <font>
      <b/>
      <sz val="9"/>
      <color theme="0"/>
      <name val="Calibri"/>
      <family val="2"/>
      <scheme val="minor"/>
    </font>
    <font>
      <b/>
      <sz val="17"/>
      <color theme="1"/>
      <name val="Calibri"/>
      <family val="2"/>
      <scheme val="minor"/>
    </font>
    <font>
      <b/>
      <sz val="18"/>
      <color rgb="FFFF0000"/>
      <name val="Calibri"/>
      <family val="2"/>
      <scheme val="minor"/>
    </font>
    <font>
      <b/>
      <sz val="15"/>
      <color theme="1"/>
      <name val="Calibri"/>
      <family val="2"/>
      <scheme val="minor"/>
    </font>
    <font>
      <sz val="9"/>
      <name val="Calibri"/>
      <family val="2"/>
      <scheme val="minor"/>
    </font>
    <font>
      <b/>
      <sz val="11"/>
      <color theme="1"/>
      <name val="Calibri"/>
      <family val="2"/>
    </font>
  </fonts>
  <fills count="27">
    <fill>
      <patternFill patternType="none"/>
    </fill>
    <fill>
      <patternFill patternType="gray125"/>
    </fill>
    <fill>
      <patternFill patternType="solid">
        <fgColor rgb="FF00B0F0"/>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rgb="FFFF0000"/>
        <bgColor indexed="64"/>
      </patternFill>
    </fill>
    <fill>
      <patternFill patternType="solid">
        <fgColor rgb="FFFF66FF"/>
        <bgColor indexed="64"/>
      </patternFill>
    </fill>
    <fill>
      <patternFill patternType="solid">
        <fgColor theme="7" tint="0.39997558519241921"/>
        <bgColor indexed="64"/>
      </patternFill>
    </fill>
    <fill>
      <patternFill patternType="solid">
        <fgColor theme="4" tint="0.79998168889431442"/>
        <bgColor indexed="64"/>
      </patternFill>
    </fill>
    <fill>
      <patternFill patternType="solid">
        <fgColor rgb="FFFFFF00"/>
        <bgColor rgb="FF000000"/>
      </patternFill>
    </fill>
    <fill>
      <patternFill patternType="solid">
        <fgColor rgb="FFDDEBF7"/>
        <bgColor rgb="FF000000"/>
      </patternFill>
    </fill>
    <fill>
      <patternFill patternType="solid">
        <fgColor theme="9" tint="0.39997558519241921"/>
        <bgColor indexed="64"/>
      </patternFill>
    </fill>
    <fill>
      <patternFill patternType="solid">
        <fgColor theme="5" tint="0.59999389629810485"/>
        <bgColor indexed="64"/>
      </patternFill>
    </fill>
    <fill>
      <patternFill patternType="solid">
        <fgColor rgb="FFFF0000"/>
        <bgColor rgb="FF000000"/>
      </patternFill>
    </fill>
    <fill>
      <patternFill patternType="solid">
        <fgColor rgb="FFFFC000"/>
        <bgColor indexed="64"/>
      </patternFill>
    </fill>
    <fill>
      <patternFill patternType="solid">
        <fgColor rgb="FF92D050"/>
        <bgColor indexed="64"/>
      </patternFill>
    </fill>
    <fill>
      <patternFill patternType="solid">
        <fgColor rgb="FF92D050"/>
        <bgColor rgb="FF000000"/>
      </patternFill>
    </fill>
    <fill>
      <patternFill patternType="solid">
        <fgColor theme="8" tint="0.39997558519241921"/>
        <bgColor indexed="64"/>
      </patternFill>
    </fill>
    <fill>
      <patternFill patternType="solid">
        <fgColor theme="4" tint="0.39997558519241921"/>
        <bgColor indexed="64"/>
      </patternFill>
    </fill>
    <fill>
      <patternFill patternType="solid">
        <fgColor rgb="FF00B050"/>
        <bgColor indexed="64"/>
      </patternFill>
    </fill>
    <fill>
      <patternFill patternType="solid">
        <fgColor theme="4" tint="-0.249977111117893"/>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s>
  <borders count="62">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auto="1"/>
      </left>
      <right/>
      <top/>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thin">
        <color auto="1"/>
      </left>
      <right/>
      <top style="thin">
        <color auto="1"/>
      </top>
      <bottom style="medium">
        <color auto="1"/>
      </bottom>
      <diagonal/>
    </border>
    <border>
      <left style="thin">
        <color auto="1"/>
      </left>
      <right style="thin">
        <color auto="1"/>
      </right>
      <top style="medium">
        <color auto="1"/>
      </top>
      <bottom/>
      <diagonal/>
    </border>
    <border>
      <left style="thin">
        <color auto="1"/>
      </left>
      <right style="thin">
        <color auto="1"/>
      </right>
      <top style="medium">
        <color auto="1"/>
      </top>
      <bottom style="thin">
        <color auto="1"/>
      </bottom>
      <diagonal/>
    </border>
    <border>
      <left/>
      <right style="thin">
        <color auto="1"/>
      </right>
      <top style="medium">
        <color auto="1"/>
      </top>
      <bottom style="thin">
        <color auto="1"/>
      </bottom>
      <diagonal/>
    </border>
    <border>
      <left style="medium">
        <color auto="1"/>
      </left>
      <right style="thin">
        <color auto="1"/>
      </right>
      <top/>
      <bottom/>
      <diagonal/>
    </border>
    <border>
      <left style="thin">
        <color auto="1"/>
      </left>
      <right style="medium">
        <color auto="1"/>
      </right>
      <top/>
      <bottom/>
      <diagonal/>
    </border>
    <border>
      <left style="thin">
        <color auto="1"/>
      </left>
      <right style="medium">
        <color indexed="64"/>
      </right>
      <top/>
      <bottom style="thin">
        <color auto="1"/>
      </bottom>
      <diagonal/>
    </border>
    <border>
      <left style="medium">
        <color auto="1"/>
      </left>
      <right style="thin">
        <color auto="1"/>
      </right>
      <top/>
      <bottom style="thin">
        <color auto="1"/>
      </bottom>
      <diagonal/>
    </border>
    <border>
      <left style="thin">
        <color auto="1"/>
      </left>
      <right style="medium">
        <color indexed="64"/>
      </right>
      <top style="thin">
        <color auto="1"/>
      </top>
      <bottom style="thin">
        <color auto="1"/>
      </bottom>
      <diagonal/>
    </border>
    <border>
      <left/>
      <right style="thin">
        <color rgb="FF000000"/>
      </right>
      <top style="thin">
        <color indexed="64"/>
      </top>
      <bottom/>
      <diagonal/>
    </border>
    <border>
      <left style="thin">
        <color rgb="FF000000"/>
      </left>
      <right/>
      <top style="thin">
        <color auto="1"/>
      </top>
      <bottom/>
      <diagonal/>
    </border>
    <border>
      <left style="medium">
        <color auto="1"/>
      </left>
      <right style="thin">
        <color auto="1"/>
      </right>
      <top style="thin">
        <color auto="1"/>
      </top>
      <bottom/>
      <diagonal/>
    </border>
    <border>
      <left style="thin">
        <color auto="1"/>
      </left>
      <right style="medium">
        <color indexed="64"/>
      </right>
      <top style="thin">
        <color auto="1"/>
      </top>
      <bottom/>
      <diagonal/>
    </border>
    <border>
      <left style="thin">
        <color auto="1"/>
      </left>
      <right style="thin">
        <color auto="1"/>
      </right>
      <top/>
      <bottom style="medium">
        <color auto="1"/>
      </bottom>
      <diagonal/>
    </border>
    <border>
      <left style="thin">
        <color auto="1"/>
      </left>
      <right/>
      <top/>
      <bottom style="medium">
        <color indexed="64"/>
      </bottom>
      <diagonal/>
    </border>
    <border>
      <left/>
      <right style="thin">
        <color rgb="FF000000"/>
      </right>
      <top/>
      <bottom style="medium">
        <color auto="1"/>
      </bottom>
      <diagonal/>
    </border>
    <border>
      <left style="thin">
        <color rgb="FF000000"/>
      </left>
      <right/>
      <top/>
      <bottom style="medium">
        <color indexed="64"/>
      </bottom>
      <diagonal/>
    </border>
    <border>
      <left style="thin">
        <color auto="1"/>
      </left>
      <right style="medium">
        <color indexed="64"/>
      </right>
      <top/>
      <bottom style="medium">
        <color indexed="64"/>
      </bottom>
      <diagonal/>
    </border>
    <border>
      <left style="medium">
        <color indexed="64"/>
      </left>
      <right style="thin">
        <color auto="1"/>
      </right>
      <top/>
      <bottom style="medium">
        <color indexed="64"/>
      </bottom>
      <diagonal/>
    </border>
    <border>
      <left/>
      <right style="thin">
        <color auto="1"/>
      </right>
      <top/>
      <bottom/>
      <diagonal/>
    </border>
    <border>
      <left style="thin">
        <color auto="1"/>
      </left>
      <right style="medium">
        <color indexed="64"/>
      </right>
      <top style="medium">
        <color indexed="64"/>
      </top>
      <bottom style="medium">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bottom style="medium">
        <color indexed="64"/>
      </bottom>
      <diagonal/>
    </border>
    <border>
      <left/>
      <right style="thin">
        <color auto="1"/>
      </right>
      <top style="medium">
        <color auto="1"/>
      </top>
      <bottom/>
      <diagonal/>
    </border>
    <border>
      <left/>
      <right/>
      <top style="medium">
        <color auto="1"/>
      </top>
      <bottom style="thin">
        <color auto="1"/>
      </bottom>
      <diagonal/>
    </border>
    <border>
      <left/>
      <right style="thin">
        <color auto="1"/>
      </right>
      <top/>
      <bottom style="medium">
        <color auto="1"/>
      </bottom>
      <diagonal/>
    </border>
    <border>
      <left style="thin">
        <color auto="1"/>
      </left>
      <right/>
      <top/>
      <bottom style="thin">
        <color auto="1"/>
      </bottom>
      <diagonal/>
    </border>
    <border>
      <left style="thin">
        <color auto="1"/>
      </left>
      <right/>
      <top style="medium">
        <color auto="1"/>
      </top>
      <bottom style="thin">
        <color auto="1"/>
      </bottom>
      <diagonal/>
    </border>
    <border>
      <left/>
      <right/>
      <top/>
      <bottom style="thin">
        <color auto="1"/>
      </bottom>
      <diagonal/>
    </border>
    <border>
      <left style="thin">
        <color auto="1"/>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diagonal/>
    </border>
    <border>
      <left/>
      <right style="medium">
        <color indexed="64"/>
      </right>
      <top/>
      <bottom style="medium">
        <color indexed="64"/>
      </bottom>
      <diagonal/>
    </border>
    <border>
      <left style="medium">
        <color indexed="64"/>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top style="medium">
        <color auto="1"/>
      </top>
      <bottom/>
      <diagonal/>
    </border>
    <border>
      <left style="medium">
        <color indexed="64"/>
      </left>
      <right/>
      <top style="thin">
        <color auto="1"/>
      </top>
      <bottom style="thin">
        <color auto="1"/>
      </bottom>
      <diagonal/>
    </border>
    <border>
      <left style="medium">
        <color indexed="64"/>
      </left>
      <right/>
      <top style="thin">
        <color auto="1"/>
      </top>
      <bottom/>
      <diagonal/>
    </border>
    <border>
      <left style="medium">
        <color indexed="64"/>
      </left>
      <right/>
      <top/>
      <bottom style="medium">
        <color indexed="64"/>
      </bottom>
      <diagonal/>
    </border>
    <border>
      <left/>
      <right style="thin">
        <color rgb="FF000000"/>
      </right>
      <top/>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s>
  <cellStyleXfs count="4">
    <xf numFmtId="0" fontId="0" fillId="0" borderId="0"/>
    <xf numFmtId="43" fontId="14" fillId="0" borderId="0" applyFont="0" applyFill="0" applyBorder="0" applyAlignment="0" applyProtection="0"/>
    <xf numFmtId="42" fontId="14" fillId="0" borderId="0" applyFont="0" applyFill="0" applyBorder="0" applyAlignment="0" applyProtection="0"/>
    <xf numFmtId="44" fontId="14" fillId="0" borderId="0" applyFont="0" applyFill="0" applyBorder="0" applyAlignment="0" applyProtection="0"/>
  </cellStyleXfs>
  <cellXfs count="359">
    <xf numFmtId="0" fontId="0" fillId="0" borderId="0" xfId="0"/>
    <xf numFmtId="0" fontId="2" fillId="0" borderId="0" xfId="0" applyFont="1" applyAlignment="1">
      <alignment horizontal="center" vertical="center" wrapText="1"/>
    </xf>
    <xf numFmtId="0" fontId="2" fillId="3" borderId="7"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0" fillId="0" borderId="0" xfId="0" applyAlignment="1">
      <alignment horizontal="center" vertical="center"/>
    </xf>
    <xf numFmtId="4" fontId="0" fillId="0" borderId="7" xfId="0" applyNumberFormat="1" applyBorder="1" applyAlignment="1">
      <alignment horizontal="center" vertical="center" wrapText="1"/>
    </xf>
    <xf numFmtId="0" fontId="0" fillId="8" borderId="7" xfId="0" applyFill="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0" fillId="0" borderId="7" xfId="0" applyBorder="1" applyAlignment="1">
      <alignment horizontal="center" vertical="center" wrapText="1"/>
    </xf>
    <xf numFmtId="0" fontId="16" fillId="0" borderId="10" xfId="0" applyFont="1" applyBorder="1" applyAlignment="1">
      <alignment horizontal="center" vertical="center" wrapText="1"/>
    </xf>
    <xf numFmtId="0" fontId="16" fillId="0" borderId="11" xfId="0" applyFont="1" applyBorder="1" applyAlignment="1">
      <alignment horizontal="center" vertical="center" wrapText="1"/>
    </xf>
    <xf numFmtId="0" fontId="16" fillId="9" borderId="1" xfId="0" applyFont="1" applyFill="1" applyBorder="1" applyAlignment="1">
      <alignment horizontal="center" vertical="center" wrapText="1"/>
    </xf>
    <xf numFmtId="0" fontId="16" fillId="10" borderId="12" xfId="0" applyFont="1" applyFill="1" applyBorder="1" applyAlignment="1">
      <alignment horizontal="center" vertical="center" wrapText="1"/>
    </xf>
    <xf numFmtId="0" fontId="16" fillId="2" borderId="12" xfId="0" applyFont="1" applyFill="1" applyBorder="1" applyAlignment="1">
      <alignment horizontal="center" vertical="center" wrapText="1"/>
    </xf>
    <xf numFmtId="0" fontId="16" fillId="6" borderId="12" xfId="0" applyFont="1" applyFill="1" applyBorder="1" applyAlignment="1">
      <alignment horizontal="center" vertical="center" wrapText="1"/>
    </xf>
    <xf numFmtId="0" fontId="16" fillId="0" borderId="12" xfId="0" applyFont="1" applyBorder="1" applyAlignment="1">
      <alignment horizontal="center" vertical="center" wrapText="1"/>
    </xf>
    <xf numFmtId="0" fontId="16" fillId="11" borderId="14" xfId="0" applyFont="1" applyFill="1" applyBorder="1" applyAlignment="1">
      <alignment horizontal="center" vertical="center" wrapText="1"/>
    </xf>
    <xf numFmtId="0" fontId="12" fillId="6" borderId="15" xfId="0" applyFont="1" applyFill="1" applyBorder="1" applyAlignment="1">
      <alignment horizontal="center" vertical="center"/>
    </xf>
    <xf numFmtId="0" fontId="16" fillId="0" borderId="1" xfId="0" applyFont="1" applyBorder="1" applyAlignment="1">
      <alignment horizontal="center" vertical="center" wrapText="1"/>
    </xf>
    <xf numFmtId="0" fontId="18" fillId="13" borderId="17" xfId="0" applyFont="1" applyFill="1" applyBorder="1" applyAlignment="1">
      <alignment horizontal="center" vertical="center"/>
    </xf>
    <xf numFmtId="0" fontId="18" fillId="0" borderId="18" xfId="0" applyFont="1" applyBorder="1" applyAlignment="1">
      <alignment horizontal="center" vertical="center"/>
    </xf>
    <xf numFmtId="0" fontId="18" fillId="13" borderId="18" xfId="0" applyFont="1" applyFill="1" applyBorder="1" applyAlignment="1">
      <alignment horizontal="center" vertical="center"/>
    </xf>
    <xf numFmtId="14" fontId="19" fillId="0" borderId="7" xfId="0" applyNumberFormat="1" applyFont="1" applyBorder="1" applyAlignment="1">
      <alignment horizontal="center" vertical="center" wrapText="1"/>
    </xf>
    <xf numFmtId="14" fontId="19" fillId="0" borderId="4" xfId="0" applyNumberFormat="1" applyFont="1" applyBorder="1" applyAlignment="1">
      <alignment horizontal="center" vertical="center" wrapText="1"/>
    </xf>
    <xf numFmtId="0" fontId="20" fillId="0" borderId="23" xfId="0" applyFont="1" applyBorder="1" applyAlignment="1">
      <alignment horizontal="center" vertical="center"/>
    </xf>
    <xf numFmtId="0" fontId="6" fillId="8" borderId="19" xfId="0" applyFont="1" applyFill="1" applyBorder="1" applyAlignment="1">
      <alignment horizontal="center" vertical="center"/>
    </xf>
    <xf numFmtId="0" fontId="17" fillId="8" borderId="5" xfId="0" applyFont="1" applyFill="1" applyBorder="1" applyAlignment="1">
      <alignment horizontal="center" vertical="center" wrapText="1"/>
    </xf>
    <xf numFmtId="0" fontId="0" fillId="8" borderId="5" xfId="0" applyFill="1" applyBorder="1" applyAlignment="1">
      <alignment horizontal="center" vertical="center" wrapText="1"/>
    </xf>
    <xf numFmtId="0" fontId="8" fillId="16" borderId="5" xfId="0" applyFont="1" applyFill="1" applyBorder="1" applyAlignment="1">
      <alignment horizontal="center" vertical="center" wrapText="1"/>
    </xf>
    <xf numFmtId="14" fontId="8" fillId="16" borderId="5" xfId="0" applyNumberFormat="1" applyFont="1" applyFill="1" applyBorder="1" applyAlignment="1">
      <alignment horizontal="center" vertical="center" wrapText="1"/>
    </xf>
    <xf numFmtId="0" fontId="1" fillId="8" borderId="6" xfId="0" applyFont="1" applyFill="1" applyBorder="1" applyAlignment="1">
      <alignment horizontal="center" vertical="center" wrapText="1"/>
    </xf>
    <xf numFmtId="0" fontId="18" fillId="8" borderId="5" xfId="0" applyFont="1" applyFill="1" applyBorder="1" applyAlignment="1">
      <alignment horizontal="center" vertical="center" wrapText="1"/>
    </xf>
    <xf numFmtId="0" fontId="8" fillId="8" borderId="9" xfId="0" applyFont="1" applyFill="1" applyBorder="1" applyAlignment="1">
      <alignment horizontal="center" vertical="center" wrapText="1"/>
    </xf>
    <xf numFmtId="0" fontId="8" fillId="8" borderId="0" xfId="0" applyFont="1" applyFill="1" applyAlignment="1">
      <alignment horizontal="center" vertical="center" wrapText="1"/>
    </xf>
    <xf numFmtId="0" fontId="8" fillId="8" borderId="34" xfId="0" applyFont="1" applyFill="1" applyBorder="1" applyAlignment="1">
      <alignment horizontal="center" vertical="center" wrapText="1"/>
    </xf>
    <xf numFmtId="0" fontId="1" fillId="8" borderId="5" xfId="0" applyFont="1" applyFill="1" applyBorder="1" applyAlignment="1">
      <alignment horizontal="center" vertical="center"/>
    </xf>
    <xf numFmtId="0" fontId="1" fillId="8" borderId="5" xfId="0" applyFont="1" applyFill="1" applyBorder="1" applyAlignment="1">
      <alignment horizontal="center" vertical="center" wrapText="1"/>
    </xf>
    <xf numFmtId="3" fontId="0" fillId="8" borderId="19" xfId="0" applyNumberFormat="1" applyFill="1" applyBorder="1" applyAlignment="1">
      <alignment horizontal="center" vertical="center"/>
    </xf>
    <xf numFmtId="4" fontId="0" fillId="8" borderId="5" xfId="0" applyNumberFormat="1" applyFill="1" applyBorder="1" applyAlignment="1">
      <alignment horizontal="center" vertical="center"/>
    </xf>
    <xf numFmtId="3" fontId="0" fillId="8" borderId="9" xfId="0" applyNumberFormat="1" applyFill="1" applyBorder="1" applyAlignment="1">
      <alignment horizontal="center" vertical="center"/>
    </xf>
    <xf numFmtId="0" fontId="0" fillId="8" borderId="0" xfId="0" applyFill="1" applyAlignment="1">
      <alignment horizontal="center" vertical="center"/>
    </xf>
    <xf numFmtId="0" fontId="0" fillId="0" borderId="0" xfId="0" applyAlignment="1">
      <alignment horizontal="center" vertical="center" wrapText="1"/>
    </xf>
    <xf numFmtId="0" fontId="0" fillId="18" borderId="5" xfId="0" applyFill="1" applyBorder="1" applyAlignment="1">
      <alignment horizontal="center" vertical="center" wrapText="1"/>
    </xf>
    <xf numFmtId="0" fontId="8" fillId="19" borderId="5" xfId="0" applyFont="1" applyFill="1" applyBorder="1" applyAlignment="1">
      <alignment horizontal="center" vertical="center" wrapText="1"/>
    </xf>
    <xf numFmtId="14" fontId="8" fillId="19" borderId="5" xfId="0" applyNumberFormat="1" applyFont="1" applyFill="1" applyBorder="1" applyAlignment="1">
      <alignment horizontal="center" vertical="center" wrapText="1"/>
    </xf>
    <xf numFmtId="0" fontId="18" fillId="18" borderId="5" xfId="0" applyFont="1" applyFill="1" applyBorder="1" applyAlignment="1">
      <alignment horizontal="center" vertical="center" wrapText="1"/>
    </xf>
    <xf numFmtId="0" fontId="8" fillId="18" borderId="9" xfId="0" applyFont="1" applyFill="1" applyBorder="1" applyAlignment="1">
      <alignment horizontal="center" vertical="center" wrapText="1"/>
    </xf>
    <xf numFmtId="0" fontId="8" fillId="18" borderId="0" xfId="0" applyFont="1" applyFill="1" applyAlignment="1">
      <alignment horizontal="center" vertical="center" wrapText="1"/>
    </xf>
    <xf numFmtId="0" fontId="8" fillId="18" borderId="34" xfId="0" applyFont="1" applyFill="1" applyBorder="1" applyAlignment="1">
      <alignment horizontal="center" vertical="center" wrapText="1"/>
    </xf>
    <xf numFmtId="0" fontId="1" fillId="18" borderId="5" xfId="0" applyFont="1" applyFill="1" applyBorder="1" applyAlignment="1">
      <alignment horizontal="center" vertical="center" wrapText="1"/>
    </xf>
    <xf numFmtId="3" fontId="0" fillId="18" borderId="19" xfId="0" applyNumberFormat="1" applyFill="1" applyBorder="1" applyAlignment="1">
      <alignment horizontal="center" vertical="center"/>
    </xf>
    <xf numFmtId="4" fontId="0" fillId="18" borderId="5" xfId="0" applyNumberFormat="1" applyFill="1" applyBorder="1" applyAlignment="1">
      <alignment horizontal="center" vertical="center"/>
    </xf>
    <xf numFmtId="3" fontId="0" fillId="18" borderId="9" xfId="0" applyNumberFormat="1" applyFill="1" applyBorder="1" applyAlignment="1">
      <alignment horizontal="center" vertical="center"/>
    </xf>
    <xf numFmtId="0" fontId="0" fillId="18" borderId="0" xfId="0" applyFill="1" applyAlignment="1">
      <alignment horizontal="center" vertical="center"/>
    </xf>
    <xf numFmtId="0" fontId="23" fillId="19" borderId="5" xfId="0" applyFont="1" applyFill="1" applyBorder="1" applyAlignment="1">
      <alignment horizontal="center" vertical="center" wrapText="1"/>
    </xf>
    <xf numFmtId="0" fontId="1" fillId="8" borderId="7" xfId="0" applyFont="1" applyFill="1" applyBorder="1" applyAlignment="1">
      <alignment horizontal="center" vertical="center"/>
    </xf>
    <xf numFmtId="0" fontId="0" fillId="8" borderId="7" xfId="0" applyFill="1" applyBorder="1" applyAlignment="1">
      <alignment horizontal="center" vertical="center"/>
    </xf>
    <xf numFmtId="0" fontId="1" fillId="8" borderId="1" xfId="0" applyFont="1" applyFill="1" applyBorder="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8" fillId="0" borderId="7" xfId="0" applyFont="1" applyBorder="1" applyAlignment="1">
      <alignment horizontal="center" vertical="center" wrapText="1"/>
    </xf>
    <xf numFmtId="4" fontId="9" fillId="0" borderId="7" xfId="0" applyNumberFormat="1" applyFont="1" applyBorder="1" applyAlignment="1">
      <alignment horizontal="center" vertical="center" wrapText="1"/>
    </xf>
    <xf numFmtId="0" fontId="8" fillId="0" borderId="6" xfId="0" applyFont="1" applyBorder="1" applyAlignment="1">
      <alignment horizontal="center" vertical="center" wrapText="1"/>
    </xf>
    <xf numFmtId="4" fontId="11" fillId="0" borderId="7" xfId="0" applyNumberFormat="1" applyFont="1" applyBorder="1" applyAlignment="1">
      <alignment horizontal="center" vertical="center" wrapText="1"/>
    </xf>
    <xf numFmtId="0" fontId="25" fillId="0" borderId="35" xfId="0" applyFont="1" applyBorder="1" applyAlignment="1">
      <alignment horizontal="center" vertical="center" wrapText="1"/>
    </xf>
    <xf numFmtId="0" fontId="26" fillId="0" borderId="0" xfId="0" applyFont="1" applyAlignment="1">
      <alignment horizontal="center" vertical="center" wrapText="1"/>
    </xf>
    <xf numFmtId="0" fontId="17" fillId="7" borderId="7" xfId="0" applyFont="1" applyFill="1" applyBorder="1" applyAlignment="1">
      <alignment horizontal="center" vertical="center" wrapText="1"/>
    </xf>
    <xf numFmtId="3" fontId="17" fillId="0" borderId="7" xfId="0" applyNumberFormat="1" applyFont="1" applyBorder="1" applyAlignment="1">
      <alignment horizontal="center" vertical="center" wrapText="1"/>
    </xf>
    <xf numFmtId="2" fontId="17" fillId="22" borderId="7" xfId="0" applyNumberFormat="1" applyFont="1" applyFill="1" applyBorder="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167" fontId="0" fillId="0" borderId="0" xfId="0" applyNumberFormat="1" applyAlignment="1">
      <alignment horizontal="center" vertical="center"/>
    </xf>
    <xf numFmtId="0" fontId="6" fillId="0" borderId="7" xfId="0" applyFont="1" applyBorder="1" applyAlignment="1">
      <alignment horizontal="center" vertical="center"/>
    </xf>
    <xf numFmtId="166" fontId="29" fillId="23" borderId="7" xfId="0" applyNumberFormat="1" applyFont="1" applyFill="1" applyBorder="1" applyAlignment="1">
      <alignment horizontal="center" vertical="center" wrapText="1"/>
    </xf>
    <xf numFmtId="0" fontId="6" fillId="0" borderId="7" xfId="0" applyFont="1" applyBorder="1" applyAlignment="1">
      <alignment horizontal="center" vertical="center" wrapText="1"/>
    </xf>
    <xf numFmtId="168" fontId="0" fillId="0" borderId="7" xfId="0" applyNumberFormat="1" applyBorder="1" applyAlignment="1">
      <alignment horizontal="center" vertical="center"/>
    </xf>
    <xf numFmtId="0" fontId="2" fillId="0" borderId="7" xfId="0" applyFont="1" applyBorder="1" applyAlignment="1">
      <alignment horizontal="center" vertical="center"/>
    </xf>
    <xf numFmtId="168" fontId="30" fillId="0" borderId="7" xfId="0" applyNumberFormat="1" applyFont="1" applyBorder="1" applyAlignment="1">
      <alignment horizontal="center" vertical="center"/>
    </xf>
    <xf numFmtId="0" fontId="0" fillId="25" borderId="7" xfId="0" applyFill="1" applyBorder="1" applyAlignment="1">
      <alignment horizontal="center" vertical="center" wrapText="1"/>
    </xf>
    <xf numFmtId="0" fontId="0" fillId="25" borderId="7" xfId="0" applyFill="1" applyBorder="1" applyAlignment="1">
      <alignment horizontal="center" vertical="center"/>
    </xf>
    <xf numFmtId="0" fontId="0" fillId="17" borderId="7" xfId="0" applyFill="1" applyBorder="1" applyAlignment="1">
      <alignment horizontal="center" vertical="center" wrapText="1"/>
    </xf>
    <xf numFmtId="0" fontId="0" fillId="0" borderId="7" xfId="0" applyBorder="1" applyAlignment="1">
      <alignment horizontal="center" vertical="center"/>
    </xf>
    <xf numFmtId="167" fontId="2" fillId="0" borderId="0" xfId="0" applyNumberFormat="1" applyFont="1" applyAlignment="1">
      <alignment horizontal="center" vertical="center"/>
    </xf>
    <xf numFmtId="4" fontId="0" fillId="0" borderId="0" xfId="0" applyNumberFormat="1" applyAlignment="1">
      <alignment horizontal="center" vertical="center"/>
    </xf>
    <xf numFmtId="0" fontId="17" fillId="0" borderId="7" xfId="0" applyFont="1" applyBorder="1" applyAlignment="1">
      <alignment horizontal="center" vertical="center" wrapText="1"/>
    </xf>
    <xf numFmtId="0" fontId="32" fillId="0" borderId="7" xfId="0" applyFont="1" applyFill="1" applyBorder="1" applyAlignment="1">
      <alignment horizontal="center" vertical="center" wrapText="1"/>
    </xf>
    <xf numFmtId="0" fontId="16" fillId="0" borderId="0" xfId="0" applyFont="1" applyAlignment="1">
      <alignment horizontal="center" vertical="center" wrapText="1"/>
    </xf>
    <xf numFmtId="165" fontId="0" fillId="8" borderId="7" xfId="1" applyNumberFormat="1" applyFont="1" applyFill="1" applyBorder="1" applyAlignment="1">
      <alignment horizontal="center" vertical="center" wrapText="1"/>
    </xf>
    <xf numFmtId="0" fontId="28" fillId="8" borderId="7" xfId="0" applyFont="1" applyFill="1" applyBorder="1" applyAlignment="1">
      <alignment horizontal="center" vertical="center"/>
    </xf>
    <xf numFmtId="0" fontId="28" fillId="8" borderId="23" xfId="0" applyFont="1" applyFill="1" applyBorder="1" applyAlignment="1">
      <alignment horizontal="center" vertical="center"/>
    </xf>
    <xf numFmtId="165" fontId="0" fillId="0" borderId="0" xfId="0" applyNumberFormat="1" applyAlignment="1">
      <alignment horizontal="center" vertical="center" wrapText="1"/>
    </xf>
    <xf numFmtId="0" fontId="16" fillId="3" borderId="7" xfId="0" applyFont="1" applyFill="1" applyBorder="1" applyAlignment="1">
      <alignment horizontal="center" vertical="center" wrapText="1"/>
    </xf>
    <xf numFmtId="0" fontId="16" fillId="20" borderId="7" xfId="0" applyFont="1" applyFill="1" applyBorder="1" applyAlignment="1">
      <alignment horizontal="center" vertical="center" wrapText="1"/>
    </xf>
    <xf numFmtId="165" fontId="16" fillId="21" borderId="7" xfId="0" applyNumberFormat="1" applyFont="1" applyFill="1" applyBorder="1" applyAlignment="1">
      <alignment horizontal="center" vertical="center" wrapText="1"/>
    </xf>
    <xf numFmtId="0" fontId="16" fillId="21" borderId="7" xfId="0" applyFont="1" applyFill="1" applyBorder="1" applyAlignment="1">
      <alignment horizontal="center" vertical="center" wrapText="1"/>
    </xf>
    <xf numFmtId="0" fontId="25" fillId="0" borderId="7" xfId="0" applyFont="1" applyBorder="1" applyAlignment="1">
      <alignment horizontal="center" vertical="center" wrapText="1"/>
    </xf>
    <xf numFmtId="3" fontId="17" fillId="7" borderId="7" xfId="0" applyNumberFormat="1" applyFont="1" applyFill="1" applyBorder="1" applyAlignment="1">
      <alignment horizontal="center" vertical="center" wrapText="1"/>
    </xf>
    <xf numFmtId="0" fontId="17" fillId="22" borderId="7" xfId="0" applyFont="1" applyFill="1" applyBorder="1" applyAlignment="1">
      <alignment horizontal="center" vertical="center" wrapText="1"/>
    </xf>
    <xf numFmtId="3" fontId="17" fillId="22" borderId="7" xfId="0" applyNumberFormat="1" applyFont="1" applyFill="1" applyBorder="1" applyAlignment="1">
      <alignment horizontal="center" vertical="center" wrapText="1"/>
    </xf>
    <xf numFmtId="0" fontId="17" fillId="0" borderId="7" xfId="0" applyFont="1" applyBorder="1" applyAlignment="1">
      <alignment horizontal="center" vertical="center"/>
    </xf>
    <xf numFmtId="1" fontId="28" fillId="8" borderId="7" xfId="0" applyNumberFormat="1" applyFont="1" applyFill="1" applyBorder="1" applyAlignment="1">
      <alignment horizontal="center" vertical="center"/>
    </xf>
    <xf numFmtId="0" fontId="8" fillId="0" borderId="7" xfId="0" applyFont="1" applyBorder="1" applyAlignment="1">
      <alignment wrapText="1"/>
    </xf>
    <xf numFmtId="0" fontId="8" fillId="0" borderId="4" xfId="0" applyFont="1" applyBorder="1" applyAlignment="1">
      <alignment wrapText="1"/>
    </xf>
    <xf numFmtId="0" fontId="8" fillId="0" borderId="6" xfId="0" applyFont="1" applyBorder="1" applyAlignment="1">
      <alignment wrapText="1"/>
    </xf>
    <xf numFmtId="0" fontId="8" fillId="0" borderId="8" xfId="0" applyFont="1" applyBorder="1" applyAlignment="1">
      <alignment wrapText="1"/>
    </xf>
    <xf numFmtId="0" fontId="8" fillId="18" borderId="0" xfId="0" applyFont="1" applyFill="1" applyBorder="1" applyAlignment="1">
      <alignment horizontal="center" vertical="center" wrapText="1"/>
    </xf>
    <xf numFmtId="0" fontId="8" fillId="8" borderId="0" xfId="0" applyFont="1" applyFill="1" applyBorder="1" applyAlignment="1">
      <alignment horizontal="center" vertical="center" wrapText="1"/>
    </xf>
    <xf numFmtId="0" fontId="16" fillId="6" borderId="14" xfId="0" applyFont="1" applyFill="1" applyBorder="1" applyAlignment="1">
      <alignment horizontal="center" vertical="center" wrapText="1"/>
    </xf>
    <xf numFmtId="0" fontId="18" fillId="0" borderId="41" xfId="0" applyFont="1" applyBorder="1" applyAlignment="1">
      <alignment horizontal="center" vertical="center"/>
    </xf>
    <xf numFmtId="14" fontId="19" fillId="0" borderId="3" xfId="0" applyNumberFormat="1" applyFont="1" applyBorder="1" applyAlignment="1">
      <alignment horizontal="center" vertical="center" wrapText="1"/>
    </xf>
    <xf numFmtId="0" fontId="18" fillId="13" borderId="7" xfId="0" applyFont="1" applyFill="1" applyBorder="1" applyAlignment="1">
      <alignment horizontal="center" vertical="center"/>
    </xf>
    <xf numFmtId="0" fontId="18" fillId="0" borderId="7" xfId="0" applyFont="1" applyBorder="1" applyAlignment="1">
      <alignment horizontal="center" vertical="center"/>
    </xf>
    <xf numFmtId="1" fontId="0" fillId="14" borderId="7" xfId="0" applyNumberFormat="1" applyFill="1" applyBorder="1" applyAlignment="1">
      <alignment horizontal="center" vertical="center"/>
    </xf>
    <xf numFmtId="0" fontId="1" fillId="18" borderId="34" xfId="0" applyFont="1" applyFill="1" applyBorder="1" applyAlignment="1">
      <alignment horizontal="center" vertical="center"/>
    </xf>
    <xf numFmtId="0" fontId="1" fillId="8" borderId="34" xfId="0" applyFont="1" applyFill="1" applyBorder="1" applyAlignment="1">
      <alignment horizontal="center" vertical="center"/>
    </xf>
    <xf numFmtId="0" fontId="18" fillId="0" borderId="17" xfId="0" applyFont="1" applyBorder="1" applyAlignment="1">
      <alignment horizontal="center" vertical="center"/>
    </xf>
    <xf numFmtId="0" fontId="18" fillId="0" borderId="46" xfId="0" applyFont="1" applyBorder="1" applyAlignment="1">
      <alignment horizontal="center" vertical="center"/>
    </xf>
    <xf numFmtId="14" fontId="19" fillId="0" borderId="23" xfId="0" applyNumberFormat="1" applyFont="1" applyBorder="1" applyAlignment="1">
      <alignment horizontal="center" vertical="center" wrapText="1"/>
    </xf>
    <xf numFmtId="0" fontId="8" fillId="18" borderId="5" xfId="0" applyFont="1" applyFill="1" applyBorder="1" applyAlignment="1">
      <alignment horizontal="center" vertical="center" wrapText="1"/>
    </xf>
    <xf numFmtId="1" fontId="0" fillId="14" borderId="23" xfId="0" applyNumberFormat="1" applyFill="1" applyBorder="1" applyAlignment="1">
      <alignment horizontal="center" vertical="center"/>
    </xf>
    <xf numFmtId="0" fontId="8" fillId="8" borderId="6" xfId="0" applyFont="1" applyFill="1" applyBorder="1" applyAlignment="1">
      <alignment horizontal="center" vertical="center" wrapText="1"/>
    </xf>
    <xf numFmtId="0" fontId="18" fillId="13" borderId="50" xfId="0" applyFont="1" applyFill="1" applyBorder="1" applyAlignment="1">
      <alignment horizontal="center" vertical="center"/>
    </xf>
    <xf numFmtId="14" fontId="19" fillId="0" borderId="51" xfId="0" applyNumberFormat="1" applyFont="1" applyBorder="1" applyAlignment="1">
      <alignment horizontal="center" vertical="center" wrapText="1"/>
    </xf>
    <xf numFmtId="14" fontId="33" fillId="0" borderId="7" xfId="0" applyNumberFormat="1" applyFont="1" applyBorder="1" applyAlignment="1">
      <alignment horizontal="center" vertical="center" wrapText="1"/>
    </xf>
    <xf numFmtId="0" fontId="18" fillId="0" borderId="18" xfId="0" applyFont="1" applyFill="1" applyBorder="1" applyAlignment="1">
      <alignment horizontal="center" vertical="center"/>
    </xf>
    <xf numFmtId="0" fontId="34" fillId="0" borderId="18" xfId="0" applyFont="1" applyFill="1" applyBorder="1" applyAlignment="1">
      <alignment horizontal="center" vertical="center"/>
    </xf>
    <xf numFmtId="14" fontId="33" fillId="0" borderId="4" xfId="0" applyNumberFormat="1" applyFont="1" applyBorder="1" applyAlignment="1">
      <alignment horizontal="center" vertical="center" wrapText="1"/>
    </xf>
    <xf numFmtId="4" fontId="0" fillId="0" borderId="7" xfId="0" applyNumberFormat="1" applyFont="1" applyBorder="1" applyAlignment="1">
      <alignment vertical="center" wrapText="1"/>
    </xf>
    <xf numFmtId="0" fontId="6" fillId="0" borderId="6" xfId="0" applyFont="1" applyBorder="1" applyAlignment="1">
      <alignment horizontal="center" vertical="center"/>
    </xf>
    <xf numFmtId="164" fontId="0" fillId="0" borderId="0" xfId="0" applyNumberFormat="1" applyAlignment="1">
      <alignment horizontal="center" vertical="center"/>
    </xf>
    <xf numFmtId="166" fontId="0" fillId="0" borderId="0" xfId="0" applyNumberFormat="1" applyAlignment="1">
      <alignment horizontal="center" vertical="center"/>
    </xf>
    <xf numFmtId="0" fontId="0" fillId="26" borderId="0" xfId="0" applyFill="1" applyAlignment="1">
      <alignment horizontal="center" vertical="center"/>
    </xf>
    <xf numFmtId="0" fontId="0" fillId="25" borderId="0" xfId="0" applyFill="1" applyAlignment="1">
      <alignment horizontal="center" vertical="center"/>
    </xf>
    <xf numFmtId="44" fontId="1" fillId="25" borderId="0" xfId="3" applyFont="1" applyFill="1" applyAlignment="1">
      <alignment horizontal="center" vertical="center"/>
    </xf>
    <xf numFmtId="0" fontId="0" fillId="5" borderId="7" xfId="0" applyNumberFormat="1" applyFill="1" applyBorder="1" applyAlignment="1">
      <alignment horizontal="center"/>
    </xf>
    <xf numFmtId="0" fontId="0" fillId="0" borderId="0" xfId="0" applyFill="1" applyBorder="1" applyAlignment="1">
      <alignment horizontal="center" vertical="center"/>
    </xf>
    <xf numFmtId="0" fontId="0" fillId="0" borderId="0" xfId="0" applyNumberFormat="1" applyFill="1" applyBorder="1" applyAlignment="1">
      <alignment horizontal="center" vertical="center"/>
    </xf>
    <xf numFmtId="0" fontId="15" fillId="23" borderId="4" xfId="0" applyFont="1" applyFill="1" applyBorder="1" applyAlignment="1">
      <alignment horizontal="center" vertical="center"/>
    </xf>
    <xf numFmtId="166" fontId="29" fillId="23" borderId="4" xfId="0" applyNumberFormat="1" applyFont="1" applyFill="1" applyBorder="1" applyAlignment="1">
      <alignment horizontal="center" vertical="center" wrapText="1"/>
    </xf>
    <xf numFmtId="168" fontId="30" fillId="0" borderId="4" xfId="0" applyNumberFormat="1" applyFont="1" applyBorder="1" applyAlignment="1">
      <alignment horizontal="center" vertical="center"/>
    </xf>
    <xf numFmtId="0" fontId="6" fillId="0" borderId="6" xfId="0" applyFont="1" applyBorder="1" applyAlignment="1">
      <alignment horizontal="center" vertical="center" wrapText="1"/>
    </xf>
    <xf numFmtId="168" fontId="0" fillId="0" borderId="6" xfId="0" applyNumberFormat="1" applyBorder="1" applyAlignment="1">
      <alignment horizontal="center" vertical="center"/>
    </xf>
    <xf numFmtId="0" fontId="2" fillId="0" borderId="6" xfId="0" applyFont="1" applyBorder="1" applyAlignment="1">
      <alignment horizontal="center" vertical="center"/>
    </xf>
    <xf numFmtId="0" fontId="15" fillId="23" borderId="17" xfId="0" applyFont="1" applyFill="1" applyBorder="1" applyAlignment="1">
      <alignment horizontal="center" vertical="center"/>
    </xf>
    <xf numFmtId="0" fontId="2" fillId="0" borderId="23" xfId="0" applyFont="1" applyBorder="1" applyAlignment="1">
      <alignment horizontal="center" vertical="center"/>
    </xf>
    <xf numFmtId="0" fontId="6" fillId="0" borderId="52" xfId="0" applyFont="1" applyBorder="1" applyAlignment="1">
      <alignment horizontal="center" vertical="center"/>
    </xf>
    <xf numFmtId="0" fontId="6" fillId="0" borderId="58" xfId="0" applyFont="1" applyBorder="1" applyAlignment="1">
      <alignment horizontal="center" vertical="center" wrapText="1"/>
    </xf>
    <xf numFmtId="168" fontId="0" fillId="0" borderId="58" xfId="0" applyNumberFormat="1" applyBorder="1" applyAlignment="1">
      <alignment horizontal="center" vertical="center"/>
    </xf>
    <xf numFmtId="0" fontId="0" fillId="5" borderId="58" xfId="0" applyNumberFormat="1" applyFill="1" applyBorder="1" applyAlignment="1">
      <alignment horizontal="center"/>
    </xf>
    <xf numFmtId="0" fontId="2" fillId="0" borderId="59" xfId="0" applyFont="1" applyBorder="1" applyAlignment="1">
      <alignment horizontal="center" vertical="center"/>
    </xf>
    <xf numFmtId="0" fontId="15" fillId="23" borderId="18" xfId="0" applyFont="1" applyFill="1" applyBorder="1" applyAlignment="1">
      <alignment horizontal="center" vertical="center"/>
    </xf>
    <xf numFmtId="0" fontId="6" fillId="0" borderId="22" xfId="0" applyFont="1" applyBorder="1" applyAlignment="1">
      <alignment horizontal="center" vertical="center"/>
    </xf>
    <xf numFmtId="4" fontId="11" fillId="0" borderId="7" xfId="0" applyNumberFormat="1" applyFont="1" applyBorder="1" applyAlignment="1">
      <alignment vertical="center" wrapText="1"/>
    </xf>
    <xf numFmtId="0" fontId="16" fillId="8" borderId="7" xfId="0" applyFont="1" applyFill="1" applyBorder="1" applyAlignment="1">
      <alignment horizontal="center" vertical="center"/>
    </xf>
    <xf numFmtId="0" fontId="2" fillId="6" borderId="7" xfId="0" applyFont="1" applyFill="1" applyBorder="1" applyAlignment="1">
      <alignment horizontal="center" vertical="center" wrapText="1"/>
    </xf>
    <xf numFmtId="0" fontId="3" fillId="2" borderId="43" xfId="0" applyFont="1" applyFill="1" applyBorder="1" applyAlignment="1">
      <alignment horizontal="center" vertical="center"/>
    </xf>
    <xf numFmtId="0" fontId="3" fillId="2" borderId="45" xfId="0" applyFont="1" applyFill="1" applyBorder="1" applyAlignment="1">
      <alignment horizontal="center" vertical="center"/>
    </xf>
    <xf numFmtId="0" fontId="16" fillId="7" borderId="7" xfId="0" applyFont="1" applyFill="1" applyBorder="1" applyAlignment="1">
      <alignment horizontal="center" vertical="center"/>
    </xf>
    <xf numFmtId="0" fontId="16" fillId="7" borderId="1" xfId="0" applyFont="1" applyFill="1" applyBorder="1" applyAlignment="1">
      <alignment horizontal="center" vertical="center"/>
    </xf>
    <xf numFmtId="0" fontId="16" fillId="7" borderId="5" xfId="0" applyFont="1" applyFill="1" applyBorder="1" applyAlignment="1">
      <alignment horizontal="center" vertical="center"/>
    </xf>
    <xf numFmtId="0" fontId="16" fillId="7" borderId="6"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5" borderId="4" xfId="0" applyFont="1" applyFill="1" applyBorder="1" applyAlignment="1">
      <alignment horizontal="center" vertical="center" wrapText="1"/>
    </xf>
    <xf numFmtId="4" fontId="9" fillId="0" borderId="1" xfId="0" applyNumberFormat="1" applyFont="1" applyBorder="1" applyAlignment="1">
      <alignment horizontal="center" vertical="center" wrapText="1"/>
    </xf>
    <xf numFmtId="4" fontId="9" fillId="0" borderId="5" xfId="0" applyNumberFormat="1" applyFont="1" applyBorder="1" applyAlignment="1">
      <alignment horizontal="center" vertical="center" wrapText="1"/>
    </xf>
    <xf numFmtId="4" fontId="9" fillId="0" borderId="6" xfId="0" applyNumberFormat="1" applyFont="1" applyBorder="1" applyAlignment="1">
      <alignment horizontal="center" vertical="center" wrapText="1"/>
    </xf>
    <xf numFmtId="0" fontId="6" fillId="0" borderId="1"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7" fillId="7" borderId="1" xfId="0" applyFont="1" applyFill="1" applyBorder="1" applyAlignment="1">
      <alignment horizontal="center" vertical="center" wrapText="1"/>
    </xf>
    <xf numFmtId="0" fontId="7" fillId="7" borderId="5" xfId="0" applyFont="1" applyFill="1" applyBorder="1" applyAlignment="1">
      <alignment horizontal="center" vertical="center" wrapText="1"/>
    </xf>
    <xf numFmtId="0" fontId="7" fillId="7" borderId="6" xfId="0" applyFont="1" applyFill="1" applyBorder="1" applyAlignment="1">
      <alignment horizontal="center" vertical="center" wrapText="1"/>
    </xf>
    <xf numFmtId="0" fontId="1" fillId="7" borderId="1" xfId="0" applyFont="1" applyFill="1" applyBorder="1" applyAlignment="1">
      <alignment horizontal="center" vertical="center"/>
    </xf>
    <xf numFmtId="0" fontId="1" fillId="7" borderId="5" xfId="0" applyFont="1" applyFill="1" applyBorder="1" applyAlignment="1">
      <alignment horizontal="center" vertical="center"/>
    </xf>
    <xf numFmtId="0" fontId="1" fillId="7" borderId="6" xfId="0" applyFont="1" applyFill="1" applyBorder="1" applyAlignment="1">
      <alignment horizontal="center" vertical="center"/>
    </xf>
    <xf numFmtId="0" fontId="0" fillId="0" borderId="1"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13" fillId="0" borderId="1" xfId="0" applyFont="1" applyBorder="1" applyAlignment="1">
      <alignment horizontal="center" vertical="center" wrapText="1"/>
    </xf>
    <xf numFmtId="0" fontId="13" fillId="0" borderId="6"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6" xfId="0" applyFont="1" applyBorder="1" applyAlignment="1">
      <alignment horizontal="center" vertical="center" wrapText="1"/>
    </xf>
    <xf numFmtId="2" fontId="11" fillId="0" borderId="1" xfId="0" applyNumberFormat="1" applyFont="1" applyBorder="1" applyAlignment="1">
      <alignment horizontal="center" vertical="center"/>
    </xf>
    <xf numFmtId="2" fontId="11" fillId="0" borderId="6" xfId="0" applyNumberFormat="1" applyFont="1" applyBorder="1" applyAlignment="1">
      <alignment horizontal="center" vertical="center"/>
    </xf>
    <xf numFmtId="0" fontId="12" fillId="0" borderId="1" xfId="0" applyFont="1" applyBorder="1" applyAlignment="1">
      <alignment horizontal="center" vertical="center"/>
    </xf>
    <xf numFmtId="0" fontId="12" fillId="0" borderId="6" xfId="0" applyFont="1" applyBorder="1" applyAlignment="1">
      <alignment horizontal="center" vertical="center"/>
    </xf>
    <xf numFmtId="2" fontId="0" fillId="0" borderId="1" xfId="0" applyNumberFormat="1" applyBorder="1" applyAlignment="1">
      <alignment horizontal="center" vertical="center"/>
    </xf>
    <xf numFmtId="2" fontId="0" fillId="0" borderId="6" xfId="0" applyNumberFormat="1" applyBorder="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0" fillId="0" borderId="1"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wrapText="1"/>
    </xf>
    <xf numFmtId="2" fontId="0" fillId="0" borderId="7" xfId="0" applyNumberFormat="1" applyBorder="1" applyAlignment="1">
      <alignment horizontal="center" vertical="center"/>
    </xf>
    <xf numFmtId="0" fontId="1" fillId="0" borderId="7" xfId="0" applyFont="1" applyBorder="1" applyAlignment="1">
      <alignment horizontal="center" vertical="center"/>
    </xf>
    <xf numFmtId="0" fontId="0" fillId="0" borderId="1" xfId="0" applyFont="1" applyBorder="1" applyAlignment="1">
      <alignment horizontal="center" vertical="center" wrapText="1"/>
    </xf>
    <xf numFmtId="0" fontId="0" fillId="0" borderId="6" xfId="0" applyFont="1" applyBorder="1" applyAlignment="1">
      <alignment horizontal="center" vertical="center" wrapText="1"/>
    </xf>
    <xf numFmtId="0" fontId="12" fillId="7" borderId="1" xfId="0" applyFont="1" applyFill="1" applyBorder="1" applyAlignment="1">
      <alignment horizontal="center" vertical="center"/>
    </xf>
    <xf numFmtId="0" fontId="12" fillId="7" borderId="5" xfId="0" applyFont="1" applyFill="1" applyBorder="1" applyAlignment="1">
      <alignment horizontal="center" vertical="center"/>
    </xf>
    <xf numFmtId="0" fontId="12" fillId="7" borderId="6" xfId="0" applyFont="1" applyFill="1" applyBorder="1" applyAlignment="1">
      <alignment horizontal="center" vertical="center"/>
    </xf>
    <xf numFmtId="1" fontId="0" fillId="14" borderId="2" xfId="0" applyNumberFormat="1" applyFill="1" applyBorder="1" applyAlignment="1">
      <alignment horizontal="center" vertical="center"/>
    </xf>
    <xf numFmtId="1" fontId="0" fillId="14" borderId="3" xfId="0" applyNumberFormat="1" applyFill="1" applyBorder="1" applyAlignment="1">
      <alignment horizontal="center" vertical="center"/>
    </xf>
    <xf numFmtId="0" fontId="1" fillId="0" borderId="50" xfId="0" applyFont="1" applyBorder="1" applyAlignment="1">
      <alignment horizontal="center" vertical="center" wrapText="1"/>
    </xf>
    <xf numFmtId="0" fontId="1" fillId="0" borderId="51" xfId="0" applyFont="1" applyBorder="1" applyAlignment="1">
      <alignment horizontal="center" vertical="center" wrapText="1"/>
    </xf>
    <xf numFmtId="0" fontId="1" fillId="0" borderId="52" xfId="0" applyFont="1" applyBorder="1" applyAlignment="1">
      <alignment horizontal="center" vertical="center" wrapText="1"/>
    </xf>
    <xf numFmtId="3" fontId="0" fillId="0" borderId="26" xfId="0" applyNumberFormat="1" applyBorder="1" applyAlignment="1">
      <alignment horizontal="center" vertical="center"/>
    </xf>
    <xf numFmtId="3" fontId="0" fillId="0" borderId="33" xfId="0" applyNumberFormat="1" applyBorder="1" applyAlignment="1">
      <alignment horizontal="center" vertical="center"/>
    </xf>
    <xf numFmtId="4" fontId="0" fillId="15" borderId="1" xfId="0" applyNumberFormat="1" applyFill="1" applyBorder="1" applyAlignment="1">
      <alignment horizontal="center" vertical="center"/>
    </xf>
    <xf numFmtId="4" fontId="0" fillId="15" borderId="28" xfId="0" applyNumberFormat="1" applyFill="1" applyBorder="1" applyAlignment="1">
      <alignment horizontal="center" vertical="center"/>
    </xf>
    <xf numFmtId="3" fontId="0" fillId="0" borderId="27" xfId="0" applyNumberFormat="1" applyBorder="1" applyAlignment="1">
      <alignment horizontal="center" vertical="center"/>
    </xf>
    <xf numFmtId="3" fontId="0" fillId="0" borderId="32" xfId="0" applyNumberFormat="1" applyBorder="1" applyAlignment="1">
      <alignment horizontal="center" vertical="center"/>
    </xf>
    <xf numFmtId="0" fontId="1" fillId="0" borderId="16"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2" xfId="0" applyFont="1" applyBorder="1" applyAlignment="1">
      <alignment horizontal="center" vertical="center" wrapText="1"/>
    </xf>
    <xf numFmtId="1" fontId="0" fillId="14" borderId="4" xfId="0" applyNumberFormat="1" applyFill="1" applyBorder="1" applyAlignment="1">
      <alignment horizontal="center" vertical="center"/>
    </xf>
    <xf numFmtId="1" fontId="0" fillId="0" borderId="12" xfId="0" applyNumberFormat="1" applyBorder="1" applyAlignment="1">
      <alignment horizontal="center" vertical="center" wrapText="1"/>
    </xf>
    <xf numFmtId="1" fontId="0" fillId="0" borderId="13" xfId="0" applyNumberFormat="1" applyBorder="1" applyAlignment="1">
      <alignment horizontal="center" vertical="center" wrapText="1"/>
    </xf>
    <xf numFmtId="1" fontId="0" fillId="0" borderId="9" xfId="0" applyNumberFormat="1" applyBorder="1" applyAlignment="1">
      <alignment horizontal="center" vertical="center" wrapText="1"/>
    </xf>
    <xf numFmtId="1" fontId="0" fillId="0" borderId="34" xfId="0" applyNumberFormat="1" applyBorder="1" applyAlignment="1">
      <alignment horizontal="center" vertical="center" wrapText="1"/>
    </xf>
    <xf numFmtId="0" fontId="0" fillId="0" borderId="7" xfId="0" applyBorder="1" applyAlignment="1">
      <alignment horizontal="left" vertical="center" wrapText="1"/>
    </xf>
    <xf numFmtId="0" fontId="0" fillId="0" borderId="1" xfId="0" applyBorder="1" applyAlignment="1">
      <alignment horizontal="left" vertical="center" wrapText="1"/>
    </xf>
    <xf numFmtId="0" fontId="0" fillId="0" borderId="40" xfId="0" applyBorder="1" applyAlignment="1">
      <alignment horizontal="center" vertical="center" wrapText="1"/>
    </xf>
    <xf numFmtId="0" fontId="0" fillId="0" borderId="34" xfId="0" applyBorder="1" applyAlignment="1">
      <alignment horizontal="center" vertical="center" wrapText="1"/>
    </xf>
    <xf numFmtId="0" fontId="0" fillId="0" borderId="42" xfId="0" applyBorder="1" applyAlignment="1">
      <alignment horizontal="center" vertical="center" wrapText="1"/>
    </xf>
    <xf numFmtId="0" fontId="0" fillId="0" borderId="16" xfId="0" applyBorder="1" applyAlignment="1">
      <alignment horizontal="center" vertical="center" wrapText="1"/>
    </xf>
    <xf numFmtId="0" fontId="0" fillId="7" borderId="1" xfId="0" applyFill="1" applyBorder="1" applyAlignment="1">
      <alignment horizontal="center" vertical="center" wrapText="1"/>
    </xf>
    <xf numFmtId="0" fontId="0" fillId="7" borderId="5" xfId="0" applyFill="1" applyBorder="1" applyAlignment="1">
      <alignment horizontal="center" vertical="center" wrapText="1"/>
    </xf>
    <xf numFmtId="0" fontId="0" fillId="7" borderId="28" xfId="0" applyFill="1" applyBorder="1" applyAlignment="1">
      <alignment horizontal="center" vertical="center" wrapText="1"/>
    </xf>
    <xf numFmtId="0" fontId="0" fillId="0" borderId="14" xfId="0" applyBorder="1" applyAlignment="1">
      <alignment horizontal="center" vertical="center" wrapText="1"/>
    </xf>
    <xf numFmtId="0" fontId="0" fillId="0" borderId="13" xfId="0" applyBorder="1" applyAlignment="1">
      <alignment horizontal="center" vertical="center"/>
    </xf>
    <xf numFmtId="0" fontId="0" fillId="0" borderId="0" xfId="0" applyAlignment="1">
      <alignment horizontal="center" vertical="center"/>
    </xf>
    <xf numFmtId="0" fontId="0" fillId="0" borderId="34" xfId="0" applyBorder="1" applyAlignment="1">
      <alignment horizontal="center" vertical="center"/>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42"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48"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49"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49" xfId="0" applyFont="1" applyBorder="1" applyAlignment="1">
      <alignment horizontal="center" vertical="center" wrapText="1"/>
    </xf>
    <xf numFmtId="0" fontId="18" fillId="0" borderId="16"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28" xfId="0" applyFont="1" applyBorder="1" applyAlignment="1">
      <alignment horizontal="center" vertical="center" wrapText="1"/>
    </xf>
    <xf numFmtId="0" fontId="17" fillId="0" borderId="16" xfId="0" applyFont="1" applyBorder="1" applyAlignment="1">
      <alignment horizontal="center" vertical="center" wrapText="1"/>
    </xf>
    <xf numFmtId="0" fontId="17" fillId="0" borderId="5" xfId="0" applyFont="1" applyBorder="1" applyAlignment="1">
      <alignment horizontal="center" vertical="center" wrapText="1"/>
    </xf>
    <xf numFmtId="0" fontId="6" fillId="0" borderId="10" xfId="0" applyFont="1" applyBorder="1" applyAlignment="1">
      <alignment horizontal="center" vertical="center"/>
    </xf>
    <xf numFmtId="0" fontId="6" fillId="0" borderId="19" xfId="0" applyFont="1" applyBorder="1" applyAlignment="1">
      <alignment horizontal="center" vertical="center"/>
    </xf>
    <xf numFmtId="0" fontId="8" fillId="12" borderId="16" xfId="0" applyFont="1" applyFill="1" applyBorder="1" applyAlignment="1">
      <alignment horizontal="center" vertical="center" wrapText="1"/>
    </xf>
    <xf numFmtId="0" fontId="8" fillId="12" borderId="5" xfId="0" applyFont="1" applyFill="1" applyBorder="1" applyAlignment="1">
      <alignment horizontal="center" vertical="center" wrapText="1"/>
    </xf>
    <xf numFmtId="14" fontId="18" fillId="12" borderId="16" xfId="0" applyNumberFormat="1" applyFont="1" applyFill="1" applyBorder="1" applyAlignment="1">
      <alignment horizontal="center" vertical="center" wrapText="1"/>
    </xf>
    <xf numFmtId="14" fontId="18" fillId="12" borderId="5" xfId="0" applyNumberFormat="1" applyFont="1" applyFill="1" applyBorder="1" applyAlignment="1">
      <alignment horizontal="center" vertical="center" wrapText="1"/>
    </xf>
    <xf numFmtId="14" fontId="18" fillId="12" borderId="9" xfId="0" applyNumberFormat="1" applyFont="1" applyFill="1" applyBorder="1" applyAlignment="1">
      <alignment horizontal="center" vertical="center" wrapText="1"/>
    </xf>
    <xf numFmtId="14" fontId="18" fillId="12" borderId="53" xfId="0" applyNumberFormat="1" applyFont="1" applyFill="1" applyBorder="1" applyAlignment="1">
      <alignment horizontal="center" vertical="center" wrapText="1"/>
    </xf>
    <xf numFmtId="0" fontId="1" fillId="7" borderId="16" xfId="0" applyFont="1" applyFill="1" applyBorder="1" applyAlignment="1">
      <alignment horizontal="center" vertical="center" wrapText="1"/>
    </xf>
    <xf numFmtId="0" fontId="1" fillId="7" borderId="5" xfId="0" applyFont="1" applyFill="1" applyBorder="1" applyAlignment="1">
      <alignment horizontal="center" vertical="center" wrapText="1"/>
    </xf>
    <xf numFmtId="0" fontId="1" fillId="7" borderId="6" xfId="0" applyFont="1" applyFill="1" applyBorder="1" applyAlignment="1">
      <alignment horizontal="center" vertical="center" wrapText="1"/>
    </xf>
    <xf numFmtId="0" fontId="1" fillId="0" borderId="44" xfId="0" applyFont="1" applyBorder="1" applyAlignment="1">
      <alignment horizontal="center" vertical="center" wrapText="1"/>
    </xf>
    <xf numFmtId="0" fontId="1" fillId="0" borderId="2"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19" xfId="0" applyFont="1" applyBorder="1" applyAlignment="1">
      <alignment horizontal="center" vertical="center" wrapText="1"/>
    </xf>
    <xf numFmtId="0" fontId="18" fillId="0" borderId="33" xfId="0" applyFont="1" applyBorder="1" applyAlignment="1">
      <alignment horizontal="center" vertical="center" wrapText="1"/>
    </xf>
    <xf numFmtId="0" fontId="0" fillId="7" borderId="16" xfId="0" applyFill="1" applyBorder="1" applyAlignment="1">
      <alignment horizontal="center" vertical="center" wrapText="1"/>
    </xf>
    <xf numFmtId="0" fontId="0" fillId="7" borderId="6" xfId="0" applyFill="1" applyBorder="1" applyAlignment="1">
      <alignment horizontal="center" vertical="center" wrapText="1"/>
    </xf>
    <xf numFmtId="0" fontId="0" fillId="7" borderId="16" xfId="0" applyFont="1" applyFill="1" applyBorder="1" applyAlignment="1">
      <alignment horizontal="center" vertical="center" wrapText="1"/>
    </xf>
    <xf numFmtId="0" fontId="0" fillId="7" borderId="5" xfId="0" applyFont="1" applyFill="1" applyBorder="1" applyAlignment="1">
      <alignment horizontal="center" vertical="center" wrapText="1"/>
    </xf>
    <xf numFmtId="0" fontId="0" fillId="7" borderId="6" xfId="0" applyFont="1" applyFill="1" applyBorder="1" applyAlignment="1">
      <alignment horizontal="center" vertical="center" wrapText="1"/>
    </xf>
    <xf numFmtId="14" fontId="0" fillId="7" borderId="16" xfId="0" applyNumberFormat="1" applyFill="1" applyBorder="1" applyAlignment="1">
      <alignment horizontal="center" vertical="center" wrapText="1"/>
    </xf>
    <xf numFmtId="0" fontId="1" fillId="0" borderId="17" xfId="0" applyFont="1" applyBorder="1" applyAlignment="1">
      <alignment horizontal="center" vertical="center" wrapText="1"/>
    </xf>
    <xf numFmtId="0" fontId="1" fillId="0" borderId="7"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57" xfId="0" applyFont="1" applyBorder="1" applyAlignment="1">
      <alignment horizontal="center" vertical="center" wrapText="1"/>
    </xf>
    <xf numFmtId="0" fontId="8" fillId="0" borderId="9" xfId="0" applyFont="1" applyBorder="1" applyAlignment="1">
      <alignment horizontal="center" vertical="center" wrapText="1"/>
    </xf>
    <xf numFmtId="0" fontId="8" fillId="0" borderId="34" xfId="0" applyFont="1" applyBorder="1" applyAlignment="1">
      <alignment horizontal="center" vertical="center" wrapText="1"/>
    </xf>
    <xf numFmtId="1" fontId="0" fillId="14" borderId="7" xfId="0" applyNumberFormat="1" applyFill="1" applyBorder="1" applyAlignment="1">
      <alignment horizontal="center" vertical="center"/>
    </xf>
    <xf numFmtId="1" fontId="0" fillId="14" borderId="54" xfId="0" applyNumberFormat="1" applyFill="1" applyBorder="1" applyAlignment="1">
      <alignment horizontal="center" vertical="center"/>
    </xf>
    <xf numFmtId="0" fontId="8" fillId="0" borderId="55"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56"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39" xfId="0" applyFont="1" applyBorder="1" applyAlignment="1">
      <alignment horizontal="center" vertical="center" wrapText="1"/>
    </xf>
    <xf numFmtId="0" fontId="23" fillId="12" borderId="16" xfId="0" applyFont="1" applyFill="1" applyBorder="1" applyAlignment="1">
      <alignment horizontal="center" vertical="center" wrapText="1"/>
    </xf>
    <xf numFmtId="0" fontId="23" fillId="12" borderId="5" xfId="0" applyFont="1" applyFill="1" applyBorder="1" applyAlignment="1">
      <alignment horizontal="center" vertical="center" wrapText="1"/>
    </xf>
    <xf numFmtId="0" fontId="18" fillId="0" borderId="9" xfId="0" applyFont="1" applyBorder="1" applyAlignment="1">
      <alignment horizontal="center" vertical="center" wrapText="1"/>
    </xf>
    <xf numFmtId="0" fontId="18" fillId="0" borderId="29" xfId="0" applyFont="1" applyBorder="1" applyAlignment="1">
      <alignment horizontal="center" vertical="center" wrapText="1"/>
    </xf>
    <xf numFmtId="0" fontId="16" fillId="6" borderId="1" xfId="0" applyFont="1" applyFill="1" applyBorder="1" applyAlignment="1">
      <alignment horizontal="center" vertical="center" wrapText="1"/>
    </xf>
    <xf numFmtId="1" fontId="0" fillId="14" borderId="47" xfId="0" applyNumberFormat="1" applyFill="1" applyBorder="1" applyAlignment="1">
      <alignment horizontal="center" vertical="center"/>
    </xf>
    <xf numFmtId="0" fontId="0" fillId="0" borderId="12" xfId="0" applyBorder="1" applyAlignment="1">
      <alignment horizontal="center" vertical="center"/>
    </xf>
    <xf numFmtId="0" fontId="0" fillId="0" borderId="43" xfId="0" applyBorder="1" applyAlignment="1">
      <alignment horizontal="center" vertical="center"/>
    </xf>
    <xf numFmtId="0" fontId="0" fillId="0" borderId="8" xfId="0" applyBorder="1" applyAlignment="1">
      <alignment horizontal="center" vertical="center"/>
    </xf>
    <xf numFmtId="0" fontId="16" fillId="6" borderId="12" xfId="0" applyFont="1" applyFill="1" applyBorder="1" applyAlignment="1">
      <alignment horizontal="center" vertical="center" wrapText="1"/>
    </xf>
    <xf numFmtId="0" fontId="16" fillId="6" borderId="13" xfId="0" applyFont="1" applyFill="1" applyBorder="1" applyAlignment="1">
      <alignment horizontal="center" vertical="center" wrapText="1"/>
    </xf>
    <xf numFmtId="0" fontId="16" fillId="6" borderId="14" xfId="0" applyFont="1" applyFill="1" applyBorder="1" applyAlignment="1">
      <alignment horizontal="center" vertical="center" wrapText="1"/>
    </xf>
    <xf numFmtId="0" fontId="8" fillId="0" borderId="57"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57" xfId="0" applyFont="1" applyBorder="1" applyAlignment="1">
      <alignment horizontal="center" vertical="center" wrapText="1"/>
    </xf>
    <xf numFmtId="0" fontId="0" fillId="0" borderId="28" xfId="0" applyBorder="1" applyAlignment="1">
      <alignment horizontal="center" vertical="center" wrapText="1"/>
    </xf>
    <xf numFmtId="4" fontId="18" fillId="0" borderId="16" xfId="0" applyNumberFormat="1" applyFont="1" applyBorder="1" applyAlignment="1">
      <alignment horizontal="center" vertical="center" wrapText="1"/>
    </xf>
    <xf numFmtId="0" fontId="0" fillId="0" borderId="7" xfId="0" applyBorder="1" applyAlignment="1">
      <alignment horizontal="center" vertical="center"/>
    </xf>
    <xf numFmtId="0" fontId="0" fillId="0" borderId="16" xfId="0" applyFont="1" applyBorder="1" applyAlignment="1">
      <alignment horizontal="center" vertical="center" wrapText="1"/>
    </xf>
    <xf numFmtId="0" fontId="0" fillId="0" borderId="5" xfId="0" applyFont="1" applyBorder="1" applyAlignment="1">
      <alignment horizontal="center" vertical="center" wrapText="1"/>
    </xf>
    <xf numFmtId="0" fontId="0" fillId="0" borderId="45" xfId="0" applyBorder="1" applyAlignment="1">
      <alignment horizontal="center" vertical="center"/>
    </xf>
    <xf numFmtId="0" fontId="8" fillId="0" borderId="43" xfId="0" applyFont="1" applyBorder="1" applyAlignment="1">
      <alignment horizontal="center" vertical="center" wrapText="1"/>
    </xf>
    <xf numFmtId="0" fontId="8" fillId="0" borderId="8" xfId="0" applyFont="1" applyBorder="1" applyAlignment="1">
      <alignment horizontal="center" vertical="center" wrapText="1"/>
    </xf>
    <xf numFmtId="0" fontId="9" fillId="17" borderId="7" xfId="0" applyFont="1" applyFill="1" applyBorder="1" applyAlignment="1">
      <alignment horizontal="center" vertical="center"/>
    </xf>
    <xf numFmtId="0" fontId="6" fillId="0" borderId="7" xfId="0" applyFont="1" applyBorder="1" applyAlignment="1">
      <alignment horizontal="center" vertical="center"/>
    </xf>
    <xf numFmtId="0" fontId="27" fillId="0" borderId="7" xfId="0" applyFont="1" applyBorder="1" applyAlignment="1">
      <alignment horizontal="center" vertical="center" wrapText="1"/>
    </xf>
    <xf numFmtId="0" fontId="17" fillId="0" borderId="7" xfId="0" applyFont="1" applyBorder="1" applyAlignment="1">
      <alignment horizontal="center" vertical="center" wrapText="1"/>
    </xf>
    <xf numFmtId="4" fontId="32" fillId="0" borderId="7" xfId="0" applyNumberFormat="1" applyFont="1" applyBorder="1" applyAlignment="1">
      <alignment horizontal="center" vertical="center" wrapText="1"/>
    </xf>
    <xf numFmtId="0" fontId="32" fillId="0" borderId="7" xfId="0" applyNumberFormat="1" applyFont="1" applyBorder="1" applyAlignment="1">
      <alignment horizontal="center" vertical="center" wrapText="1"/>
    </xf>
    <xf numFmtId="0" fontId="28" fillId="0" borderId="11" xfId="0" applyFont="1" applyBorder="1" applyAlignment="1">
      <alignment horizontal="center" vertical="center"/>
    </xf>
    <xf numFmtId="0" fontId="28" fillId="0" borderId="20" xfId="0" applyFont="1" applyBorder="1" applyAlignment="1">
      <alignment horizontal="center" vertical="center"/>
    </xf>
    <xf numFmtId="1" fontId="17" fillId="0" borderId="7" xfId="0" applyNumberFormat="1" applyFont="1" applyBorder="1" applyAlignment="1">
      <alignment horizontal="center" vertical="center"/>
    </xf>
    <xf numFmtId="1" fontId="5" fillId="0" borderId="7" xfId="0" applyNumberFormat="1" applyFont="1" applyBorder="1" applyAlignment="1">
      <alignment horizontal="center" vertical="center"/>
    </xf>
    <xf numFmtId="0" fontId="5" fillId="0" borderId="7" xfId="0" applyFont="1" applyBorder="1" applyAlignment="1">
      <alignment horizontal="center" vertical="center"/>
    </xf>
    <xf numFmtId="169" fontId="5" fillId="0" borderId="7" xfId="2" applyNumberFormat="1" applyFont="1" applyBorder="1" applyAlignment="1">
      <alignment horizontal="center" vertical="center"/>
    </xf>
    <xf numFmtId="0" fontId="28" fillId="0" borderId="7" xfId="0" applyFont="1" applyBorder="1" applyAlignment="1">
      <alignment horizontal="center" vertical="center"/>
    </xf>
    <xf numFmtId="2" fontId="28" fillId="0" borderId="7" xfId="0" applyNumberFormat="1" applyFont="1" applyBorder="1" applyAlignment="1">
      <alignment horizontal="center" vertical="center"/>
    </xf>
    <xf numFmtId="0" fontId="16" fillId="20" borderId="7" xfId="0" applyFont="1" applyFill="1" applyBorder="1" applyAlignment="1">
      <alignment horizontal="center" vertical="center" wrapText="1"/>
    </xf>
    <xf numFmtId="0" fontId="15" fillId="23" borderId="7" xfId="0" applyFont="1" applyFill="1" applyBorder="1" applyAlignment="1">
      <alignment horizontal="center" vertical="center" wrapText="1"/>
    </xf>
    <xf numFmtId="0" fontId="31" fillId="0" borderId="36" xfId="0" applyFont="1" applyBorder="1" applyAlignment="1">
      <alignment horizontal="center" vertical="center" wrapText="1"/>
    </xf>
    <xf numFmtId="0" fontId="31" fillId="0" borderId="37" xfId="0" applyFont="1" applyBorder="1" applyAlignment="1">
      <alignment horizontal="center" vertical="center" wrapText="1"/>
    </xf>
    <xf numFmtId="0" fontId="31" fillId="0" borderId="38" xfId="0" applyFont="1" applyBorder="1" applyAlignment="1">
      <alignment horizontal="center" vertical="center" wrapText="1"/>
    </xf>
    <xf numFmtId="0" fontId="15" fillId="23" borderId="16" xfId="0" applyFont="1" applyFill="1" applyBorder="1" applyAlignment="1">
      <alignment horizontal="center" vertical="center" wrapText="1"/>
    </xf>
    <xf numFmtId="0" fontId="15" fillId="23" borderId="6" xfId="0" applyFont="1" applyFill="1" applyBorder="1" applyAlignment="1">
      <alignment horizontal="center" vertical="center" wrapText="1"/>
    </xf>
    <xf numFmtId="0" fontId="15" fillId="23" borderId="11" xfId="0" applyFont="1" applyFill="1" applyBorder="1" applyAlignment="1">
      <alignment horizontal="center" vertical="center" wrapText="1"/>
    </xf>
    <xf numFmtId="0" fontId="15" fillId="23" borderId="21" xfId="0" applyFont="1" applyFill="1" applyBorder="1" applyAlignment="1">
      <alignment horizontal="center" vertical="center" wrapText="1"/>
    </xf>
    <xf numFmtId="0" fontId="15" fillId="23" borderId="1" xfId="0" applyFont="1" applyFill="1" applyBorder="1" applyAlignment="1">
      <alignment horizontal="center" vertical="center" wrapText="1"/>
    </xf>
    <xf numFmtId="0" fontId="5" fillId="24" borderId="60" xfId="0" applyFont="1" applyFill="1" applyBorder="1" applyAlignment="1">
      <alignment horizontal="center" vertical="center"/>
    </xf>
    <xf numFmtId="0" fontId="5" fillId="24" borderId="61" xfId="0" applyFont="1" applyFill="1" applyBorder="1" applyAlignment="1">
      <alignment horizontal="center" vertical="center"/>
    </xf>
    <xf numFmtId="0" fontId="5" fillId="24" borderId="56" xfId="0" applyFont="1" applyFill="1" applyBorder="1" applyAlignment="1">
      <alignment horizontal="center" vertical="center"/>
    </xf>
    <xf numFmtId="0" fontId="5" fillId="24" borderId="49" xfId="0" applyFont="1" applyFill="1" applyBorder="1" applyAlignment="1">
      <alignment horizontal="center" vertical="center"/>
    </xf>
  </cellXfs>
  <cellStyles count="4">
    <cellStyle name="Comma" xfId="1" builtinId="3"/>
    <cellStyle name="Currency" xfId="3" builtinId="4"/>
    <cellStyle name="Currency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mineducaciongovco-my.sharepoint.com/personal/fvega_mineducacion_gov_co/Documents/FABIAN/CONTRATOS%202020/CALIDAD/REGISTRO%20PLAN%20DESCONGESTION/EVALUACION/Matriz%20de%20evaluacion-proceso%20registro%20calificado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ABILITANTES"/>
      <sheetName val="HV"/>
      <sheetName val="PUNTUABLES"/>
      <sheetName val="Evaluación Económica"/>
      <sheetName val="Resultado de Evaluaciones"/>
    </sheetNames>
    <sheetDataSet>
      <sheetData sheetId="0">
        <row r="4">
          <cell r="B4" t="str">
            <v xml:space="preserve"> UNION TEMPORAL "TRADENS 2020"</v>
          </cell>
          <cell r="O4" t="str">
            <v>NO CUMPLE</v>
          </cell>
        </row>
      </sheetData>
      <sheetData sheetId="1" refreshError="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
  <sheetViews>
    <sheetView tabSelected="1" zoomScale="43" zoomScaleNormal="43" zoomScalePageLayoutView="90" workbookViewId="0">
      <pane xSplit="2" ySplit="3" topLeftCell="F16" activePane="bottomRight" state="frozen"/>
      <selection pane="topRight" activeCell="C1" sqref="C1"/>
      <selection pane="bottomLeft" activeCell="A4" sqref="A4"/>
      <selection pane="bottomRight" activeCell="M23" sqref="M23"/>
    </sheetView>
  </sheetViews>
  <sheetFormatPr defaultColWidth="11.42578125" defaultRowHeight="15" x14ac:dyDescent="0.25"/>
  <cols>
    <col min="1" max="1" width="17.42578125" style="5" customWidth="1"/>
    <col min="2" max="2" width="49.42578125" style="43" customWidth="1"/>
    <col min="3" max="3" width="16.42578125" style="5" customWidth="1"/>
    <col min="4" max="4" width="50.28515625" style="5" customWidth="1"/>
    <col min="5" max="5" width="23.5703125" style="5" bestFit="1" customWidth="1"/>
    <col min="6" max="6" width="59.42578125" style="43" customWidth="1"/>
    <col min="7" max="7" width="33.42578125" style="60" customWidth="1"/>
    <col min="8" max="8" width="35.140625" style="5" customWidth="1"/>
    <col min="9" max="10" width="25.85546875" style="5" customWidth="1"/>
    <col min="11" max="11" width="98.28515625" style="5" customWidth="1"/>
    <col min="12" max="13" width="43.85546875" style="43" customWidth="1"/>
    <col min="14" max="14" width="28.140625" style="5" customWidth="1"/>
    <col min="15" max="15" width="24.5703125" style="60" customWidth="1"/>
    <col min="16" max="16" width="105.7109375" style="43" customWidth="1"/>
    <col min="17" max="17" width="25.7109375" style="5" customWidth="1"/>
    <col min="18" max="32" width="11.42578125" style="5"/>
    <col min="33" max="33" width="38.28515625" style="5" bestFit="1" customWidth="1"/>
    <col min="34" max="16384" width="11.42578125" style="5"/>
  </cols>
  <sheetData>
    <row r="1" spans="1:17" s="61" customFormat="1" ht="23.25" x14ac:dyDescent="0.25">
      <c r="A1" s="163" t="s">
        <v>0</v>
      </c>
      <c r="B1" s="163" t="s">
        <v>1</v>
      </c>
      <c r="C1" s="157" t="s">
        <v>2</v>
      </c>
      <c r="D1" s="158"/>
      <c r="E1" s="158"/>
      <c r="F1" s="158"/>
      <c r="G1" s="158"/>
      <c r="H1" s="158"/>
      <c r="I1" s="158"/>
      <c r="J1" s="158"/>
      <c r="K1" s="158"/>
      <c r="L1" s="158"/>
      <c r="M1" s="158"/>
      <c r="N1" s="158"/>
      <c r="O1" s="158"/>
      <c r="P1" s="158"/>
      <c r="Q1" s="158"/>
    </row>
    <row r="2" spans="1:17" s="1" customFormat="1" ht="30" customHeight="1" x14ac:dyDescent="0.25">
      <c r="A2" s="164"/>
      <c r="B2" s="164"/>
      <c r="C2" s="166" t="s">
        <v>3</v>
      </c>
      <c r="D2" s="167"/>
      <c r="E2" s="168"/>
      <c r="F2" s="169" t="s">
        <v>4</v>
      </c>
      <c r="G2" s="170"/>
      <c r="H2" s="170"/>
      <c r="I2" s="170"/>
      <c r="J2" s="170"/>
      <c r="K2" s="171"/>
      <c r="L2" s="172" t="s">
        <v>5</v>
      </c>
      <c r="M2" s="173"/>
      <c r="N2" s="173"/>
      <c r="O2" s="173"/>
      <c r="P2" s="174"/>
      <c r="Q2" s="156" t="s">
        <v>156</v>
      </c>
    </row>
    <row r="3" spans="1:17" s="1" customFormat="1" ht="51.75" x14ac:dyDescent="0.25">
      <c r="A3" s="165"/>
      <c r="B3" s="165"/>
      <c r="C3" s="2" t="s">
        <v>6</v>
      </c>
      <c r="D3" s="2" t="s">
        <v>7</v>
      </c>
      <c r="E3" s="2" t="s">
        <v>8</v>
      </c>
      <c r="F3" s="3" t="s">
        <v>9</v>
      </c>
      <c r="G3" s="3" t="s">
        <v>10</v>
      </c>
      <c r="H3" s="3" t="s">
        <v>11</v>
      </c>
      <c r="I3" s="3" t="s">
        <v>12</v>
      </c>
      <c r="J3" s="3" t="s">
        <v>30</v>
      </c>
      <c r="K3" s="3" t="s">
        <v>13</v>
      </c>
      <c r="L3" s="4" t="s">
        <v>14</v>
      </c>
      <c r="M3" s="172" t="s">
        <v>15</v>
      </c>
      <c r="N3" s="174"/>
      <c r="O3" s="4" t="s">
        <v>6</v>
      </c>
      <c r="P3" s="4" t="s">
        <v>16</v>
      </c>
      <c r="Q3" s="156"/>
    </row>
    <row r="4" spans="1:17" ht="44.1" customHeight="1" x14ac:dyDescent="0.25">
      <c r="A4" s="178">
        <v>1</v>
      </c>
      <c r="B4" s="181" t="s">
        <v>27</v>
      </c>
      <c r="C4" s="184" t="s">
        <v>17</v>
      </c>
      <c r="D4" s="187" t="s">
        <v>161</v>
      </c>
      <c r="E4" s="163" t="s">
        <v>18</v>
      </c>
      <c r="F4" s="62" t="s">
        <v>19</v>
      </c>
      <c r="G4" s="8" t="s">
        <v>28</v>
      </c>
      <c r="H4" s="8">
        <v>1195.07</v>
      </c>
      <c r="I4" s="175">
        <f>SUM(H4:H12)</f>
        <v>1195.07</v>
      </c>
      <c r="J4" s="184" t="s">
        <v>17</v>
      </c>
      <c r="K4" s="63"/>
      <c r="L4" s="187" t="str">
        <f>HV!E2</f>
        <v>DELFIN SOTO CHAVES</v>
      </c>
      <c r="M4" s="187" t="s">
        <v>20</v>
      </c>
      <c r="N4" s="198">
        <f>HV!AC5</f>
        <v>136.43333333333334</v>
      </c>
      <c r="O4" s="200" t="str">
        <f>HV!AA2</f>
        <v>CUMPLE</v>
      </c>
      <c r="P4" s="187" t="str">
        <f>HV!Z2</f>
        <v>Cumple con el perfil y la experiencia profesional de 90 meses requerida en el literal a) "RELACIÓN DE EQUIPO HUMANO MÍNIMO HABILITANTE (CUMPLE / NO CUMPLE)", del pliego de condiciones.</v>
      </c>
      <c r="Q4" s="159" t="s">
        <v>17</v>
      </c>
    </row>
    <row r="5" spans="1:17" ht="44.1" customHeight="1" x14ac:dyDescent="0.25">
      <c r="A5" s="179"/>
      <c r="B5" s="182"/>
      <c r="C5" s="185"/>
      <c r="D5" s="188"/>
      <c r="E5" s="164"/>
      <c r="F5" s="64"/>
      <c r="G5" s="9"/>
      <c r="H5" s="9"/>
      <c r="I5" s="176"/>
      <c r="J5" s="185"/>
      <c r="K5" s="6"/>
      <c r="L5" s="188"/>
      <c r="M5" s="189"/>
      <c r="N5" s="199"/>
      <c r="O5" s="201"/>
      <c r="P5" s="189"/>
      <c r="Q5" s="159"/>
    </row>
    <row r="6" spans="1:17" ht="84.75" customHeight="1" x14ac:dyDescent="0.25">
      <c r="A6" s="179"/>
      <c r="B6" s="182"/>
      <c r="C6" s="185"/>
      <c r="D6" s="188"/>
      <c r="E6" s="164"/>
      <c r="F6" s="64"/>
      <c r="G6" s="9"/>
      <c r="H6" s="9"/>
      <c r="I6" s="176"/>
      <c r="J6" s="185"/>
      <c r="K6" s="65"/>
      <c r="L6" s="188"/>
      <c r="M6" s="192" t="s">
        <v>21</v>
      </c>
      <c r="N6" s="194">
        <f>HV!AC10</f>
        <v>61.966666666666669</v>
      </c>
      <c r="O6" s="196" t="str">
        <f>HV!AA7</f>
        <v>CUMPLE</v>
      </c>
      <c r="P6" s="192" t="str">
        <f>HV!Z7</f>
        <v>Cumple con el perfil y la experiencia profesional de 60 meses requerida en el literal a) "RELACIÓN DE EQUIPO HUMANO MÍNIMO HABILITANTE (CUMPLE / NO CUMPLE)", del pliego de condiciones.</v>
      </c>
      <c r="Q6" s="159"/>
    </row>
    <row r="7" spans="1:17" ht="117" customHeight="1" x14ac:dyDescent="0.25">
      <c r="A7" s="179"/>
      <c r="B7" s="182"/>
      <c r="C7" s="185"/>
      <c r="D7" s="188"/>
      <c r="E7" s="164"/>
      <c r="F7" s="64"/>
      <c r="G7" s="9"/>
      <c r="H7" s="9"/>
      <c r="I7" s="176"/>
      <c r="J7" s="185"/>
      <c r="K7" s="63"/>
      <c r="L7" s="189"/>
      <c r="M7" s="193"/>
      <c r="N7" s="195"/>
      <c r="O7" s="197"/>
      <c r="P7" s="193"/>
      <c r="Q7" s="159"/>
    </row>
    <row r="8" spans="1:17" ht="44.1" customHeight="1" x14ac:dyDescent="0.25">
      <c r="A8" s="179"/>
      <c r="B8" s="182"/>
      <c r="C8" s="185"/>
      <c r="D8" s="188"/>
      <c r="E8" s="164"/>
      <c r="F8" s="64"/>
      <c r="G8" s="9"/>
      <c r="H8" s="9"/>
      <c r="I8" s="176"/>
      <c r="J8" s="185"/>
      <c r="K8" s="63"/>
      <c r="L8" s="4" t="s">
        <v>22</v>
      </c>
      <c r="M8" s="4"/>
      <c r="N8" s="4" t="s">
        <v>15</v>
      </c>
      <c r="O8" s="4" t="s">
        <v>6</v>
      </c>
      <c r="P8" s="4" t="s">
        <v>16</v>
      </c>
      <c r="Q8" s="159"/>
    </row>
    <row r="9" spans="1:17" ht="44.1" customHeight="1" x14ac:dyDescent="0.25">
      <c r="A9" s="179"/>
      <c r="B9" s="182"/>
      <c r="C9" s="185"/>
      <c r="D9" s="188"/>
      <c r="E9" s="164"/>
      <c r="F9" s="64"/>
      <c r="G9" s="9"/>
      <c r="H9" s="9"/>
      <c r="I9" s="176"/>
      <c r="J9" s="185"/>
      <c r="K9" s="63"/>
      <c r="L9" s="202" t="str">
        <f>HV!E13</f>
        <v>JUANITA BENAVIDES DELGADO</v>
      </c>
      <c r="M9" s="187" t="s">
        <v>23</v>
      </c>
      <c r="N9" s="198">
        <f>HV!AC16</f>
        <v>209.83333333333334</v>
      </c>
      <c r="O9" s="200" t="str">
        <f>HV!AA13</f>
        <v>CUMPLE</v>
      </c>
      <c r="P9" s="190" t="str">
        <f>HV!Z13</f>
        <v>Cumple con el perfil y la experiencia profesional de 70 meses requeridaen el literal a) "RELACIÓN DE EQUIPO HUMANO MÍNIMO HABILITANTE (CUMPLE / NO CUMPLE)", del pliego de condiciones.</v>
      </c>
      <c r="Q9" s="159"/>
    </row>
    <row r="10" spans="1:17" ht="44.1" customHeight="1" x14ac:dyDescent="0.25">
      <c r="A10" s="179"/>
      <c r="B10" s="182"/>
      <c r="C10" s="185"/>
      <c r="D10" s="188"/>
      <c r="E10" s="164"/>
      <c r="F10" s="64"/>
      <c r="G10" s="9"/>
      <c r="H10" s="9"/>
      <c r="I10" s="176"/>
      <c r="J10" s="185"/>
      <c r="K10" s="63"/>
      <c r="L10" s="203"/>
      <c r="M10" s="189"/>
      <c r="N10" s="199"/>
      <c r="O10" s="201"/>
      <c r="P10" s="191"/>
      <c r="Q10" s="159"/>
    </row>
    <row r="11" spans="1:17" ht="44.1" customHeight="1" x14ac:dyDescent="0.25">
      <c r="A11" s="179"/>
      <c r="B11" s="182"/>
      <c r="C11" s="185"/>
      <c r="D11" s="188"/>
      <c r="E11" s="164"/>
      <c r="F11" s="10"/>
      <c r="G11" s="10"/>
      <c r="H11" s="6"/>
      <c r="I11" s="176"/>
      <c r="J11" s="185"/>
      <c r="K11" s="63"/>
      <c r="L11" s="203"/>
      <c r="M11" s="187" t="s">
        <v>24</v>
      </c>
      <c r="N11" s="198">
        <f>HV!AC21</f>
        <v>209.83333333333334</v>
      </c>
      <c r="O11" s="200" t="str">
        <f>HV!AA18</f>
        <v>CUMPLE</v>
      </c>
      <c r="P11" s="190" t="str">
        <f>HV!Z18</f>
        <v>Cumple con el perfil y la experiencia relacionada de 50 meses requerida en el literal a) "RELACIÓN DE EQUIPO HUMANO MÍNIMO HABILITANTE (CUMPLE / NO CUMPLE)", del pliego de condiciones.</v>
      </c>
      <c r="Q11" s="159"/>
    </row>
    <row r="12" spans="1:17" ht="44.1" customHeight="1" x14ac:dyDescent="0.25">
      <c r="A12" s="180"/>
      <c r="B12" s="183"/>
      <c r="C12" s="186"/>
      <c r="D12" s="189"/>
      <c r="E12" s="165"/>
      <c r="F12" s="10"/>
      <c r="G12" s="10"/>
      <c r="H12" s="6"/>
      <c r="I12" s="177"/>
      <c r="J12" s="186"/>
      <c r="K12" s="63"/>
      <c r="L12" s="204"/>
      <c r="M12" s="189"/>
      <c r="N12" s="199"/>
      <c r="O12" s="201"/>
      <c r="P12" s="191"/>
      <c r="Q12" s="159"/>
    </row>
    <row r="13" spans="1:17" ht="9.75" customHeight="1" x14ac:dyDescent="0.25">
      <c r="A13" s="58"/>
      <c r="B13" s="7"/>
      <c r="C13" s="58"/>
      <c r="D13" s="7"/>
      <c r="E13" s="58"/>
      <c r="F13" s="7"/>
      <c r="G13" s="57"/>
      <c r="H13" s="58"/>
      <c r="I13" s="58"/>
      <c r="J13" s="58"/>
      <c r="K13" s="58"/>
      <c r="L13" s="7"/>
      <c r="M13" s="7"/>
      <c r="N13" s="58"/>
      <c r="O13" s="57"/>
      <c r="P13" s="7"/>
      <c r="Q13" s="155"/>
    </row>
    <row r="14" spans="1:17" ht="50.1" customHeight="1" x14ac:dyDescent="0.25">
      <c r="A14" s="178">
        <v>2</v>
      </c>
      <c r="B14" s="181" t="s">
        <v>138</v>
      </c>
      <c r="C14" s="184" t="s">
        <v>17</v>
      </c>
      <c r="D14" s="187" t="s">
        <v>161</v>
      </c>
      <c r="E14" s="163" t="s">
        <v>18</v>
      </c>
      <c r="F14" s="103" t="s">
        <v>109</v>
      </c>
      <c r="G14" s="104" t="s">
        <v>110</v>
      </c>
      <c r="H14" s="104">
        <v>424.28</v>
      </c>
      <c r="I14" s="175">
        <f>SUM(H14:H22)</f>
        <v>594.7299999999999</v>
      </c>
      <c r="J14" s="210" t="s">
        <v>17</v>
      </c>
      <c r="K14" s="129" t="s">
        <v>117</v>
      </c>
      <c r="L14" s="187" t="str">
        <f>HV!E24</f>
        <v>Claudia Lucía Velandia Gómez</v>
      </c>
      <c r="M14" s="187" t="s">
        <v>20</v>
      </c>
      <c r="N14" s="206">
        <f>HV!AC27</f>
        <v>262.3</v>
      </c>
      <c r="O14" s="207" t="str">
        <f>HV!AA24</f>
        <v>CUMPLE</v>
      </c>
      <c r="P14" s="208" t="str">
        <f>HV!Z24</f>
        <v>Cumple con el perfil y la experiencia profesional de 90 meses requerida en el literal a) "RELACIÓN DE EQUIPO HUMANO MÍNIMO HABILITANTE (CUMPLE / NO CUMPLE)", del pliego de condiciones.</v>
      </c>
      <c r="Q14" s="160" t="s">
        <v>17</v>
      </c>
    </row>
    <row r="15" spans="1:17" ht="165.75" customHeight="1" x14ac:dyDescent="0.25">
      <c r="A15" s="179"/>
      <c r="B15" s="182"/>
      <c r="C15" s="185"/>
      <c r="D15" s="188"/>
      <c r="E15" s="164"/>
      <c r="F15" s="105" t="s">
        <v>111</v>
      </c>
      <c r="G15" s="106" t="s">
        <v>112</v>
      </c>
      <c r="H15" s="106">
        <v>125.65</v>
      </c>
      <c r="I15" s="176"/>
      <c r="J15" s="211"/>
      <c r="K15" s="129" t="s">
        <v>118</v>
      </c>
      <c r="L15" s="188"/>
      <c r="M15" s="189"/>
      <c r="N15" s="206"/>
      <c r="O15" s="207"/>
      <c r="P15" s="209"/>
      <c r="Q15" s="161"/>
    </row>
    <row r="16" spans="1:17" ht="50.1" customHeight="1" x14ac:dyDescent="0.25">
      <c r="A16" s="179"/>
      <c r="B16" s="182"/>
      <c r="C16" s="185"/>
      <c r="D16" s="188"/>
      <c r="E16" s="164"/>
      <c r="F16" s="105" t="s">
        <v>113</v>
      </c>
      <c r="G16" s="106" t="s">
        <v>114</v>
      </c>
      <c r="H16" s="106">
        <v>44.8</v>
      </c>
      <c r="I16" s="176"/>
      <c r="J16" s="211"/>
      <c r="K16" s="129" t="s">
        <v>119</v>
      </c>
      <c r="L16" s="188"/>
      <c r="M16" s="187" t="s">
        <v>21</v>
      </c>
      <c r="N16" s="206">
        <f>HV!AC32</f>
        <v>100.36666666666666</v>
      </c>
      <c r="O16" s="207" t="str">
        <f>HV!AA29</f>
        <v>CUMPLE</v>
      </c>
      <c r="P16" s="187" t="str">
        <f>HV!Z29</f>
        <v>Cumple con el perfil y la experiencia relacionada de 60 meses requerida en el literal a) "RELACIÓN DE EQUIPO HUMANO MÍNIMO HABILITANTE (CUMPLE / NO CUMPLE)", del pliego de condiciones.</v>
      </c>
      <c r="Q16" s="161"/>
    </row>
    <row r="17" spans="1:17" ht="161.25" customHeight="1" x14ac:dyDescent="0.25">
      <c r="A17" s="179"/>
      <c r="B17" s="182"/>
      <c r="C17" s="185"/>
      <c r="D17" s="188"/>
      <c r="E17" s="164"/>
      <c r="F17" s="105" t="s">
        <v>115</v>
      </c>
      <c r="G17" s="106" t="s">
        <v>116</v>
      </c>
      <c r="H17" s="106"/>
      <c r="I17" s="176"/>
      <c r="J17" s="211"/>
      <c r="K17" s="154" t="s">
        <v>139</v>
      </c>
      <c r="L17" s="189"/>
      <c r="M17" s="189"/>
      <c r="N17" s="206"/>
      <c r="O17" s="207"/>
      <c r="P17" s="189"/>
      <c r="Q17" s="161"/>
    </row>
    <row r="18" spans="1:17" ht="215.25" customHeight="1" x14ac:dyDescent="0.25">
      <c r="A18" s="179"/>
      <c r="B18" s="182"/>
      <c r="C18" s="185"/>
      <c r="D18" s="188"/>
      <c r="E18" s="164"/>
      <c r="F18" s="10"/>
      <c r="G18" s="10"/>
      <c r="H18" s="6"/>
      <c r="I18" s="176"/>
      <c r="J18" s="211"/>
      <c r="K18" s="63"/>
      <c r="L18" s="4" t="s">
        <v>22</v>
      </c>
      <c r="M18" s="4"/>
      <c r="N18" s="4" t="s">
        <v>15</v>
      </c>
      <c r="O18" s="4" t="s">
        <v>6</v>
      </c>
      <c r="P18" s="4" t="s">
        <v>26</v>
      </c>
      <c r="Q18" s="161"/>
    </row>
    <row r="19" spans="1:17" ht="50.1" customHeight="1" x14ac:dyDescent="0.25">
      <c r="A19" s="179"/>
      <c r="B19" s="182"/>
      <c r="C19" s="185"/>
      <c r="D19" s="188"/>
      <c r="E19" s="164"/>
      <c r="F19" s="10"/>
      <c r="G19" s="10"/>
      <c r="H19" s="6"/>
      <c r="I19" s="176"/>
      <c r="J19" s="211"/>
      <c r="K19" s="63"/>
      <c r="L19" s="202" t="str">
        <f>HV!E35</f>
        <v xml:space="preserve"> Carolina Marcela Salazar Ceballos</v>
      </c>
      <c r="M19" s="187" t="s">
        <v>23</v>
      </c>
      <c r="N19" s="198">
        <f>HV!AC38</f>
        <v>117.73333333333333</v>
      </c>
      <c r="O19" s="207" t="str">
        <f>HV!AA35</f>
        <v>CUMPLE</v>
      </c>
      <c r="P19" s="205" t="str">
        <f>HV!Z35</f>
        <v>Cumple con el perfil y la experiencia profesional de 70 meses requerida en el literal a) "RELACIÓN DE EQUIPO HUMANO MÍNIMO HABILITANTE (CUMPLE / NO CUMPLE)", del pliego de condiciones.</v>
      </c>
      <c r="Q19" s="161"/>
    </row>
    <row r="20" spans="1:17" ht="50.1" customHeight="1" x14ac:dyDescent="0.25">
      <c r="A20" s="179"/>
      <c r="B20" s="182"/>
      <c r="C20" s="185"/>
      <c r="D20" s="188"/>
      <c r="E20" s="164"/>
      <c r="F20" s="10"/>
      <c r="G20" s="10"/>
      <c r="H20" s="6"/>
      <c r="I20" s="176"/>
      <c r="J20" s="211"/>
      <c r="K20" s="63"/>
      <c r="L20" s="203"/>
      <c r="M20" s="189"/>
      <c r="N20" s="199"/>
      <c r="O20" s="207"/>
      <c r="P20" s="205"/>
      <c r="Q20" s="161"/>
    </row>
    <row r="21" spans="1:17" ht="50.1" customHeight="1" x14ac:dyDescent="0.25">
      <c r="A21" s="179"/>
      <c r="B21" s="182"/>
      <c r="C21" s="185"/>
      <c r="D21" s="188"/>
      <c r="E21" s="164"/>
      <c r="F21" s="10"/>
      <c r="G21" s="10"/>
      <c r="H21" s="6"/>
      <c r="I21" s="176"/>
      <c r="J21" s="211"/>
      <c r="K21" s="63"/>
      <c r="L21" s="203"/>
      <c r="M21" s="187" t="s">
        <v>24</v>
      </c>
      <c r="N21" s="198">
        <f>HV!AC43</f>
        <v>52.9</v>
      </c>
      <c r="O21" s="207" t="str">
        <f>HV!AA35</f>
        <v>CUMPLE</v>
      </c>
      <c r="P21" s="205" t="str">
        <f>HV!Z40</f>
        <v>Cumple con el perfil y la experiencia relacionada de 50 meses requerida en el literal a) "RELACIÓN DE EQUIPO HUMANO MÍNIMO HABILITANTE (CUMPLE / NO CUMPLE)", del pliego de condiciones.</v>
      </c>
      <c r="Q21" s="161"/>
    </row>
    <row r="22" spans="1:17" ht="50.1" customHeight="1" x14ac:dyDescent="0.25">
      <c r="A22" s="180"/>
      <c r="B22" s="183"/>
      <c r="C22" s="186"/>
      <c r="D22" s="189"/>
      <c r="E22" s="165"/>
      <c r="F22" s="10"/>
      <c r="G22" s="10"/>
      <c r="H22" s="6"/>
      <c r="I22" s="177"/>
      <c r="J22" s="212"/>
      <c r="K22" s="63"/>
      <c r="L22" s="204"/>
      <c r="M22" s="189"/>
      <c r="N22" s="199"/>
      <c r="O22" s="207"/>
      <c r="P22" s="205"/>
      <c r="Q22" s="162"/>
    </row>
    <row r="23" spans="1:17" ht="9.75" customHeight="1" x14ac:dyDescent="0.25">
      <c r="A23" s="58"/>
      <c r="B23" s="7"/>
      <c r="C23" s="58"/>
      <c r="D23" s="7"/>
      <c r="E23" s="58"/>
      <c r="F23" s="7"/>
      <c r="G23" s="59"/>
      <c r="H23" s="58"/>
      <c r="I23" s="58"/>
      <c r="J23" s="58"/>
      <c r="K23" s="58"/>
      <c r="L23" s="7"/>
      <c r="M23" s="7"/>
      <c r="N23" s="58"/>
      <c r="O23" s="57"/>
      <c r="P23" s="7"/>
      <c r="Q23" s="155"/>
    </row>
  </sheetData>
  <mergeCells count="60">
    <mergeCell ref="P14:P15"/>
    <mergeCell ref="J14:J22"/>
    <mergeCell ref="L14:L17"/>
    <mergeCell ref="M14:M15"/>
    <mergeCell ref="N14:N15"/>
    <mergeCell ref="O14:O15"/>
    <mergeCell ref="N21:N22"/>
    <mergeCell ref="O21:O22"/>
    <mergeCell ref="L19:L22"/>
    <mergeCell ref="M19:M20"/>
    <mergeCell ref="N19:N20"/>
    <mergeCell ref="O19:O20"/>
    <mergeCell ref="M21:M22"/>
    <mergeCell ref="P16:P17"/>
    <mergeCell ref="P19:P20"/>
    <mergeCell ref="P21:P22"/>
    <mergeCell ref="M16:M17"/>
    <mergeCell ref="N16:N17"/>
    <mergeCell ref="O16:O17"/>
    <mergeCell ref="P4:P5"/>
    <mergeCell ref="N11:N12"/>
    <mergeCell ref="O11:O12"/>
    <mergeCell ref="P11:P12"/>
    <mergeCell ref="J4:J12"/>
    <mergeCell ref="L4:L7"/>
    <mergeCell ref="M4:M5"/>
    <mergeCell ref="N4:N5"/>
    <mergeCell ref="O4:O5"/>
    <mergeCell ref="M11:M12"/>
    <mergeCell ref="L9:L12"/>
    <mergeCell ref="M9:M10"/>
    <mergeCell ref="N9:N10"/>
    <mergeCell ref="O9:O10"/>
    <mergeCell ref="P9:P10"/>
    <mergeCell ref="M6:M7"/>
    <mergeCell ref="N6:N7"/>
    <mergeCell ref="O6:O7"/>
    <mergeCell ref="P6:P7"/>
    <mergeCell ref="I14:I22"/>
    <mergeCell ref="A4:A12"/>
    <mergeCell ref="B4:B12"/>
    <mergeCell ref="C4:C12"/>
    <mergeCell ref="D4:D12"/>
    <mergeCell ref="E4:E12"/>
    <mergeCell ref="Q2:Q3"/>
    <mergeCell ref="C1:Q1"/>
    <mergeCell ref="Q4:Q12"/>
    <mergeCell ref="Q14:Q22"/>
    <mergeCell ref="A1:A3"/>
    <mergeCell ref="B1:B3"/>
    <mergeCell ref="C2:E2"/>
    <mergeCell ref="F2:K2"/>
    <mergeCell ref="L2:P2"/>
    <mergeCell ref="M3:N3"/>
    <mergeCell ref="I4:I12"/>
    <mergeCell ref="A14:A22"/>
    <mergeCell ref="B14:B22"/>
    <mergeCell ref="C14:C22"/>
    <mergeCell ref="D14:D22"/>
    <mergeCell ref="E14:E22"/>
  </mergeCells>
  <dataValidations count="1">
    <dataValidation type="list" allowBlank="1" showInputMessage="1" showErrorMessage="1" sqref="C4 J4 C14 J14">
      <formula1>"CUMPLE, NO CUMPLE"</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45"/>
  <sheetViews>
    <sheetView zoomScale="70" zoomScaleNormal="70" zoomScalePageLayoutView="80" workbookViewId="0">
      <pane xSplit="2" ySplit="1" topLeftCell="D34" activePane="bottomRight" state="frozen"/>
      <selection pane="topRight" activeCell="C1" sqref="C1"/>
      <selection pane="bottomLeft" activeCell="A2" sqref="A2"/>
      <selection pane="bottomRight" activeCell="I47" sqref="I47"/>
    </sheetView>
  </sheetViews>
  <sheetFormatPr defaultColWidth="10.85546875" defaultRowHeight="15" x14ac:dyDescent="0.25"/>
  <cols>
    <col min="1" max="1" width="8.7109375" style="5" customWidth="1"/>
    <col min="2" max="2" width="46.42578125" style="43" customWidth="1"/>
    <col min="3" max="3" width="78.42578125" style="43" customWidth="1"/>
    <col min="4" max="4" width="51.140625" style="43" customWidth="1"/>
    <col min="5" max="6" width="18.28515625" style="5" customWidth="1"/>
    <col min="7" max="7" width="22.28515625" style="5" customWidth="1"/>
    <col min="8" max="8" width="27.7109375" style="5" customWidth="1"/>
    <col min="9" max="9" width="31.85546875" style="5" customWidth="1"/>
    <col min="10" max="10" width="20.7109375" style="5" customWidth="1"/>
    <col min="11" max="11" width="21.5703125" style="5" customWidth="1"/>
    <col min="12" max="12" width="18" style="5" customWidth="1"/>
    <col min="13" max="13" width="20" style="5" customWidth="1"/>
    <col min="14" max="14" width="12.85546875" style="5" customWidth="1"/>
    <col min="15" max="15" width="16.140625" style="5" bestFit="1" customWidth="1"/>
    <col min="16" max="16" width="12.85546875" style="5" customWidth="1"/>
    <col min="17" max="17" width="17.7109375" style="5" customWidth="1"/>
    <col min="18" max="18" width="12.85546875" style="5" customWidth="1"/>
    <col min="19" max="19" width="17.7109375" style="5" customWidth="1"/>
    <col min="20" max="20" width="12.5703125" style="5" customWidth="1"/>
    <col min="21" max="21" width="17.7109375" style="5" customWidth="1"/>
    <col min="22" max="22" width="11.5703125" style="5" customWidth="1"/>
    <col min="23" max="23" width="17.7109375" style="5" customWidth="1"/>
    <col min="24" max="24" width="12" style="5" customWidth="1"/>
    <col min="25" max="25" width="17.7109375" style="5" customWidth="1"/>
    <col min="26" max="26" width="89.85546875" style="5" customWidth="1"/>
    <col min="27" max="27" width="13.28515625" style="5" customWidth="1"/>
    <col min="28" max="29" width="15.140625" style="5" customWidth="1"/>
    <col min="30" max="30" width="15.7109375" style="5" customWidth="1"/>
    <col min="31" max="31" width="13" style="5" customWidth="1"/>
    <col min="32" max="32" width="13.85546875" style="5" customWidth="1"/>
    <col min="33" max="16384" width="10.85546875" style="5"/>
  </cols>
  <sheetData>
    <row r="1" spans="1:30" ht="80.25" customHeight="1" thickBot="1" x14ac:dyDescent="0.3">
      <c r="A1" s="11" t="s">
        <v>0</v>
      </c>
      <c r="B1" s="12" t="s">
        <v>1</v>
      </c>
      <c r="C1" s="13" t="s">
        <v>33</v>
      </c>
      <c r="D1" s="14" t="s">
        <v>49</v>
      </c>
      <c r="E1" s="14" t="s">
        <v>34</v>
      </c>
      <c r="F1" s="14" t="s">
        <v>35</v>
      </c>
      <c r="G1" s="14" t="s">
        <v>36</v>
      </c>
      <c r="H1" s="14" t="s">
        <v>37</v>
      </c>
      <c r="I1" s="15" t="s">
        <v>38</v>
      </c>
      <c r="J1" s="16" t="s">
        <v>72</v>
      </c>
      <c r="K1" s="17" t="s">
        <v>39</v>
      </c>
      <c r="L1" s="316" t="s">
        <v>40</v>
      </c>
      <c r="M1" s="317"/>
      <c r="N1" s="316" t="s">
        <v>41</v>
      </c>
      <c r="O1" s="317"/>
      <c r="P1" s="316" t="s">
        <v>42</v>
      </c>
      <c r="Q1" s="318"/>
      <c r="R1" s="311" t="s">
        <v>121</v>
      </c>
      <c r="S1" s="311"/>
      <c r="T1" s="311" t="s">
        <v>122</v>
      </c>
      <c r="U1" s="311"/>
      <c r="V1" s="311" t="s">
        <v>123</v>
      </c>
      <c r="W1" s="311"/>
      <c r="X1" s="311" t="s">
        <v>124</v>
      </c>
      <c r="Y1" s="311"/>
      <c r="Z1" s="18" t="s">
        <v>43</v>
      </c>
      <c r="AA1" s="19" t="s">
        <v>44</v>
      </c>
      <c r="AB1" s="20"/>
      <c r="AC1" s="20">
        <v>30</v>
      </c>
      <c r="AD1" s="20"/>
    </row>
    <row r="2" spans="1:30" ht="30" customHeight="1" x14ac:dyDescent="0.25">
      <c r="A2" s="267">
        <v>1</v>
      </c>
      <c r="B2" s="265" t="str">
        <f>HABILITANTES!B4</f>
        <v>KMP CONSULTING S.A.S.</v>
      </c>
      <c r="C2" s="244" t="s">
        <v>51</v>
      </c>
      <c r="D2" s="224" t="s">
        <v>50</v>
      </c>
      <c r="E2" s="269" t="s">
        <v>31</v>
      </c>
      <c r="F2" s="269" t="s">
        <v>54</v>
      </c>
      <c r="G2" s="269" t="s">
        <v>55</v>
      </c>
      <c r="H2" s="307" t="s">
        <v>57</v>
      </c>
      <c r="I2" s="271" t="s">
        <v>17</v>
      </c>
      <c r="J2" s="278" t="s">
        <v>17</v>
      </c>
      <c r="K2" s="280" t="s">
        <v>58</v>
      </c>
      <c r="L2" s="21" t="s">
        <v>45</v>
      </c>
      <c r="M2" s="22">
        <v>18</v>
      </c>
      <c r="N2" s="23" t="s">
        <v>45</v>
      </c>
      <c r="O2" s="22">
        <v>19</v>
      </c>
      <c r="P2" s="23" t="s">
        <v>45</v>
      </c>
      <c r="Q2" s="110"/>
      <c r="R2" s="21" t="s">
        <v>45</v>
      </c>
      <c r="S2" s="117"/>
      <c r="T2" s="21" t="s">
        <v>45</v>
      </c>
      <c r="U2" s="117"/>
      <c r="V2" s="21" t="s">
        <v>45</v>
      </c>
      <c r="W2" s="117"/>
      <c r="X2" s="21" t="s">
        <v>45</v>
      </c>
      <c r="Y2" s="118"/>
      <c r="Z2" s="241" t="s">
        <v>69</v>
      </c>
      <c r="AA2" s="227" t="str">
        <f>IF(AND(AB5&gt;=2700),"CUMPLE","NO CUMPLE")</f>
        <v>CUMPLE</v>
      </c>
      <c r="AB2" s="231" t="s">
        <v>46</v>
      </c>
      <c r="AC2" s="224" t="s">
        <v>47</v>
      </c>
      <c r="AD2" s="227" t="s">
        <v>48</v>
      </c>
    </row>
    <row r="3" spans="1:30" ht="30" customHeight="1" x14ac:dyDescent="0.25">
      <c r="A3" s="268"/>
      <c r="B3" s="266"/>
      <c r="C3" s="188"/>
      <c r="D3" s="188"/>
      <c r="E3" s="270"/>
      <c r="F3" s="270"/>
      <c r="G3" s="270"/>
      <c r="H3" s="308"/>
      <c r="I3" s="272"/>
      <c r="J3" s="279"/>
      <c r="K3" s="281"/>
      <c r="L3" s="24">
        <v>38504</v>
      </c>
      <c r="M3" s="25">
        <v>40362</v>
      </c>
      <c r="N3" s="24">
        <v>40760</v>
      </c>
      <c r="O3" s="25">
        <v>42993</v>
      </c>
      <c r="P3" s="25"/>
      <c r="Q3" s="111"/>
      <c r="R3" s="24"/>
      <c r="S3" s="24"/>
      <c r="T3" s="24"/>
      <c r="U3" s="24"/>
      <c r="V3" s="24"/>
      <c r="W3" s="24"/>
      <c r="X3" s="24"/>
      <c r="Y3" s="119"/>
      <c r="Z3" s="242"/>
      <c r="AA3" s="229"/>
      <c r="AB3" s="232"/>
      <c r="AC3" s="225"/>
      <c r="AD3" s="228"/>
    </row>
    <row r="4" spans="1:30" ht="30" customHeight="1" x14ac:dyDescent="0.25">
      <c r="A4" s="268"/>
      <c r="B4" s="266"/>
      <c r="C4" s="188"/>
      <c r="D4" s="188"/>
      <c r="E4" s="270"/>
      <c r="F4" s="270"/>
      <c r="G4" s="270"/>
      <c r="H4" s="308"/>
      <c r="I4" s="272"/>
      <c r="J4" s="279"/>
      <c r="K4" s="281"/>
      <c r="L4" s="213">
        <f>IF(L3="","",(M3-L3)+1)</f>
        <v>1859</v>
      </c>
      <c r="M4" s="234"/>
      <c r="N4" s="213">
        <f t="shared" ref="N4" si="0">IF(N3="","",(O3-N3)+1)</f>
        <v>2234</v>
      </c>
      <c r="O4" s="234"/>
      <c r="P4" s="213" t="str">
        <f>IF(P3="","",(Q3-P3)+1)</f>
        <v/>
      </c>
      <c r="Q4" s="214"/>
      <c r="R4" s="213"/>
      <c r="S4" s="234"/>
      <c r="T4" s="213"/>
      <c r="U4" s="234"/>
      <c r="V4" s="213"/>
      <c r="W4" s="234"/>
      <c r="X4" s="213"/>
      <c r="Y4" s="312"/>
      <c r="Z4" s="242"/>
      <c r="AA4" s="229"/>
      <c r="AB4" s="233"/>
      <c r="AC4" s="226"/>
      <c r="AD4" s="26">
        <f>90*30</f>
        <v>2700</v>
      </c>
    </row>
    <row r="5" spans="1:30" ht="30" customHeight="1" x14ac:dyDescent="0.25">
      <c r="A5" s="268"/>
      <c r="B5" s="266"/>
      <c r="C5" s="188"/>
      <c r="D5" s="188"/>
      <c r="E5" s="270"/>
      <c r="F5" s="270"/>
      <c r="G5" s="270"/>
      <c r="H5" s="308"/>
      <c r="I5" s="272"/>
      <c r="J5" s="279"/>
      <c r="K5" s="281"/>
      <c r="L5" s="252" t="s">
        <v>65</v>
      </c>
      <c r="M5" s="300"/>
      <c r="N5" s="303" t="s">
        <v>66</v>
      </c>
      <c r="O5" s="300"/>
      <c r="P5" s="303"/>
      <c r="Q5" s="305"/>
      <c r="R5" s="252"/>
      <c r="S5" s="253"/>
      <c r="T5" s="252"/>
      <c r="U5" s="253"/>
      <c r="V5" s="252"/>
      <c r="W5" s="253"/>
      <c r="X5" s="252"/>
      <c r="Y5" s="260"/>
      <c r="Z5" s="242"/>
      <c r="AA5" s="229"/>
      <c r="AB5" s="218">
        <f>SUM(L4:Q4)</f>
        <v>4093</v>
      </c>
      <c r="AC5" s="220">
        <f>AB5/$AC$1</f>
        <v>136.43333333333334</v>
      </c>
      <c r="AD5" s="222">
        <f>AB5-AD4</f>
        <v>1393</v>
      </c>
    </row>
    <row r="6" spans="1:30" ht="30" customHeight="1" thickBot="1" x14ac:dyDescent="0.3">
      <c r="A6" s="268"/>
      <c r="B6" s="266"/>
      <c r="C6" s="188"/>
      <c r="D6" s="188"/>
      <c r="E6" s="270"/>
      <c r="F6" s="270"/>
      <c r="G6" s="270"/>
      <c r="H6" s="308"/>
      <c r="I6" s="272"/>
      <c r="J6" s="279"/>
      <c r="K6" s="282"/>
      <c r="L6" s="254"/>
      <c r="M6" s="302"/>
      <c r="N6" s="304"/>
      <c r="O6" s="302"/>
      <c r="P6" s="304"/>
      <c r="Q6" s="306"/>
      <c r="R6" s="254"/>
      <c r="S6" s="255"/>
      <c r="T6" s="254"/>
      <c r="U6" s="255"/>
      <c r="V6" s="254"/>
      <c r="W6" s="255"/>
      <c r="X6" s="254"/>
      <c r="Y6" s="261"/>
      <c r="Z6" s="243"/>
      <c r="AA6" s="230"/>
      <c r="AB6" s="219"/>
      <c r="AC6" s="221"/>
      <c r="AD6" s="223"/>
    </row>
    <row r="7" spans="1:30" ht="30" customHeight="1" x14ac:dyDescent="0.25">
      <c r="A7" s="268"/>
      <c r="B7" s="266"/>
      <c r="C7" s="188"/>
      <c r="D7" s="244" t="s">
        <v>64</v>
      </c>
      <c r="E7" s="270"/>
      <c r="F7" s="270"/>
      <c r="G7" s="270"/>
      <c r="H7" s="308"/>
      <c r="I7" s="273"/>
      <c r="J7" s="215" t="s">
        <v>17</v>
      </c>
      <c r="K7" s="262" t="s">
        <v>59</v>
      </c>
      <c r="L7" s="21" t="s">
        <v>45</v>
      </c>
      <c r="M7" s="22">
        <v>18</v>
      </c>
      <c r="N7" s="23" t="s">
        <v>45</v>
      </c>
      <c r="O7" s="22"/>
      <c r="P7" s="23" t="s">
        <v>45</v>
      </c>
      <c r="Q7" s="110"/>
      <c r="R7" s="117"/>
      <c r="S7" s="117"/>
      <c r="T7" s="117"/>
      <c r="U7" s="117"/>
      <c r="V7" s="117"/>
      <c r="W7" s="117"/>
      <c r="X7" s="117"/>
      <c r="Y7" s="118"/>
      <c r="Z7" s="241" t="s">
        <v>153</v>
      </c>
      <c r="AA7" s="227" t="str">
        <f>IF(AND(AB10&gt;=1800),"CUMPLE","NO CUMPLE")</f>
        <v>CUMPLE</v>
      </c>
      <c r="AB7" s="231" t="s">
        <v>46</v>
      </c>
      <c r="AC7" s="224" t="s">
        <v>47</v>
      </c>
      <c r="AD7" s="227" t="s">
        <v>48</v>
      </c>
    </row>
    <row r="8" spans="1:30" ht="30" customHeight="1" x14ac:dyDescent="0.25">
      <c r="A8" s="268"/>
      <c r="B8" s="266"/>
      <c r="C8" s="188"/>
      <c r="D8" s="188"/>
      <c r="E8" s="270"/>
      <c r="F8" s="270"/>
      <c r="G8" s="270"/>
      <c r="H8" s="308"/>
      <c r="I8" s="273"/>
      <c r="J8" s="216"/>
      <c r="K8" s="263"/>
      <c r="L8" s="24">
        <v>38504</v>
      </c>
      <c r="M8" s="25">
        <v>40362</v>
      </c>
      <c r="N8" s="25"/>
      <c r="O8" s="25"/>
      <c r="P8" s="25"/>
      <c r="Q8" s="111"/>
      <c r="R8" s="24"/>
      <c r="S8" s="24"/>
      <c r="T8" s="24"/>
      <c r="U8" s="24"/>
      <c r="V8" s="24"/>
      <c r="W8" s="24"/>
      <c r="X8" s="24"/>
      <c r="Y8" s="119"/>
      <c r="Z8" s="242"/>
      <c r="AA8" s="229"/>
      <c r="AB8" s="232"/>
      <c r="AC8" s="225"/>
      <c r="AD8" s="228"/>
    </row>
    <row r="9" spans="1:30" ht="30" customHeight="1" x14ac:dyDescent="0.25">
      <c r="A9" s="268"/>
      <c r="B9" s="266"/>
      <c r="C9" s="188"/>
      <c r="D9" s="188"/>
      <c r="E9" s="270"/>
      <c r="F9" s="270"/>
      <c r="G9" s="270"/>
      <c r="H9" s="308"/>
      <c r="I9" s="273"/>
      <c r="J9" s="216"/>
      <c r="K9" s="263"/>
      <c r="L9" s="213">
        <f>IF(L8="","",(M8-L8)+1)</f>
        <v>1859</v>
      </c>
      <c r="M9" s="234"/>
      <c r="N9" s="213" t="str">
        <f t="shared" ref="N9" si="1">IF(N8="","",(O8-N8)+1)</f>
        <v/>
      </c>
      <c r="O9" s="234"/>
      <c r="P9" s="213" t="str">
        <f>IF(P8="","",(Q8-P8)+1)</f>
        <v/>
      </c>
      <c r="Q9" s="214"/>
      <c r="R9" s="213" t="str">
        <f>IF(R8="","",(S8-R8)+1)</f>
        <v/>
      </c>
      <c r="S9" s="214"/>
      <c r="T9" s="213" t="str">
        <f>IF(T8="","",(U8-T8)+1)</f>
        <v/>
      </c>
      <c r="U9" s="214"/>
      <c r="V9" s="213" t="str">
        <f>IF(V8="","",(W8-V8)+1)</f>
        <v/>
      </c>
      <c r="W9" s="214"/>
      <c r="X9" s="213" t="str">
        <f>IF(X8="","",(Y8-X8)+1)</f>
        <v/>
      </c>
      <c r="Y9" s="214"/>
      <c r="Z9" s="242"/>
      <c r="AA9" s="229"/>
      <c r="AB9" s="233"/>
      <c r="AC9" s="226"/>
      <c r="AD9" s="26">
        <f>60*30</f>
        <v>1800</v>
      </c>
    </row>
    <row r="10" spans="1:30" ht="30" customHeight="1" x14ac:dyDescent="0.25">
      <c r="A10" s="268"/>
      <c r="B10" s="266"/>
      <c r="C10" s="188"/>
      <c r="D10" s="188"/>
      <c r="E10" s="270"/>
      <c r="F10" s="270"/>
      <c r="G10" s="270"/>
      <c r="H10" s="308"/>
      <c r="I10" s="273"/>
      <c r="J10" s="216"/>
      <c r="K10" s="263"/>
      <c r="L10" s="252" t="s">
        <v>65</v>
      </c>
      <c r="M10" s="300"/>
      <c r="N10" s="303"/>
      <c r="O10" s="300"/>
      <c r="P10" s="303"/>
      <c r="Q10" s="305"/>
      <c r="R10" s="252"/>
      <c r="S10" s="253"/>
      <c r="T10" s="252"/>
      <c r="U10" s="253"/>
      <c r="V10" s="252"/>
      <c r="W10" s="253"/>
      <c r="X10" s="252"/>
      <c r="Y10" s="260"/>
      <c r="Z10" s="242"/>
      <c r="AA10" s="229"/>
      <c r="AB10" s="218">
        <f>SUM(L9:Q9)</f>
        <v>1859</v>
      </c>
      <c r="AC10" s="220">
        <f>AB10/$AC$1</f>
        <v>61.966666666666669</v>
      </c>
      <c r="AD10" s="222">
        <f>AB10-AD9</f>
        <v>59</v>
      </c>
    </row>
    <row r="11" spans="1:30" ht="30" customHeight="1" thickBot="1" x14ac:dyDescent="0.3">
      <c r="A11" s="268"/>
      <c r="B11" s="266"/>
      <c r="C11" s="188"/>
      <c r="D11" s="188"/>
      <c r="E11" s="270"/>
      <c r="F11" s="270"/>
      <c r="G11" s="270"/>
      <c r="H11" s="308"/>
      <c r="I11" s="273"/>
      <c r="J11" s="217"/>
      <c r="K11" s="264"/>
      <c r="L11" s="254"/>
      <c r="M11" s="302"/>
      <c r="N11" s="304"/>
      <c r="O11" s="302"/>
      <c r="P11" s="304"/>
      <c r="Q11" s="306"/>
      <c r="R11" s="254"/>
      <c r="S11" s="255"/>
      <c r="T11" s="254"/>
      <c r="U11" s="255"/>
      <c r="V11" s="254"/>
      <c r="W11" s="255"/>
      <c r="X11" s="254"/>
      <c r="Y11" s="261"/>
      <c r="Z11" s="243"/>
      <c r="AA11" s="230"/>
      <c r="AB11" s="219"/>
      <c r="AC11" s="221"/>
      <c r="AD11" s="223"/>
    </row>
    <row r="12" spans="1:30" s="55" customFormat="1" ht="7.5" customHeight="1" thickBot="1" x14ac:dyDescent="0.3">
      <c r="A12" s="268"/>
      <c r="B12" s="266"/>
      <c r="C12" s="44"/>
      <c r="D12" s="44"/>
      <c r="E12" s="45"/>
      <c r="F12" s="45"/>
      <c r="G12" s="45"/>
      <c r="H12" s="56"/>
      <c r="I12" s="46"/>
      <c r="J12" s="51"/>
      <c r="K12" s="47"/>
      <c r="L12" s="48"/>
      <c r="M12" s="49"/>
      <c r="N12" s="49"/>
      <c r="O12" s="50"/>
      <c r="P12" s="48"/>
      <c r="Q12" s="107"/>
      <c r="R12" s="120"/>
      <c r="S12" s="120"/>
      <c r="T12" s="120"/>
      <c r="U12" s="120"/>
      <c r="V12" s="120"/>
      <c r="W12" s="120"/>
      <c r="X12" s="120"/>
      <c r="Y12" s="120"/>
      <c r="Z12" s="115"/>
      <c r="AA12" s="51"/>
      <c r="AB12" s="52"/>
      <c r="AC12" s="53"/>
      <c r="AD12" s="54"/>
    </row>
    <row r="13" spans="1:30" ht="30" customHeight="1" x14ac:dyDescent="0.25">
      <c r="A13" s="268"/>
      <c r="B13" s="266"/>
      <c r="C13" s="244" t="s">
        <v>140</v>
      </c>
      <c r="D13" s="224" t="s">
        <v>60</v>
      </c>
      <c r="E13" s="269" t="s">
        <v>32</v>
      </c>
      <c r="F13" s="269" t="s">
        <v>52</v>
      </c>
      <c r="G13" s="269" t="s">
        <v>53</v>
      </c>
      <c r="H13" s="307" t="s">
        <v>56</v>
      </c>
      <c r="I13" s="274" t="s">
        <v>17</v>
      </c>
      <c r="J13" s="215" t="s">
        <v>17</v>
      </c>
      <c r="K13" s="262" t="s">
        <v>62</v>
      </c>
      <c r="L13" s="21" t="s">
        <v>45</v>
      </c>
      <c r="M13" s="22" t="s">
        <v>68</v>
      </c>
      <c r="N13" s="23" t="s">
        <v>45</v>
      </c>
      <c r="O13" s="22"/>
      <c r="P13" s="23" t="s">
        <v>45</v>
      </c>
      <c r="Q13" s="110"/>
      <c r="R13" s="117"/>
      <c r="S13" s="117"/>
      <c r="T13" s="117"/>
      <c r="U13" s="117"/>
      <c r="V13" s="117"/>
      <c r="W13" s="117"/>
      <c r="X13" s="117"/>
      <c r="Y13" s="118"/>
      <c r="Z13" s="241" t="s">
        <v>70</v>
      </c>
      <c r="AA13" s="227" t="str">
        <f>IF(AND(AB16&gt;=2100),"CUMPLE","NO CUMPLE")</f>
        <v>CUMPLE</v>
      </c>
      <c r="AB13" s="231" t="s">
        <v>46</v>
      </c>
      <c r="AC13" s="224" t="s">
        <v>47</v>
      </c>
      <c r="AD13" s="227" t="s">
        <v>48</v>
      </c>
    </row>
    <row r="14" spans="1:30" ht="30" customHeight="1" x14ac:dyDescent="0.25">
      <c r="A14" s="268"/>
      <c r="B14" s="266"/>
      <c r="C14" s="188"/>
      <c r="D14" s="188"/>
      <c r="E14" s="270"/>
      <c r="F14" s="270"/>
      <c r="G14" s="270"/>
      <c r="H14" s="308"/>
      <c r="I14" s="273"/>
      <c r="J14" s="216"/>
      <c r="K14" s="263"/>
      <c r="L14" s="24">
        <v>33994</v>
      </c>
      <c r="M14" s="25">
        <v>40288</v>
      </c>
      <c r="N14" s="25"/>
      <c r="O14" s="25"/>
      <c r="P14" s="25"/>
      <c r="Q14" s="111"/>
      <c r="R14" s="24"/>
      <c r="S14" s="24"/>
      <c r="T14" s="24"/>
      <c r="U14" s="24"/>
      <c r="V14" s="24"/>
      <c r="W14" s="24"/>
      <c r="X14" s="24"/>
      <c r="Y14" s="119"/>
      <c r="Z14" s="242"/>
      <c r="AA14" s="229"/>
      <c r="AB14" s="232"/>
      <c r="AC14" s="225"/>
      <c r="AD14" s="228"/>
    </row>
    <row r="15" spans="1:30" ht="30" customHeight="1" x14ac:dyDescent="0.25">
      <c r="A15" s="268"/>
      <c r="B15" s="266"/>
      <c r="C15" s="188"/>
      <c r="D15" s="188"/>
      <c r="E15" s="270"/>
      <c r="F15" s="270"/>
      <c r="G15" s="270"/>
      <c r="H15" s="308"/>
      <c r="I15" s="273"/>
      <c r="J15" s="216"/>
      <c r="K15" s="263"/>
      <c r="L15" s="213">
        <f>IF(L14="","",(M14-L14)+1)</f>
        <v>6295</v>
      </c>
      <c r="M15" s="234"/>
      <c r="N15" s="213" t="str">
        <f>IF(N14="","",(O14-N14)+1)</f>
        <v/>
      </c>
      <c r="O15" s="234"/>
      <c r="P15" s="213" t="str">
        <f>IF(P14="","",(Q14-P14)+1)</f>
        <v/>
      </c>
      <c r="Q15" s="234"/>
      <c r="R15" s="213" t="str">
        <f>IF(R14="","",(S14-R14)+1)</f>
        <v/>
      </c>
      <c r="S15" s="234"/>
      <c r="T15" s="213" t="str">
        <f>IF(T14="","",(U14-T14)+1)</f>
        <v/>
      </c>
      <c r="U15" s="234"/>
      <c r="V15" s="213" t="str">
        <f>IF(V14="","",(W14-V14)+1)</f>
        <v/>
      </c>
      <c r="W15" s="234"/>
      <c r="X15" s="213" t="str">
        <f>IF(X14="","",(Y14-X14)+1)</f>
        <v/>
      </c>
      <c r="Y15" s="234"/>
      <c r="Z15" s="242"/>
      <c r="AA15" s="229"/>
      <c r="AB15" s="233"/>
      <c r="AC15" s="226"/>
      <c r="AD15" s="26">
        <f>70*30</f>
        <v>2100</v>
      </c>
    </row>
    <row r="16" spans="1:30" ht="30" customHeight="1" x14ac:dyDescent="0.25">
      <c r="A16" s="268"/>
      <c r="B16" s="266"/>
      <c r="C16" s="188"/>
      <c r="D16" s="188"/>
      <c r="E16" s="270"/>
      <c r="F16" s="270"/>
      <c r="G16" s="270"/>
      <c r="H16" s="308"/>
      <c r="I16" s="273"/>
      <c r="J16" s="216"/>
      <c r="K16" s="263"/>
      <c r="L16" s="252" t="s">
        <v>67</v>
      </c>
      <c r="M16" s="300"/>
      <c r="N16" s="303"/>
      <c r="O16" s="300"/>
      <c r="P16" s="303"/>
      <c r="Q16" s="305"/>
      <c r="R16" s="252"/>
      <c r="S16" s="253"/>
      <c r="T16" s="252"/>
      <c r="U16" s="253"/>
      <c r="V16" s="252"/>
      <c r="W16" s="253"/>
      <c r="X16" s="252"/>
      <c r="Y16" s="260"/>
      <c r="Z16" s="242"/>
      <c r="AA16" s="229"/>
      <c r="AB16" s="218">
        <f>SUM(L15:Q15)</f>
        <v>6295</v>
      </c>
      <c r="AC16" s="220">
        <f>AB16/$AC$1</f>
        <v>209.83333333333334</v>
      </c>
      <c r="AD16" s="222">
        <f>AB16-AD15</f>
        <v>4195</v>
      </c>
    </row>
    <row r="17" spans="1:30" ht="30" customHeight="1" thickBot="1" x14ac:dyDescent="0.3">
      <c r="A17" s="268"/>
      <c r="B17" s="266"/>
      <c r="C17" s="188"/>
      <c r="D17" s="188"/>
      <c r="E17" s="270"/>
      <c r="F17" s="270"/>
      <c r="G17" s="270"/>
      <c r="H17" s="308"/>
      <c r="I17" s="273"/>
      <c r="J17" s="217"/>
      <c r="K17" s="264"/>
      <c r="L17" s="254"/>
      <c r="M17" s="302"/>
      <c r="N17" s="304"/>
      <c r="O17" s="302"/>
      <c r="P17" s="304"/>
      <c r="Q17" s="306"/>
      <c r="R17" s="254"/>
      <c r="S17" s="255"/>
      <c r="T17" s="254"/>
      <c r="U17" s="255"/>
      <c r="V17" s="254"/>
      <c r="W17" s="255"/>
      <c r="X17" s="254"/>
      <c r="Y17" s="261"/>
      <c r="Z17" s="243"/>
      <c r="AA17" s="230"/>
      <c r="AB17" s="219"/>
      <c r="AC17" s="221"/>
      <c r="AD17" s="223"/>
    </row>
    <row r="18" spans="1:30" ht="30" customHeight="1" x14ac:dyDescent="0.25">
      <c r="A18" s="268"/>
      <c r="B18" s="266"/>
      <c r="C18" s="188"/>
      <c r="D18" s="244" t="s">
        <v>61</v>
      </c>
      <c r="E18" s="270"/>
      <c r="F18" s="270"/>
      <c r="G18" s="270"/>
      <c r="H18" s="308"/>
      <c r="I18" s="272"/>
      <c r="J18" s="226" t="s">
        <v>17</v>
      </c>
      <c r="K18" s="309" t="s">
        <v>63</v>
      </c>
      <c r="L18" s="123" t="s">
        <v>45</v>
      </c>
      <c r="M18" s="22" t="s">
        <v>68</v>
      </c>
      <c r="N18" s="23" t="s">
        <v>45</v>
      </c>
      <c r="O18" s="22"/>
      <c r="P18" s="23" t="s">
        <v>45</v>
      </c>
      <c r="Q18" s="110"/>
      <c r="R18" s="23" t="s">
        <v>45</v>
      </c>
      <c r="S18" s="117"/>
      <c r="T18" s="23" t="s">
        <v>45</v>
      </c>
      <c r="U18" s="117"/>
      <c r="V18" s="23" t="s">
        <v>45</v>
      </c>
      <c r="W18" s="117"/>
      <c r="X18" s="23" t="s">
        <v>45</v>
      </c>
      <c r="Y18" s="118"/>
      <c r="Z18" s="241" t="s">
        <v>71</v>
      </c>
      <c r="AA18" s="227" t="str">
        <f>IF(AND(AB21&gt;=1500),"CUMPLE","NO CUMPLE")</f>
        <v>CUMPLE</v>
      </c>
      <c r="AB18" s="231" t="s">
        <v>46</v>
      </c>
      <c r="AC18" s="224" t="s">
        <v>47</v>
      </c>
      <c r="AD18" s="227" t="s">
        <v>48</v>
      </c>
    </row>
    <row r="19" spans="1:30" ht="30" customHeight="1" x14ac:dyDescent="0.25">
      <c r="A19" s="268"/>
      <c r="B19" s="266"/>
      <c r="C19" s="188"/>
      <c r="D19" s="188"/>
      <c r="E19" s="270"/>
      <c r="F19" s="270"/>
      <c r="G19" s="270"/>
      <c r="H19" s="308"/>
      <c r="I19" s="272"/>
      <c r="J19" s="290"/>
      <c r="K19" s="309"/>
      <c r="L19" s="124">
        <v>33994</v>
      </c>
      <c r="M19" s="25">
        <v>40288</v>
      </c>
      <c r="N19" s="25"/>
      <c r="O19" s="25"/>
      <c r="P19" s="25"/>
      <c r="Q19" s="111"/>
      <c r="R19" s="24"/>
      <c r="S19" s="24"/>
      <c r="T19" s="24"/>
      <c r="U19" s="24"/>
      <c r="V19" s="24"/>
      <c r="W19" s="24"/>
      <c r="X19" s="24"/>
      <c r="Y19" s="119"/>
      <c r="Z19" s="242"/>
      <c r="AA19" s="229"/>
      <c r="AB19" s="232"/>
      <c r="AC19" s="225"/>
      <c r="AD19" s="228"/>
    </row>
    <row r="20" spans="1:30" ht="30" customHeight="1" x14ac:dyDescent="0.25">
      <c r="A20" s="268"/>
      <c r="B20" s="266"/>
      <c r="C20" s="188"/>
      <c r="D20" s="188"/>
      <c r="E20" s="270"/>
      <c r="F20" s="270"/>
      <c r="G20" s="270"/>
      <c r="H20" s="308"/>
      <c r="I20" s="272"/>
      <c r="J20" s="290"/>
      <c r="K20" s="309"/>
      <c r="L20" s="298">
        <f>IF(L19="","",(M19-L19)+1)</f>
        <v>6295</v>
      </c>
      <c r="M20" s="234"/>
      <c r="N20" s="298" t="str">
        <f>IF(N19="","",(O19-N19)+1)</f>
        <v/>
      </c>
      <c r="O20" s="234"/>
      <c r="P20" s="298" t="str">
        <f>IF(P19="","",(Q19-P19)+1)</f>
        <v/>
      </c>
      <c r="Q20" s="234"/>
      <c r="R20" s="298" t="str">
        <f>IF(R19="","",(S19-R19)+1)</f>
        <v/>
      </c>
      <c r="S20" s="234"/>
      <c r="T20" s="298" t="str">
        <f>IF(T19="","",(U19-T19)+1)</f>
        <v/>
      </c>
      <c r="U20" s="234"/>
      <c r="V20" s="298" t="str">
        <f>IF(V19="","",(W19-V19)+1)</f>
        <v/>
      </c>
      <c r="W20" s="234"/>
      <c r="X20" s="298" t="str">
        <f>IF(X19="","",(Y19-X19)+1)</f>
        <v/>
      </c>
      <c r="Y20" s="234"/>
      <c r="Z20" s="242"/>
      <c r="AA20" s="229"/>
      <c r="AB20" s="233"/>
      <c r="AC20" s="226"/>
      <c r="AD20" s="26">
        <f>50*30</f>
        <v>1500</v>
      </c>
    </row>
    <row r="21" spans="1:30" ht="30" customHeight="1" x14ac:dyDescent="0.25">
      <c r="A21" s="268"/>
      <c r="B21" s="266"/>
      <c r="C21" s="188"/>
      <c r="D21" s="188"/>
      <c r="E21" s="270"/>
      <c r="F21" s="270"/>
      <c r="G21" s="270"/>
      <c r="H21" s="308"/>
      <c r="I21" s="272"/>
      <c r="J21" s="290"/>
      <c r="K21" s="309"/>
      <c r="L21" s="299" t="s">
        <v>67</v>
      </c>
      <c r="M21" s="300"/>
      <c r="N21" s="303"/>
      <c r="O21" s="300"/>
      <c r="P21" s="303"/>
      <c r="Q21" s="305"/>
      <c r="R21" s="252"/>
      <c r="S21" s="253"/>
      <c r="T21" s="252"/>
      <c r="U21" s="253"/>
      <c r="V21" s="252"/>
      <c r="W21" s="253"/>
      <c r="X21" s="252"/>
      <c r="Y21" s="260"/>
      <c r="Z21" s="242"/>
      <c r="AA21" s="229"/>
      <c r="AB21" s="218">
        <f>SUM(L20:Q20)</f>
        <v>6295</v>
      </c>
      <c r="AC21" s="220">
        <f>AB21/$AC$1</f>
        <v>209.83333333333334</v>
      </c>
      <c r="AD21" s="222">
        <f>AB21-AD20</f>
        <v>4795</v>
      </c>
    </row>
    <row r="22" spans="1:30" ht="30" customHeight="1" thickBot="1" x14ac:dyDescent="0.3">
      <c r="A22" s="268"/>
      <c r="B22" s="266"/>
      <c r="C22" s="188"/>
      <c r="D22" s="188"/>
      <c r="E22" s="270"/>
      <c r="F22" s="270"/>
      <c r="G22" s="270"/>
      <c r="H22" s="308"/>
      <c r="I22" s="272"/>
      <c r="J22" s="290"/>
      <c r="K22" s="310"/>
      <c r="L22" s="301"/>
      <c r="M22" s="302"/>
      <c r="N22" s="304"/>
      <c r="O22" s="302"/>
      <c r="P22" s="304"/>
      <c r="Q22" s="306"/>
      <c r="R22" s="254"/>
      <c r="S22" s="255"/>
      <c r="T22" s="254"/>
      <c r="U22" s="255"/>
      <c r="V22" s="254"/>
      <c r="W22" s="255"/>
      <c r="X22" s="254"/>
      <c r="Y22" s="261"/>
      <c r="Z22" s="243"/>
      <c r="AA22" s="230"/>
      <c r="AB22" s="219"/>
      <c r="AC22" s="221"/>
      <c r="AD22" s="223"/>
    </row>
    <row r="23" spans="1:30" s="42" customFormat="1" ht="7.5" customHeight="1" thickBot="1" x14ac:dyDescent="0.3">
      <c r="A23" s="27"/>
      <c r="B23" s="28"/>
      <c r="C23" s="29"/>
      <c r="D23" s="29"/>
      <c r="E23" s="30"/>
      <c r="F23" s="30"/>
      <c r="G23" s="30"/>
      <c r="H23" s="30"/>
      <c r="I23" s="31"/>
      <c r="J23" s="32"/>
      <c r="K23" s="33"/>
      <c r="L23" s="34"/>
      <c r="M23" s="35"/>
      <c r="N23" s="35"/>
      <c r="O23" s="36"/>
      <c r="P23" s="34"/>
      <c r="Q23" s="108"/>
      <c r="R23" s="122"/>
      <c r="S23" s="122"/>
      <c r="T23" s="122"/>
      <c r="U23" s="122"/>
      <c r="V23" s="122"/>
      <c r="W23" s="122"/>
      <c r="X23" s="122"/>
      <c r="Y23" s="122"/>
      <c r="Z23" s="116"/>
      <c r="AA23" s="38"/>
      <c r="AB23" s="39"/>
      <c r="AC23" s="40"/>
      <c r="AD23" s="41"/>
    </row>
    <row r="24" spans="1:30" ht="30" customHeight="1" x14ac:dyDescent="0.25">
      <c r="A24" s="267">
        <v>2</v>
      </c>
      <c r="B24" s="265" t="str">
        <f>HABILITANTES!B14</f>
        <v>ÁNGULO &amp; VELANDIA SAS</v>
      </c>
      <c r="C24" s="244" t="s">
        <v>51</v>
      </c>
      <c r="D24" s="224" t="s">
        <v>50</v>
      </c>
      <c r="E24" s="283" t="s">
        <v>133</v>
      </c>
      <c r="F24" s="283" t="s">
        <v>120</v>
      </c>
      <c r="G24" s="285" t="s">
        <v>146</v>
      </c>
      <c r="H24" s="288" t="s">
        <v>125</v>
      </c>
      <c r="I24" s="275" t="s">
        <v>17</v>
      </c>
      <c r="J24" s="289" t="s">
        <v>17</v>
      </c>
      <c r="K24" s="262" t="s">
        <v>58</v>
      </c>
      <c r="L24" s="21" t="s">
        <v>45</v>
      </c>
      <c r="M24" s="127">
        <v>1</v>
      </c>
      <c r="N24" s="23" t="s">
        <v>45</v>
      </c>
      <c r="O24" s="22">
        <v>2</v>
      </c>
      <c r="P24" s="23" t="s">
        <v>45</v>
      </c>
      <c r="Q24" s="110">
        <v>2</v>
      </c>
      <c r="R24" s="23" t="s">
        <v>45</v>
      </c>
      <c r="S24" s="113">
        <v>3</v>
      </c>
      <c r="T24" s="23" t="s">
        <v>45</v>
      </c>
      <c r="U24" s="113">
        <v>3</v>
      </c>
      <c r="V24" s="23" t="s">
        <v>45</v>
      </c>
      <c r="W24" s="113">
        <v>3</v>
      </c>
      <c r="X24" s="23" t="s">
        <v>45</v>
      </c>
      <c r="Y24" s="113">
        <v>1</v>
      </c>
      <c r="Z24" s="241" t="s">
        <v>69</v>
      </c>
      <c r="AA24" s="227" t="str">
        <f>IF(AND(AB27&gt;=2700),"CUMPLE","NO CUMPLE")</f>
        <v>CUMPLE</v>
      </c>
      <c r="AB24" s="231" t="s">
        <v>46</v>
      </c>
      <c r="AC24" s="224" t="s">
        <v>47</v>
      </c>
      <c r="AD24" s="227" t="s">
        <v>48</v>
      </c>
    </row>
    <row r="25" spans="1:30" ht="30" customHeight="1" x14ac:dyDescent="0.25">
      <c r="A25" s="268"/>
      <c r="B25" s="266"/>
      <c r="C25" s="188"/>
      <c r="D25" s="188"/>
      <c r="E25" s="246"/>
      <c r="F25" s="246"/>
      <c r="G25" s="286"/>
      <c r="H25" s="246"/>
      <c r="I25" s="276"/>
      <c r="J25" s="290"/>
      <c r="K25" s="263"/>
      <c r="L25" s="24">
        <v>41073</v>
      </c>
      <c r="M25" s="25">
        <v>41871</v>
      </c>
      <c r="N25" s="25">
        <v>40664</v>
      </c>
      <c r="O25" s="25">
        <v>41072</v>
      </c>
      <c r="P25" s="25">
        <v>37653</v>
      </c>
      <c r="Q25" s="111">
        <v>40663</v>
      </c>
      <c r="R25" s="24">
        <v>37257</v>
      </c>
      <c r="S25" s="24">
        <v>37652</v>
      </c>
      <c r="T25" s="24">
        <v>36683</v>
      </c>
      <c r="U25" s="24">
        <v>37256</v>
      </c>
      <c r="V25" s="24">
        <v>36173</v>
      </c>
      <c r="W25" s="24">
        <v>36682</v>
      </c>
      <c r="X25" s="24">
        <v>41944</v>
      </c>
      <c r="Y25" s="24">
        <v>44113</v>
      </c>
      <c r="Z25" s="242"/>
      <c r="AA25" s="229"/>
      <c r="AB25" s="232"/>
      <c r="AC25" s="225"/>
      <c r="AD25" s="228"/>
    </row>
    <row r="26" spans="1:30" ht="30" customHeight="1" x14ac:dyDescent="0.25">
      <c r="A26" s="268"/>
      <c r="B26" s="266"/>
      <c r="C26" s="188"/>
      <c r="D26" s="188"/>
      <c r="E26" s="246"/>
      <c r="F26" s="246"/>
      <c r="G26" s="286"/>
      <c r="H26" s="246"/>
      <c r="I26" s="276"/>
      <c r="J26" s="290"/>
      <c r="K26" s="263"/>
      <c r="L26" s="213">
        <f>IF(L25="","",(M25-L25)+1)</f>
        <v>799</v>
      </c>
      <c r="M26" s="234"/>
      <c r="N26" s="213">
        <f>IF(N25="","",(O25-N25)+1)</f>
        <v>409</v>
      </c>
      <c r="O26" s="234"/>
      <c r="P26" s="213">
        <f>IF(P25="","",(Q25-P25)+1)</f>
        <v>3011</v>
      </c>
      <c r="Q26" s="234"/>
      <c r="R26" s="213">
        <f>IF(R25="","",(S25-R25)+1)</f>
        <v>396</v>
      </c>
      <c r="S26" s="234"/>
      <c r="T26" s="213">
        <f>IF(T25="","",(U25-T25)+1)</f>
        <v>574</v>
      </c>
      <c r="U26" s="234"/>
      <c r="V26" s="213">
        <f>IF(V25="","",(W25-V25)+1)</f>
        <v>510</v>
      </c>
      <c r="W26" s="234"/>
      <c r="X26" s="213">
        <f>IF(X25="","",(Y25-X25)+1)</f>
        <v>2170</v>
      </c>
      <c r="Y26" s="234"/>
      <c r="Z26" s="242"/>
      <c r="AA26" s="229"/>
      <c r="AB26" s="233"/>
      <c r="AC26" s="226"/>
      <c r="AD26" s="26">
        <f>90*30</f>
        <v>2700</v>
      </c>
    </row>
    <row r="27" spans="1:30" ht="30" customHeight="1" x14ac:dyDescent="0.25">
      <c r="A27" s="268"/>
      <c r="B27" s="266"/>
      <c r="C27" s="188"/>
      <c r="D27" s="188"/>
      <c r="E27" s="246"/>
      <c r="F27" s="246"/>
      <c r="G27" s="286"/>
      <c r="H27" s="246"/>
      <c r="I27" s="276"/>
      <c r="J27" s="290"/>
      <c r="K27" s="263"/>
      <c r="L27" s="252" t="s">
        <v>141</v>
      </c>
      <c r="M27" s="300"/>
      <c r="N27" s="291" t="s">
        <v>159</v>
      </c>
      <c r="O27" s="292"/>
      <c r="P27" s="256" t="s">
        <v>142</v>
      </c>
      <c r="Q27" s="320"/>
      <c r="R27" s="291" t="s">
        <v>143</v>
      </c>
      <c r="S27" s="292"/>
      <c r="T27" s="291" t="s">
        <v>144</v>
      </c>
      <c r="U27" s="292"/>
      <c r="V27" s="291" t="s">
        <v>160</v>
      </c>
      <c r="W27" s="292"/>
      <c r="X27" s="252" t="s">
        <v>148</v>
      </c>
      <c r="Y27" s="253"/>
      <c r="Z27" s="242"/>
      <c r="AA27" s="229"/>
      <c r="AB27" s="218">
        <f>SUM(L26:Y26)</f>
        <v>7869</v>
      </c>
      <c r="AC27" s="220">
        <f>AB27/$AC$1</f>
        <v>262.3</v>
      </c>
      <c r="AD27" s="222">
        <f>AB27-AD26</f>
        <v>5169</v>
      </c>
    </row>
    <row r="28" spans="1:30" ht="78.75" customHeight="1" thickBot="1" x14ac:dyDescent="0.3">
      <c r="A28" s="268"/>
      <c r="B28" s="266"/>
      <c r="C28" s="188"/>
      <c r="D28" s="188"/>
      <c r="E28" s="246"/>
      <c r="F28" s="246"/>
      <c r="G28" s="286"/>
      <c r="H28" s="246"/>
      <c r="I28" s="276"/>
      <c r="J28" s="290"/>
      <c r="K28" s="263"/>
      <c r="L28" s="295"/>
      <c r="M28" s="319"/>
      <c r="N28" s="293"/>
      <c r="O28" s="294"/>
      <c r="P28" s="321"/>
      <c r="Q28" s="322"/>
      <c r="R28" s="293"/>
      <c r="S28" s="294"/>
      <c r="T28" s="293"/>
      <c r="U28" s="294"/>
      <c r="V28" s="293"/>
      <c r="W28" s="294"/>
      <c r="X28" s="295"/>
      <c r="Y28" s="296"/>
      <c r="Z28" s="243"/>
      <c r="AA28" s="230"/>
      <c r="AB28" s="219"/>
      <c r="AC28" s="221"/>
      <c r="AD28" s="223"/>
    </row>
    <row r="29" spans="1:30" ht="30" customHeight="1" x14ac:dyDescent="0.25">
      <c r="A29" s="268"/>
      <c r="B29" s="266"/>
      <c r="C29" s="188"/>
      <c r="D29" s="244" t="s">
        <v>64</v>
      </c>
      <c r="E29" s="246"/>
      <c r="F29" s="246"/>
      <c r="G29" s="286"/>
      <c r="H29" s="246"/>
      <c r="I29" s="276"/>
      <c r="J29" s="278" t="s">
        <v>17</v>
      </c>
      <c r="K29" s="280" t="s">
        <v>59</v>
      </c>
      <c r="L29" s="21" t="s">
        <v>45</v>
      </c>
      <c r="M29" s="126">
        <v>2</v>
      </c>
      <c r="N29" s="23" t="s">
        <v>45</v>
      </c>
      <c r="O29" s="22"/>
      <c r="P29" s="112" t="s">
        <v>45</v>
      </c>
      <c r="Q29" s="113"/>
      <c r="R29" s="23" t="s">
        <v>45</v>
      </c>
      <c r="S29" s="117"/>
      <c r="T29" s="23" t="s">
        <v>45</v>
      </c>
      <c r="U29" s="117"/>
      <c r="V29" s="23" t="s">
        <v>45</v>
      </c>
      <c r="W29" s="117"/>
      <c r="X29" s="23" t="s">
        <v>45</v>
      </c>
      <c r="Y29" s="118"/>
      <c r="Z29" s="241" t="s">
        <v>145</v>
      </c>
      <c r="AA29" s="227" t="str">
        <f>IF(AND(AB32&gt;=1800),"CUMPLE","NO CUMPLE")</f>
        <v>CUMPLE</v>
      </c>
      <c r="AB29" s="231" t="s">
        <v>46</v>
      </c>
      <c r="AC29" s="224" t="s">
        <v>47</v>
      </c>
      <c r="AD29" s="227" t="s">
        <v>48</v>
      </c>
    </row>
    <row r="30" spans="1:30" ht="30" customHeight="1" x14ac:dyDescent="0.25">
      <c r="A30" s="268"/>
      <c r="B30" s="266"/>
      <c r="C30" s="188"/>
      <c r="D30" s="188"/>
      <c r="E30" s="246"/>
      <c r="F30" s="246"/>
      <c r="G30" s="286"/>
      <c r="H30" s="246"/>
      <c r="I30" s="276"/>
      <c r="J30" s="279"/>
      <c r="K30" s="281"/>
      <c r="L30" s="125">
        <v>37653</v>
      </c>
      <c r="M30" s="125">
        <v>40663</v>
      </c>
      <c r="N30" s="125"/>
      <c r="O30" s="125"/>
      <c r="P30" s="125"/>
      <c r="Q30" s="125"/>
      <c r="R30" s="128"/>
      <c r="S30" s="125"/>
      <c r="T30" s="24"/>
      <c r="U30" s="24"/>
      <c r="V30" s="24"/>
      <c r="W30" s="24"/>
      <c r="X30" s="24"/>
      <c r="Y30" s="119"/>
      <c r="Z30" s="242"/>
      <c r="AA30" s="229"/>
      <c r="AB30" s="232"/>
      <c r="AC30" s="225"/>
      <c r="AD30" s="228"/>
    </row>
    <row r="31" spans="1:30" ht="30" customHeight="1" x14ac:dyDescent="0.25">
      <c r="A31" s="268"/>
      <c r="B31" s="266"/>
      <c r="C31" s="188"/>
      <c r="D31" s="188"/>
      <c r="E31" s="246"/>
      <c r="F31" s="246"/>
      <c r="G31" s="286"/>
      <c r="H31" s="246"/>
      <c r="I31" s="276"/>
      <c r="J31" s="279"/>
      <c r="K31" s="281"/>
      <c r="L31" s="213">
        <f>IF(L30="","",(M30-L30)+1)</f>
        <v>3011</v>
      </c>
      <c r="M31" s="214"/>
      <c r="N31" s="297" t="str">
        <f>IF(N30="","",(O30-N30)+1)</f>
        <v/>
      </c>
      <c r="O31" s="297"/>
      <c r="P31" s="297" t="str">
        <f>IF(P30="","",(Q30-P30)+1)</f>
        <v/>
      </c>
      <c r="Q31" s="297"/>
      <c r="R31" s="297" t="str">
        <f>IF(R30="","",(S30-R30)+1)</f>
        <v/>
      </c>
      <c r="S31" s="297"/>
      <c r="T31" s="213" t="str">
        <f>IF(T30="","",(U30-T30)+1)</f>
        <v/>
      </c>
      <c r="U31" s="234"/>
      <c r="V31" s="213" t="str">
        <f>IF(V30="","",(W30-V30)+1)</f>
        <v/>
      </c>
      <c r="W31" s="234"/>
      <c r="X31" s="213" t="str">
        <f>IF(X30="","",(Y30-X30)+1)</f>
        <v/>
      </c>
      <c r="Y31" s="234"/>
      <c r="Z31" s="242"/>
      <c r="AA31" s="229"/>
      <c r="AB31" s="233"/>
      <c r="AC31" s="226"/>
      <c r="AD31" s="26">
        <f>60*30</f>
        <v>1800</v>
      </c>
    </row>
    <row r="32" spans="1:30" ht="30" customHeight="1" x14ac:dyDescent="0.25">
      <c r="A32" s="268"/>
      <c r="B32" s="266"/>
      <c r="C32" s="188"/>
      <c r="D32" s="188"/>
      <c r="E32" s="246"/>
      <c r="F32" s="246"/>
      <c r="G32" s="286"/>
      <c r="H32" s="246"/>
      <c r="I32" s="276"/>
      <c r="J32" s="279"/>
      <c r="K32" s="281"/>
      <c r="L32" s="256" t="s">
        <v>142</v>
      </c>
      <c r="M32" s="320"/>
      <c r="N32" s="313"/>
      <c r="O32" s="249"/>
      <c r="P32" s="313"/>
      <c r="Q32" s="249"/>
      <c r="R32" s="313"/>
      <c r="S32" s="249"/>
      <c r="T32" s="252"/>
      <c r="U32" s="253"/>
      <c r="V32" s="252"/>
      <c r="W32" s="253"/>
      <c r="X32" s="252"/>
      <c r="Y32" s="260"/>
      <c r="Z32" s="242"/>
      <c r="AA32" s="229"/>
      <c r="AB32" s="218">
        <f>SUM(L31:Y31)</f>
        <v>3011</v>
      </c>
      <c r="AC32" s="220">
        <f>AB32/$AC$1</f>
        <v>100.36666666666666</v>
      </c>
      <c r="AD32" s="222">
        <f>AB32-AD31</f>
        <v>1211</v>
      </c>
    </row>
    <row r="33" spans="1:30" ht="96.75" customHeight="1" thickBot="1" x14ac:dyDescent="0.3">
      <c r="A33" s="268"/>
      <c r="B33" s="266"/>
      <c r="C33" s="188"/>
      <c r="D33" s="188"/>
      <c r="E33" s="284"/>
      <c r="F33" s="284"/>
      <c r="G33" s="287"/>
      <c r="H33" s="284"/>
      <c r="I33" s="277"/>
      <c r="J33" s="279"/>
      <c r="K33" s="282"/>
      <c r="L33" s="321"/>
      <c r="M33" s="322"/>
      <c r="N33" s="314"/>
      <c r="O33" s="315"/>
      <c r="P33" s="314"/>
      <c r="Q33" s="315"/>
      <c r="R33" s="314"/>
      <c r="S33" s="315"/>
      <c r="T33" s="254"/>
      <c r="U33" s="255"/>
      <c r="V33" s="254"/>
      <c r="W33" s="255"/>
      <c r="X33" s="254"/>
      <c r="Y33" s="261"/>
      <c r="Z33" s="243"/>
      <c r="AA33" s="230"/>
      <c r="AB33" s="219"/>
      <c r="AC33" s="221"/>
      <c r="AD33" s="223"/>
    </row>
    <row r="34" spans="1:30" s="55" customFormat="1" ht="7.5" customHeight="1" thickBot="1" x14ac:dyDescent="0.3">
      <c r="A34" s="268"/>
      <c r="B34" s="266"/>
      <c r="C34" s="44"/>
      <c r="D34" s="44"/>
      <c r="E34" s="45"/>
      <c r="F34" s="45"/>
      <c r="G34" s="56"/>
      <c r="H34" s="56"/>
      <c r="I34" s="46"/>
      <c r="J34" s="51"/>
      <c r="K34" s="47"/>
      <c r="L34" s="48"/>
      <c r="M34" s="49"/>
      <c r="N34" s="49"/>
      <c r="O34" s="50"/>
      <c r="P34" s="48"/>
      <c r="Q34" s="107"/>
      <c r="R34" s="120"/>
      <c r="S34" s="120"/>
      <c r="T34" s="120"/>
      <c r="U34" s="120"/>
      <c r="V34" s="120"/>
      <c r="W34" s="120"/>
      <c r="X34" s="120"/>
      <c r="Y34" s="120"/>
      <c r="Z34" s="115"/>
      <c r="AA34" s="51"/>
      <c r="AB34" s="52"/>
      <c r="AC34" s="53"/>
      <c r="AD34" s="54"/>
    </row>
    <row r="35" spans="1:30" ht="30" customHeight="1" x14ac:dyDescent="0.25">
      <c r="A35" s="268"/>
      <c r="B35" s="266"/>
      <c r="C35" s="244" t="s">
        <v>140</v>
      </c>
      <c r="D35" s="224" t="s">
        <v>60</v>
      </c>
      <c r="E35" s="245" t="s">
        <v>126</v>
      </c>
      <c r="F35" s="245" t="s">
        <v>136</v>
      </c>
      <c r="G35" s="245" t="s">
        <v>127</v>
      </c>
      <c r="H35" s="245" t="s">
        <v>128</v>
      </c>
      <c r="I35" s="275" t="s">
        <v>17</v>
      </c>
      <c r="J35" s="215" t="s">
        <v>25</v>
      </c>
      <c r="K35" s="262" t="s">
        <v>62</v>
      </c>
      <c r="L35" s="21" t="s">
        <v>45</v>
      </c>
      <c r="M35" s="22">
        <v>1</v>
      </c>
      <c r="N35" s="23" t="s">
        <v>45</v>
      </c>
      <c r="O35" s="22" t="s">
        <v>135</v>
      </c>
      <c r="P35" s="23" t="s">
        <v>45</v>
      </c>
      <c r="Q35" s="110">
        <v>1</v>
      </c>
      <c r="R35" s="112" t="s">
        <v>45</v>
      </c>
      <c r="S35" s="117">
        <v>1</v>
      </c>
      <c r="T35" s="23" t="s">
        <v>45</v>
      </c>
      <c r="U35" s="117">
        <v>1</v>
      </c>
      <c r="V35" s="23" t="s">
        <v>45</v>
      </c>
      <c r="W35" s="117"/>
      <c r="X35" s="23" t="s">
        <v>45</v>
      </c>
      <c r="Y35" s="118"/>
      <c r="Z35" s="241" t="s">
        <v>152</v>
      </c>
      <c r="AA35" s="227" t="str">
        <f>IF(AND(AB38&gt;=2100),"CUMPLE","NO CUMPLE")</f>
        <v>CUMPLE</v>
      </c>
      <c r="AB35" s="231" t="s">
        <v>46</v>
      </c>
      <c r="AC35" s="224" t="s">
        <v>47</v>
      </c>
      <c r="AD35" s="227" t="s">
        <v>48</v>
      </c>
    </row>
    <row r="36" spans="1:30" ht="30" customHeight="1" x14ac:dyDescent="0.25">
      <c r="A36" s="268"/>
      <c r="B36" s="266"/>
      <c r="C36" s="188"/>
      <c r="D36" s="188"/>
      <c r="E36" s="246"/>
      <c r="F36" s="246"/>
      <c r="G36" s="246"/>
      <c r="H36" s="246"/>
      <c r="I36" s="276"/>
      <c r="J36" s="216"/>
      <c r="K36" s="263"/>
      <c r="L36" s="125">
        <v>40190</v>
      </c>
      <c r="M36" s="125">
        <v>41121</v>
      </c>
      <c r="N36" s="125">
        <v>41974</v>
      </c>
      <c r="O36" s="125">
        <v>42004</v>
      </c>
      <c r="P36" s="125">
        <v>42552</v>
      </c>
      <c r="Q36" s="125">
        <v>42825</v>
      </c>
      <c r="R36" s="125">
        <v>42895</v>
      </c>
      <c r="S36" s="125">
        <v>43109</v>
      </c>
      <c r="T36" s="125">
        <v>43191</v>
      </c>
      <c r="U36" s="125">
        <v>43373</v>
      </c>
      <c r="V36" s="24">
        <v>42898</v>
      </c>
      <c r="W36" s="24">
        <v>43081</v>
      </c>
      <c r="X36" s="24">
        <v>42401</v>
      </c>
      <c r="Y36" s="119">
        <v>44113</v>
      </c>
      <c r="Z36" s="242"/>
      <c r="AA36" s="229"/>
      <c r="AB36" s="232"/>
      <c r="AC36" s="225"/>
      <c r="AD36" s="228"/>
    </row>
    <row r="37" spans="1:30" ht="30" customHeight="1" x14ac:dyDescent="0.25">
      <c r="A37" s="268"/>
      <c r="B37" s="266"/>
      <c r="C37" s="188"/>
      <c r="D37" s="188"/>
      <c r="E37" s="246"/>
      <c r="F37" s="246"/>
      <c r="G37" s="246"/>
      <c r="H37" s="246"/>
      <c r="I37" s="276"/>
      <c r="J37" s="216"/>
      <c r="K37" s="263"/>
      <c r="L37" s="213">
        <f>IF(L36="","",(M36-L36)+1)</f>
        <v>932</v>
      </c>
      <c r="M37" s="234"/>
      <c r="N37" s="213">
        <f t="shared" ref="N37" si="2">IF(N36="","",(O36-N36)+1)</f>
        <v>31</v>
      </c>
      <c r="O37" s="234"/>
      <c r="P37" s="213">
        <f>IF(P36="","",(Q36-P36)+1)</f>
        <v>274</v>
      </c>
      <c r="Q37" s="214"/>
      <c r="R37" s="213">
        <f>IF(R36="","",(S36-R36)+1)</f>
        <v>215</v>
      </c>
      <c r="S37" s="214"/>
      <c r="T37" s="213">
        <f>IF(T36="","",(U36-T36)+1)</f>
        <v>183</v>
      </c>
      <c r="U37" s="214"/>
      <c r="V37" s="213">
        <f>IF(V36="","",(W36-V36)+1)</f>
        <v>184</v>
      </c>
      <c r="W37" s="214"/>
      <c r="X37" s="213">
        <f>IF(X36="","",(Y36-X36)+1)</f>
        <v>1713</v>
      </c>
      <c r="Y37" s="214"/>
      <c r="Z37" s="242"/>
      <c r="AA37" s="229"/>
      <c r="AB37" s="233"/>
      <c r="AC37" s="226"/>
      <c r="AD37" s="26">
        <f>70*30</f>
        <v>2100</v>
      </c>
    </row>
    <row r="38" spans="1:30" ht="30" customHeight="1" x14ac:dyDescent="0.25">
      <c r="A38" s="268"/>
      <c r="B38" s="266"/>
      <c r="C38" s="188"/>
      <c r="D38" s="188"/>
      <c r="E38" s="246"/>
      <c r="F38" s="246"/>
      <c r="G38" s="246"/>
      <c r="H38" s="246"/>
      <c r="I38" s="276"/>
      <c r="J38" s="216"/>
      <c r="K38" s="263"/>
      <c r="L38" s="235" t="s">
        <v>132</v>
      </c>
      <c r="M38" s="236"/>
      <c r="N38" s="239" t="s">
        <v>134</v>
      </c>
      <c r="O38" s="239"/>
      <c r="P38" s="239" t="s">
        <v>129</v>
      </c>
      <c r="Q38" s="239"/>
      <c r="R38" s="239" t="s">
        <v>149</v>
      </c>
      <c r="S38" s="239"/>
      <c r="T38" s="248" t="s">
        <v>150</v>
      </c>
      <c r="U38" s="249"/>
      <c r="V38" s="252" t="s">
        <v>151</v>
      </c>
      <c r="W38" s="253"/>
      <c r="X38" s="256" t="s">
        <v>147</v>
      </c>
      <c r="Y38" s="257"/>
      <c r="Z38" s="242"/>
      <c r="AA38" s="229"/>
      <c r="AB38" s="218">
        <f>SUM(L37:Y37)</f>
        <v>3532</v>
      </c>
      <c r="AC38" s="220">
        <f>AB38/$AC$1</f>
        <v>117.73333333333333</v>
      </c>
      <c r="AD38" s="222">
        <f>AB38-AD37</f>
        <v>1432</v>
      </c>
    </row>
    <row r="39" spans="1:30" ht="30" customHeight="1" thickBot="1" x14ac:dyDescent="0.3">
      <c r="A39" s="268"/>
      <c r="B39" s="266"/>
      <c r="C39" s="188"/>
      <c r="D39" s="188"/>
      <c r="E39" s="246"/>
      <c r="F39" s="246"/>
      <c r="G39" s="246"/>
      <c r="H39" s="246"/>
      <c r="I39" s="276"/>
      <c r="J39" s="217"/>
      <c r="K39" s="264"/>
      <c r="L39" s="237"/>
      <c r="M39" s="238"/>
      <c r="N39" s="240"/>
      <c r="O39" s="240"/>
      <c r="P39" s="240"/>
      <c r="Q39" s="240"/>
      <c r="R39" s="240"/>
      <c r="S39" s="240"/>
      <c r="T39" s="250"/>
      <c r="U39" s="251"/>
      <c r="V39" s="254"/>
      <c r="W39" s="255"/>
      <c r="X39" s="258"/>
      <c r="Y39" s="259"/>
      <c r="Z39" s="243"/>
      <c r="AA39" s="230"/>
      <c r="AB39" s="219"/>
      <c r="AC39" s="221"/>
      <c r="AD39" s="223"/>
    </row>
    <row r="40" spans="1:30" ht="30" customHeight="1" x14ac:dyDescent="0.25">
      <c r="A40" s="268"/>
      <c r="B40" s="266"/>
      <c r="C40" s="188"/>
      <c r="D40" s="244" t="s">
        <v>61</v>
      </c>
      <c r="E40" s="246"/>
      <c r="F40" s="246"/>
      <c r="G40" s="246"/>
      <c r="H40" s="246"/>
      <c r="I40" s="276"/>
      <c r="J40" s="215" t="s">
        <v>25</v>
      </c>
      <c r="K40" s="262" t="s">
        <v>63</v>
      </c>
      <c r="L40" s="21" t="s">
        <v>45</v>
      </c>
      <c r="M40" s="22">
        <v>2</v>
      </c>
      <c r="N40" s="23" t="s">
        <v>45</v>
      </c>
      <c r="O40" s="22" t="s">
        <v>135</v>
      </c>
      <c r="P40" s="23" t="s">
        <v>45</v>
      </c>
      <c r="Q40" s="110">
        <v>1</v>
      </c>
      <c r="R40" s="112" t="s">
        <v>45</v>
      </c>
      <c r="S40" s="117">
        <v>1</v>
      </c>
      <c r="T40" s="112" t="s">
        <v>45</v>
      </c>
      <c r="U40" s="117">
        <v>1</v>
      </c>
      <c r="V40" s="117"/>
      <c r="W40" s="117"/>
      <c r="X40" s="117"/>
      <c r="Y40" s="118"/>
      <c r="Z40" s="241" t="s">
        <v>71</v>
      </c>
      <c r="AA40" s="227" t="str">
        <f>IF(AND(AB43&gt;=1500),"CUMPLE","NO CUMPLE")</f>
        <v>CUMPLE</v>
      </c>
      <c r="AB40" s="231" t="s">
        <v>46</v>
      </c>
      <c r="AC40" s="224" t="s">
        <v>47</v>
      </c>
      <c r="AD40" s="227" t="s">
        <v>48</v>
      </c>
    </row>
    <row r="41" spans="1:30" ht="30" customHeight="1" x14ac:dyDescent="0.25">
      <c r="A41" s="268"/>
      <c r="B41" s="266"/>
      <c r="C41" s="188"/>
      <c r="D41" s="188"/>
      <c r="E41" s="246"/>
      <c r="F41" s="246"/>
      <c r="G41" s="246"/>
      <c r="H41" s="246"/>
      <c r="I41" s="276"/>
      <c r="J41" s="216"/>
      <c r="K41" s="263"/>
      <c r="L41" s="125">
        <v>40208</v>
      </c>
      <c r="M41" s="125">
        <v>41091</v>
      </c>
      <c r="N41" s="125">
        <v>41974</v>
      </c>
      <c r="O41" s="125">
        <v>42004</v>
      </c>
      <c r="P41" s="125">
        <v>42552</v>
      </c>
      <c r="Q41" s="125">
        <v>42825</v>
      </c>
      <c r="R41" s="125">
        <v>42895</v>
      </c>
      <c r="S41" s="125">
        <v>43109</v>
      </c>
      <c r="T41" s="125">
        <v>43191</v>
      </c>
      <c r="U41" s="125">
        <v>43373</v>
      </c>
      <c r="V41" s="24"/>
      <c r="W41" s="24"/>
      <c r="X41" s="24"/>
      <c r="Y41" s="119"/>
      <c r="Z41" s="242"/>
      <c r="AA41" s="229"/>
      <c r="AB41" s="232"/>
      <c r="AC41" s="225"/>
      <c r="AD41" s="228"/>
    </row>
    <row r="42" spans="1:30" ht="30" customHeight="1" x14ac:dyDescent="0.25">
      <c r="A42" s="268"/>
      <c r="B42" s="266"/>
      <c r="C42" s="188"/>
      <c r="D42" s="188"/>
      <c r="E42" s="246"/>
      <c r="F42" s="246"/>
      <c r="G42" s="246"/>
      <c r="H42" s="246"/>
      <c r="I42" s="276"/>
      <c r="J42" s="216"/>
      <c r="K42" s="263"/>
      <c r="L42" s="213">
        <f>IF(L41="","",(M41-L41)+1)</f>
        <v>884</v>
      </c>
      <c r="M42" s="234"/>
      <c r="N42" s="213">
        <f t="shared" ref="N42" si="3">IF(N41="","",(O41-N41)+1)</f>
        <v>31</v>
      </c>
      <c r="O42" s="234"/>
      <c r="P42" s="213">
        <f>IF(P41="","",(Q41-P41)+1)</f>
        <v>274</v>
      </c>
      <c r="Q42" s="214"/>
      <c r="R42" s="213">
        <f>IF(R41="","",(S41-R41)+1)</f>
        <v>215</v>
      </c>
      <c r="S42" s="214"/>
      <c r="T42" s="213">
        <f>IF(T41="","",(U41-T41)+1)</f>
        <v>183</v>
      </c>
      <c r="U42" s="214"/>
      <c r="V42" s="114"/>
      <c r="W42" s="114"/>
      <c r="X42" s="114"/>
      <c r="Y42" s="121"/>
      <c r="Z42" s="242"/>
      <c r="AA42" s="229"/>
      <c r="AB42" s="233"/>
      <c r="AC42" s="226"/>
      <c r="AD42" s="26">
        <f>50*30</f>
        <v>1500</v>
      </c>
    </row>
    <row r="43" spans="1:30" ht="30" customHeight="1" x14ac:dyDescent="0.25">
      <c r="A43" s="268"/>
      <c r="B43" s="266"/>
      <c r="C43" s="188"/>
      <c r="D43" s="188"/>
      <c r="E43" s="246"/>
      <c r="F43" s="246"/>
      <c r="G43" s="246"/>
      <c r="H43" s="246"/>
      <c r="I43" s="276"/>
      <c r="J43" s="216"/>
      <c r="K43" s="263"/>
      <c r="L43" s="235" t="s">
        <v>132</v>
      </c>
      <c r="M43" s="236"/>
      <c r="N43" s="239" t="s">
        <v>134</v>
      </c>
      <c r="O43" s="239"/>
      <c r="P43" s="239" t="s">
        <v>129</v>
      </c>
      <c r="Q43" s="239"/>
      <c r="R43" s="239" t="s">
        <v>130</v>
      </c>
      <c r="S43" s="239"/>
      <c r="T43" s="248" t="s">
        <v>131</v>
      </c>
      <c r="U43" s="249"/>
      <c r="V43" s="252"/>
      <c r="W43" s="253"/>
      <c r="X43" s="252"/>
      <c r="Y43" s="260"/>
      <c r="Z43" s="242"/>
      <c r="AA43" s="229"/>
      <c r="AB43" s="218">
        <f>SUM(L42:U42)</f>
        <v>1587</v>
      </c>
      <c r="AC43" s="220">
        <f>AB43/$AC$1</f>
        <v>52.9</v>
      </c>
      <c r="AD43" s="222">
        <f>AB43-AD42</f>
        <v>87</v>
      </c>
    </row>
    <row r="44" spans="1:30" ht="30" customHeight="1" thickBot="1" x14ac:dyDescent="0.3">
      <c r="A44" s="268"/>
      <c r="B44" s="266"/>
      <c r="C44" s="188"/>
      <c r="D44" s="188"/>
      <c r="E44" s="247"/>
      <c r="F44" s="247"/>
      <c r="G44" s="247"/>
      <c r="H44" s="247"/>
      <c r="I44" s="277"/>
      <c r="J44" s="217"/>
      <c r="K44" s="264"/>
      <c r="L44" s="237"/>
      <c r="M44" s="238"/>
      <c r="N44" s="240"/>
      <c r="O44" s="240"/>
      <c r="P44" s="240"/>
      <c r="Q44" s="240"/>
      <c r="R44" s="240"/>
      <c r="S44" s="240"/>
      <c r="T44" s="250"/>
      <c r="U44" s="251"/>
      <c r="V44" s="254"/>
      <c r="W44" s="255"/>
      <c r="X44" s="254"/>
      <c r="Y44" s="261"/>
      <c r="Z44" s="243"/>
      <c r="AA44" s="230"/>
      <c r="AB44" s="219"/>
      <c r="AC44" s="221"/>
      <c r="AD44" s="223"/>
    </row>
    <row r="45" spans="1:30" s="42" customFormat="1" ht="7.5" customHeight="1" x14ac:dyDescent="0.25">
      <c r="A45" s="27"/>
      <c r="B45" s="28"/>
      <c r="C45" s="29"/>
      <c r="D45" s="29"/>
      <c r="E45" s="30"/>
      <c r="F45" s="30"/>
      <c r="G45" s="30"/>
      <c r="H45" s="30"/>
      <c r="I45" s="31"/>
      <c r="J45" s="32"/>
      <c r="K45" s="33"/>
      <c r="L45" s="34"/>
      <c r="M45" s="35"/>
      <c r="N45" s="35"/>
      <c r="O45" s="36"/>
      <c r="P45" s="34"/>
      <c r="Q45" s="36"/>
      <c r="R45" s="36"/>
      <c r="S45" s="36"/>
      <c r="T45" s="36"/>
      <c r="U45" s="36"/>
      <c r="V45" s="36"/>
      <c r="W45" s="36"/>
      <c r="X45" s="36"/>
      <c r="Y45" s="36"/>
      <c r="Z45" s="37"/>
      <c r="AA45" s="38"/>
      <c r="AB45" s="39"/>
      <c r="AC45" s="40"/>
      <c r="AD45" s="41"/>
    </row>
  </sheetData>
  <mergeCells count="233">
    <mergeCell ref="V26:W26"/>
    <mergeCell ref="X26:Y26"/>
    <mergeCell ref="R32:S33"/>
    <mergeCell ref="T32:U33"/>
    <mergeCell ref="V32:W33"/>
    <mergeCell ref="X32:Y33"/>
    <mergeCell ref="L1:M1"/>
    <mergeCell ref="N1:O1"/>
    <mergeCell ref="P1:Q1"/>
    <mergeCell ref="P16:Q17"/>
    <mergeCell ref="L26:M26"/>
    <mergeCell ref="N26:O26"/>
    <mergeCell ref="P26:Q26"/>
    <mergeCell ref="L27:M28"/>
    <mergeCell ref="N27:O28"/>
    <mergeCell ref="P27:Q28"/>
    <mergeCell ref="L32:M33"/>
    <mergeCell ref="N32:O33"/>
    <mergeCell ref="P32:Q33"/>
    <mergeCell ref="D7:D11"/>
    <mergeCell ref="R1:S1"/>
    <mergeCell ref="T1:U1"/>
    <mergeCell ref="V1:W1"/>
    <mergeCell ref="X1:Y1"/>
    <mergeCell ref="R4:S4"/>
    <mergeCell ref="R5:S6"/>
    <mergeCell ref="T4:U4"/>
    <mergeCell ref="T5:U6"/>
    <mergeCell ref="V4:W4"/>
    <mergeCell ref="V5:W6"/>
    <mergeCell ref="X4:Y4"/>
    <mergeCell ref="X5:Y6"/>
    <mergeCell ref="R9:S9"/>
    <mergeCell ref="T9:U9"/>
    <mergeCell ref="V9:W9"/>
    <mergeCell ref="R10:S11"/>
    <mergeCell ref="T10:U11"/>
    <mergeCell ref="V10:W11"/>
    <mergeCell ref="X10:Y11"/>
    <mergeCell ref="J7:J11"/>
    <mergeCell ref="AC7:AC9"/>
    <mergeCell ref="AD7:AD8"/>
    <mergeCell ref="L9:M9"/>
    <mergeCell ref="N9:O9"/>
    <mergeCell ref="P9:Q9"/>
    <mergeCell ref="L10:M11"/>
    <mergeCell ref="N10:O11"/>
    <mergeCell ref="P10:Q11"/>
    <mergeCell ref="K7:K11"/>
    <mergeCell ref="Z7:Z11"/>
    <mergeCell ref="AB5:AB6"/>
    <mergeCell ref="AC5:AC6"/>
    <mergeCell ref="AD5:AD6"/>
    <mergeCell ref="C2:C11"/>
    <mergeCell ref="H2:H11"/>
    <mergeCell ref="AA2:AA6"/>
    <mergeCell ref="AB2:AB4"/>
    <mergeCell ref="AC2:AC4"/>
    <mergeCell ref="AD2:AD3"/>
    <mergeCell ref="L4:M4"/>
    <mergeCell ref="N4:O4"/>
    <mergeCell ref="P4:Q4"/>
    <mergeCell ref="L5:M6"/>
    <mergeCell ref="N5:O6"/>
    <mergeCell ref="P5:Q6"/>
    <mergeCell ref="J2:J6"/>
    <mergeCell ref="K2:K6"/>
    <mergeCell ref="Z2:Z6"/>
    <mergeCell ref="AB10:AB11"/>
    <mergeCell ref="AC10:AC11"/>
    <mergeCell ref="AD10:AD11"/>
    <mergeCell ref="X9:Y9"/>
    <mergeCell ref="AA7:AA11"/>
    <mergeCell ref="AB7:AB9"/>
    <mergeCell ref="AB16:AB17"/>
    <mergeCell ref="AC16:AC17"/>
    <mergeCell ref="AD16:AD17"/>
    <mergeCell ref="D18:D22"/>
    <mergeCell ref="Z13:Z17"/>
    <mergeCell ref="AA13:AA17"/>
    <mergeCell ref="AB13:AB15"/>
    <mergeCell ref="AC13:AC15"/>
    <mergeCell ref="AD13:AD14"/>
    <mergeCell ref="L15:M15"/>
    <mergeCell ref="N15:O15"/>
    <mergeCell ref="P15:Q15"/>
    <mergeCell ref="L16:M17"/>
    <mergeCell ref="N16:O17"/>
    <mergeCell ref="J13:J17"/>
    <mergeCell ref="K13:K17"/>
    <mergeCell ref="H13:H22"/>
    <mergeCell ref="G13:G22"/>
    <mergeCell ref="D13:D17"/>
    <mergeCell ref="F13:F22"/>
    <mergeCell ref="J18:J22"/>
    <mergeCell ref="K18:K22"/>
    <mergeCell ref="Z18:Z22"/>
    <mergeCell ref="AA18:AA22"/>
    <mergeCell ref="R16:S17"/>
    <mergeCell ref="T16:U17"/>
    <mergeCell ref="V16:W17"/>
    <mergeCell ref="X16:Y17"/>
    <mergeCell ref="R21:S22"/>
    <mergeCell ref="T21:U22"/>
    <mergeCell ref="V21:W22"/>
    <mergeCell ref="X21:Y22"/>
    <mergeCell ref="R15:S15"/>
    <mergeCell ref="T15:U15"/>
    <mergeCell ref="V15:W15"/>
    <mergeCell ref="X15:Y15"/>
    <mergeCell ref="R20:S20"/>
    <mergeCell ref="T20:U20"/>
    <mergeCell ref="V20:W20"/>
    <mergeCell ref="X20:Y20"/>
    <mergeCell ref="AC18:AC20"/>
    <mergeCell ref="AD18:AD19"/>
    <mergeCell ref="L20:M20"/>
    <mergeCell ref="N20:O20"/>
    <mergeCell ref="P20:Q20"/>
    <mergeCell ref="L21:M22"/>
    <mergeCell ref="N21:O22"/>
    <mergeCell ref="P21:Q22"/>
    <mergeCell ref="AB21:AB22"/>
    <mergeCell ref="AC21:AC22"/>
    <mergeCell ref="AD21:AD22"/>
    <mergeCell ref="AB18:AB20"/>
    <mergeCell ref="AB27:AB28"/>
    <mergeCell ref="C24:C33"/>
    <mergeCell ref="D24:D28"/>
    <mergeCell ref="J24:J28"/>
    <mergeCell ref="K24:K28"/>
    <mergeCell ref="Z24:Z28"/>
    <mergeCell ref="AA24:AA28"/>
    <mergeCell ref="AB24:AB26"/>
    <mergeCell ref="R27:S28"/>
    <mergeCell ref="T27:U28"/>
    <mergeCell ref="V27:W28"/>
    <mergeCell ref="X27:Y28"/>
    <mergeCell ref="R31:S31"/>
    <mergeCell ref="T31:U31"/>
    <mergeCell ref="V31:W31"/>
    <mergeCell ref="X31:Y31"/>
    <mergeCell ref="R26:S26"/>
    <mergeCell ref="T26:U26"/>
    <mergeCell ref="Z29:Z33"/>
    <mergeCell ref="AA29:AA33"/>
    <mergeCell ref="AB29:AB31"/>
    <mergeCell ref="L31:M31"/>
    <mergeCell ref="N31:O31"/>
    <mergeCell ref="P31:Q31"/>
    <mergeCell ref="B2:B22"/>
    <mergeCell ref="A2:A22"/>
    <mergeCell ref="E2:E11"/>
    <mergeCell ref="E13:E22"/>
    <mergeCell ref="F2:F11"/>
    <mergeCell ref="G2:G11"/>
    <mergeCell ref="D2:D6"/>
    <mergeCell ref="J35:J39"/>
    <mergeCell ref="K35:K39"/>
    <mergeCell ref="I2:I11"/>
    <mergeCell ref="I13:I22"/>
    <mergeCell ref="I24:I33"/>
    <mergeCell ref="I35:I44"/>
    <mergeCell ref="D29:D33"/>
    <mergeCell ref="J29:J33"/>
    <mergeCell ref="K29:K33"/>
    <mergeCell ref="A24:A44"/>
    <mergeCell ref="B24:B44"/>
    <mergeCell ref="E24:E33"/>
    <mergeCell ref="F24:F33"/>
    <mergeCell ref="G24:G33"/>
    <mergeCell ref="H24:H33"/>
    <mergeCell ref="D40:D44"/>
    <mergeCell ref="C13:C22"/>
    <mergeCell ref="C35:C44"/>
    <mergeCell ref="D35:D39"/>
    <mergeCell ref="E35:E44"/>
    <mergeCell ref="F35:F44"/>
    <mergeCell ref="G35:G44"/>
    <mergeCell ref="H35:H44"/>
    <mergeCell ref="R38:S39"/>
    <mergeCell ref="T38:U39"/>
    <mergeCell ref="V38:W39"/>
    <mergeCell ref="R43:S44"/>
    <mergeCell ref="T43:U44"/>
    <mergeCell ref="V43:W44"/>
    <mergeCell ref="R37:S37"/>
    <mergeCell ref="T37:U37"/>
    <mergeCell ref="K40:K44"/>
    <mergeCell ref="AC38:AC39"/>
    <mergeCell ref="R42:S42"/>
    <mergeCell ref="T42:U42"/>
    <mergeCell ref="AD43:AD44"/>
    <mergeCell ref="L42:M42"/>
    <mergeCell ref="N42:O42"/>
    <mergeCell ref="P42:Q42"/>
    <mergeCell ref="L43:M44"/>
    <mergeCell ref="N43:O44"/>
    <mergeCell ref="P43:Q44"/>
    <mergeCell ref="AD38:AD39"/>
    <mergeCell ref="Z35:Z39"/>
    <mergeCell ref="AA35:AA39"/>
    <mergeCell ref="AB35:AB37"/>
    <mergeCell ref="AB43:AB44"/>
    <mergeCell ref="AC43:AC44"/>
    <mergeCell ref="X38:Y39"/>
    <mergeCell ref="X43:Y44"/>
    <mergeCell ref="X37:Y37"/>
    <mergeCell ref="Z40:Z44"/>
    <mergeCell ref="V37:W37"/>
    <mergeCell ref="J40:J44"/>
    <mergeCell ref="AB32:AB33"/>
    <mergeCell ref="AC32:AC33"/>
    <mergeCell ref="AD32:AD33"/>
    <mergeCell ref="AC29:AC31"/>
    <mergeCell ref="AD29:AD30"/>
    <mergeCell ref="AD27:AD28"/>
    <mergeCell ref="AC24:AC26"/>
    <mergeCell ref="AD24:AD25"/>
    <mergeCell ref="AC27:AC28"/>
    <mergeCell ref="AA40:AA44"/>
    <mergeCell ref="AB40:AB42"/>
    <mergeCell ref="AC40:AC42"/>
    <mergeCell ref="AD40:AD41"/>
    <mergeCell ref="AC35:AC37"/>
    <mergeCell ref="AD35:AD36"/>
    <mergeCell ref="L37:M37"/>
    <mergeCell ref="N37:O37"/>
    <mergeCell ref="P37:Q37"/>
    <mergeCell ref="L38:M39"/>
    <mergeCell ref="N38:O39"/>
    <mergeCell ref="P38:Q39"/>
    <mergeCell ref="AB38:AB39"/>
  </mergeCells>
  <dataValidations count="1">
    <dataValidation type="list" allowBlank="1" showInputMessage="1" showErrorMessage="1" sqref="J7 J2 J18 J13 J29 J24 J40 J35">
      <formula1>"CUMPLE, NO CUMPLE"</formula1>
    </dataValidation>
  </dataValidation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13"/>
  <sheetViews>
    <sheetView zoomScale="70" zoomScaleNormal="70" zoomScalePageLayoutView="80" workbookViewId="0">
      <pane xSplit="2" ySplit="1" topLeftCell="U8" activePane="bottomRight" state="frozen"/>
      <selection pane="topRight" activeCell="C1" sqref="C1"/>
      <selection pane="bottomLeft" activeCell="A2" sqref="A2"/>
      <selection pane="bottomRight" activeCell="AE8" sqref="AE8"/>
    </sheetView>
  </sheetViews>
  <sheetFormatPr defaultColWidth="10.85546875" defaultRowHeight="15" x14ac:dyDescent="0.25"/>
  <cols>
    <col min="1" max="1" width="8.7109375" style="5" customWidth="1"/>
    <col min="2" max="2" width="46.42578125" style="43" customWidth="1"/>
    <col min="3" max="3" width="78.42578125" style="43" customWidth="1"/>
    <col min="4" max="4" width="51.140625" style="43" customWidth="1"/>
    <col min="5" max="5" width="18.28515625" style="5" customWidth="1"/>
    <col min="6" max="7" width="21.5703125" style="5" customWidth="1"/>
    <col min="8" max="8" width="18" style="5" customWidth="1"/>
    <col min="9" max="9" width="20" style="5" customWidth="1"/>
    <col min="10" max="10" width="12.85546875" style="5" customWidth="1"/>
    <col min="11" max="11" width="16.140625" style="5" bestFit="1" customWidth="1"/>
    <col min="12" max="12" width="12.85546875" style="5" customWidth="1"/>
    <col min="13" max="21" width="17.7109375" style="5" customWidth="1"/>
    <col min="22" max="22" width="77.85546875" style="5" customWidth="1"/>
    <col min="23" max="24" width="15.140625" style="5" customWidth="1"/>
    <col min="25" max="25" width="15.7109375" style="5" customWidth="1"/>
    <col min="26" max="26" width="13" style="5" customWidth="1"/>
    <col min="27" max="27" width="13.85546875" style="5" customWidth="1"/>
    <col min="28" max="16384" width="10.85546875" style="5"/>
  </cols>
  <sheetData>
    <row r="1" spans="1:25" ht="80.25" customHeight="1" thickBot="1" x14ac:dyDescent="0.3">
      <c r="A1" s="11" t="s">
        <v>0</v>
      </c>
      <c r="B1" s="12" t="s">
        <v>1</v>
      </c>
      <c r="C1" s="13" t="s">
        <v>91</v>
      </c>
      <c r="D1" s="14" t="s">
        <v>93</v>
      </c>
      <c r="E1" s="14" t="s">
        <v>34</v>
      </c>
      <c r="F1" s="16" t="s">
        <v>99</v>
      </c>
      <c r="G1" s="17" t="s">
        <v>39</v>
      </c>
      <c r="H1" s="316" t="s">
        <v>40</v>
      </c>
      <c r="I1" s="317"/>
      <c r="J1" s="316" t="s">
        <v>41</v>
      </c>
      <c r="K1" s="317"/>
      <c r="L1" s="316" t="s">
        <v>42</v>
      </c>
      <c r="M1" s="317"/>
      <c r="N1" s="109"/>
      <c r="O1" s="109"/>
      <c r="P1" s="109"/>
      <c r="Q1" s="109"/>
      <c r="R1" s="109"/>
      <c r="S1" s="109"/>
      <c r="T1" s="109"/>
      <c r="U1" s="109"/>
      <c r="V1" s="18" t="s">
        <v>43</v>
      </c>
      <c r="W1" s="20"/>
      <c r="X1" s="20">
        <v>30</v>
      </c>
      <c r="Y1" s="20"/>
    </row>
    <row r="2" spans="1:25" ht="30" customHeight="1" x14ac:dyDescent="0.25">
      <c r="A2" s="267">
        <v>1</v>
      </c>
      <c r="B2" s="265" t="str">
        <f>HABILITANTES!B4</f>
        <v>KMP CONSULTING S.A.S.</v>
      </c>
      <c r="C2" s="326" t="s">
        <v>92</v>
      </c>
      <c r="D2" s="224" t="s">
        <v>94</v>
      </c>
      <c r="E2" s="269" t="s">
        <v>32</v>
      </c>
      <c r="F2" s="324">
        <f>X5</f>
        <v>39.700000000000003</v>
      </c>
      <c r="G2" s="262" t="s">
        <v>98</v>
      </c>
      <c r="H2" s="21" t="s">
        <v>45</v>
      </c>
      <c r="I2" s="22" t="s">
        <v>95</v>
      </c>
      <c r="J2" s="23" t="s">
        <v>45</v>
      </c>
      <c r="K2" s="22" t="s">
        <v>96</v>
      </c>
      <c r="L2" s="23" t="s">
        <v>45</v>
      </c>
      <c r="M2" s="22"/>
      <c r="N2" s="23" t="s">
        <v>45</v>
      </c>
      <c r="O2" s="22"/>
      <c r="P2" s="23" t="s">
        <v>45</v>
      </c>
      <c r="Q2" s="22"/>
      <c r="R2" s="23" t="s">
        <v>45</v>
      </c>
      <c r="S2" s="22"/>
      <c r="T2" s="23" t="s">
        <v>45</v>
      </c>
      <c r="U2" s="22"/>
      <c r="V2" s="244"/>
      <c r="W2" s="231" t="s">
        <v>46</v>
      </c>
      <c r="X2" s="224" t="s">
        <v>47</v>
      </c>
      <c r="Y2" s="227" t="s">
        <v>48</v>
      </c>
    </row>
    <row r="3" spans="1:25" ht="30" customHeight="1" x14ac:dyDescent="0.25">
      <c r="A3" s="268"/>
      <c r="B3" s="266"/>
      <c r="C3" s="327"/>
      <c r="D3" s="225"/>
      <c r="E3" s="270"/>
      <c r="F3" s="263"/>
      <c r="G3" s="263"/>
      <c r="H3" s="24">
        <v>40289</v>
      </c>
      <c r="I3" s="25">
        <v>41295</v>
      </c>
      <c r="J3" s="24">
        <v>42572</v>
      </c>
      <c r="K3" s="25">
        <v>42755</v>
      </c>
      <c r="L3" s="25"/>
      <c r="M3" s="25"/>
      <c r="N3" s="25"/>
      <c r="O3" s="25"/>
      <c r="P3" s="25"/>
      <c r="Q3" s="25"/>
      <c r="R3" s="25"/>
      <c r="S3" s="25"/>
      <c r="T3" s="25"/>
      <c r="U3" s="25"/>
      <c r="V3" s="188"/>
      <c r="W3" s="232"/>
      <c r="X3" s="225"/>
      <c r="Y3" s="228"/>
    </row>
    <row r="4" spans="1:25" ht="30" customHeight="1" x14ac:dyDescent="0.25">
      <c r="A4" s="268"/>
      <c r="B4" s="266"/>
      <c r="C4" s="327"/>
      <c r="D4" s="225"/>
      <c r="E4" s="270"/>
      <c r="F4" s="263"/>
      <c r="G4" s="263"/>
      <c r="H4" s="213">
        <f>IF(H3="","",(I3-H3)+1)</f>
        <v>1007</v>
      </c>
      <c r="I4" s="234"/>
      <c r="J4" s="213">
        <f t="shared" ref="J4" si="0">IF(J3="","",(K3-J3)+1)</f>
        <v>184</v>
      </c>
      <c r="K4" s="234"/>
      <c r="L4" s="213" t="str">
        <f t="shared" ref="L4" si="1">IF(L3="","",(M3-L3)+1)</f>
        <v/>
      </c>
      <c r="M4" s="234"/>
      <c r="N4" s="213" t="str">
        <f t="shared" ref="N4" si="2">IF(N3="","",(O3-N3)+1)</f>
        <v/>
      </c>
      <c r="O4" s="234"/>
      <c r="P4" s="213" t="str">
        <f t="shared" ref="P4" si="3">IF(P3="","",(Q3-P3)+1)</f>
        <v/>
      </c>
      <c r="Q4" s="234"/>
      <c r="R4" s="213" t="str">
        <f t="shared" ref="R4" si="4">IF(R3="","",(S3-R3)+1)</f>
        <v/>
      </c>
      <c r="S4" s="234"/>
      <c r="T4" s="213" t="str">
        <f t="shared" ref="T4" si="5">IF(T3="","",(U3-T3)+1)</f>
        <v/>
      </c>
      <c r="U4" s="234"/>
      <c r="V4" s="188"/>
      <c r="W4" s="233"/>
      <c r="X4" s="226"/>
      <c r="Y4" s="26">
        <f>36*30+1</f>
        <v>1081</v>
      </c>
    </row>
    <row r="5" spans="1:25" ht="30" customHeight="1" x14ac:dyDescent="0.25">
      <c r="A5" s="268"/>
      <c r="B5" s="266"/>
      <c r="C5" s="327"/>
      <c r="D5" s="225"/>
      <c r="E5" s="270"/>
      <c r="F5" s="263"/>
      <c r="G5" s="263"/>
      <c r="H5" s="252" t="s">
        <v>67</v>
      </c>
      <c r="I5" s="300"/>
      <c r="J5" s="303" t="s">
        <v>97</v>
      </c>
      <c r="K5" s="300"/>
      <c r="L5" s="303"/>
      <c r="M5" s="300"/>
      <c r="N5" s="303"/>
      <c r="O5" s="300"/>
      <c r="P5" s="303"/>
      <c r="Q5" s="300"/>
      <c r="R5" s="303"/>
      <c r="S5" s="300"/>
      <c r="T5" s="303"/>
      <c r="U5" s="300"/>
      <c r="V5" s="188"/>
      <c r="W5" s="218">
        <f>SUM(H4:M4)</f>
        <v>1191</v>
      </c>
      <c r="X5" s="220">
        <f>W5/$X$1</f>
        <v>39.700000000000003</v>
      </c>
      <c r="Y5" s="222">
        <f>W5-Y4</f>
        <v>110</v>
      </c>
    </row>
    <row r="6" spans="1:25" ht="30" customHeight="1" thickBot="1" x14ac:dyDescent="0.3">
      <c r="A6" s="268"/>
      <c r="B6" s="266"/>
      <c r="C6" s="327"/>
      <c r="D6" s="225"/>
      <c r="E6" s="270"/>
      <c r="F6" s="264"/>
      <c r="G6" s="264"/>
      <c r="H6" s="254"/>
      <c r="I6" s="302"/>
      <c r="J6" s="304"/>
      <c r="K6" s="302"/>
      <c r="L6" s="304"/>
      <c r="M6" s="302"/>
      <c r="N6" s="304"/>
      <c r="O6" s="302"/>
      <c r="P6" s="304"/>
      <c r="Q6" s="302"/>
      <c r="R6" s="304"/>
      <c r="S6" s="302"/>
      <c r="T6" s="304"/>
      <c r="U6" s="302"/>
      <c r="V6" s="323"/>
      <c r="W6" s="219"/>
      <c r="X6" s="221"/>
      <c r="Y6" s="223"/>
    </row>
    <row r="7" spans="1:25" s="42" customFormat="1" ht="7.5" customHeight="1" thickBot="1" x14ac:dyDescent="0.3">
      <c r="A7" s="27"/>
      <c r="B7" s="28"/>
      <c r="C7" s="29"/>
      <c r="D7" s="29"/>
      <c r="E7" s="30"/>
      <c r="F7" s="33"/>
      <c r="G7" s="33"/>
      <c r="H7" s="34"/>
      <c r="I7" s="35"/>
      <c r="J7" s="35"/>
      <c r="K7" s="36"/>
      <c r="L7" s="34"/>
      <c r="M7" s="36"/>
      <c r="N7" s="36"/>
      <c r="O7" s="36"/>
      <c r="P7" s="36"/>
      <c r="Q7" s="36"/>
      <c r="R7" s="36"/>
      <c r="S7" s="36"/>
      <c r="T7" s="36"/>
      <c r="U7" s="36"/>
      <c r="V7" s="37"/>
      <c r="W7" s="39"/>
      <c r="X7" s="40"/>
      <c r="Y7" s="41"/>
    </row>
    <row r="8" spans="1:25" ht="30" customHeight="1" x14ac:dyDescent="0.25">
      <c r="A8" s="267">
        <v>2</v>
      </c>
      <c r="B8" s="265" t="str">
        <f>HABILITANTES!B14</f>
        <v>ÁNGULO &amp; VELANDIA SAS</v>
      </c>
      <c r="C8" s="326" t="s">
        <v>92</v>
      </c>
      <c r="D8" s="224"/>
      <c r="E8" s="269"/>
      <c r="F8" s="324">
        <f>X11</f>
        <v>0</v>
      </c>
      <c r="G8" s="262" t="s">
        <v>98</v>
      </c>
      <c r="H8" s="21" t="s">
        <v>45</v>
      </c>
      <c r="I8" s="22"/>
      <c r="J8" s="23" t="s">
        <v>45</v>
      </c>
      <c r="K8" s="22"/>
      <c r="L8" s="23" t="s">
        <v>45</v>
      </c>
      <c r="M8" s="22"/>
      <c r="N8" s="23" t="s">
        <v>45</v>
      </c>
      <c r="O8" s="22"/>
      <c r="P8" s="23" t="s">
        <v>45</v>
      </c>
      <c r="Q8" s="113"/>
      <c r="R8" s="23" t="s">
        <v>45</v>
      </c>
      <c r="S8" s="113"/>
      <c r="T8" s="23" t="s">
        <v>45</v>
      </c>
      <c r="U8" s="113"/>
      <c r="V8" s="244" t="s">
        <v>158</v>
      </c>
      <c r="W8" s="231" t="s">
        <v>46</v>
      </c>
      <c r="X8" s="224" t="s">
        <v>47</v>
      </c>
      <c r="Y8" s="227" t="s">
        <v>48</v>
      </c>
    </row>
    <row r="9" spans="1:25" ht="30" customHeight="1" x14ac:dyDescent="0.25">
      <c r="A9" s="268"/>
      <c r="B9" s="266"/>
      <c r="C9" s="327"/>
      <c r="D9" s="225"/>
      <c r="E9" s="270"/>
      <c r="F9" s="263"/>
      <c r="G9" s="263"/>
      <c r="H9" s="125"/>
      <c r="I9" s="125"/>
      <c r="J9" s="125"/>
      <c r="K9" s="125"/>
      <c r="L9" s="125"/>
      <c r="M9" s="125"/>
      <c r="N9" s="125"/>
      <c r="O9" s="125"/>
      <c r="P9" s="125"/>
      <c r="Q9" s="125"/>
      <c r="R9" s="24"/>
      <c r="S9" s="24"/>
      <c r="T9" s="24"/>
      <c r="U9" s="24"/>
      <c r="V9" s="188"/>
      <c r="W9" s="232"/>
      <c r="X9" s="225"/>
      <c r="Y9" s="228"/>
    </row>
    <row r="10" spans="1:25" ht="30" customHeight="1" x14ac:dyDescent="0.25">
      <c r="A10" s="268"/>
      <c r="B10" s="266"/>
      <c r="C10" s="327"/>
      <c r="D10" s="225"/>
      <c r="E10" s="270"/>
      <c r="F10" s="263"/>
      <c r="G10" s="263"/>
      <c r="H10" s="213" t="str">
        <f>IF(H9="","",(I9-H9)+1)</f>
        <v/>
      </c>
      <c r="I10" s="234"/>
      <c r="J10" s="213" t="str">
        <f t="shared" ref="J10" si="6">IF(J9="","",(K9-J9)+1)</f>
        <v/>
      </c>
      <c r="K10" s="234"/>
      <c r="L10" s="213" t="str">
        <f t="shared" ref="L10" si="7">IF(L9="","",(M9-L9)+1)</f>
        <v/>
      </c>
      <c r="M10" s="234"/>
      <c r="N10" s="213" t="str">
        <f t="shared" ref="N10" si="8">IF(N9="","",(O9-N9)+1)</f>
        <v/>
      </c>
      <c r="O10" s="234"/>
      <c r="P10" s="213" t="str">
        <f t="shared" ref="P10" si="9">IF(P9="","",(Q9-P9)+1)</f>
        <v/>
      </c>
      <c r="Q10" s="234"/>
      <c r="R10" s="213" t="str">
        <f t="shared" ref="R10" si="10">IF(R9="","",(S9-R9)+1)</f>
        <v/>
      </c>
      <c r="S10" s="234"/>
      <c r="T10" s="213" t="str">
        <f t="shared" ref="T10" si="11">IF(T9="","",(U9-T9)+1)</f>
        <v/>
      </c>
      <c r="U10" s="234"/>
      <c r="V10" s="188"/>
      <c r="W10" s="233"/>
      <c r="X10" s="226"/>
      <c r="Y10" s="26">
        <f>36*30+1</f>
        <v>1081</v>
      </c>
    </row>
    <row r="11" spans="1:25" ht="30" customHeight="1" x14ac:dyDescent="0.25">
      <c r="A11" s="268"/>
      <c r="B11" s="266"/>
      <c r="C11" s="327"/>
      <c r="D11" s="225"/>
      <c r="E11" s="270"/>
      <c r="F11" s="263"/>
      <c r="G11" s="263"/>
      <c r="H11" s="205"/>
      <c r="I11" s="325"/>
      <c r="J11" s="205"/>
      <c r="K11" s="325"/>
      <c r="L11" s="205"/>
      <c r="M11" s="325"/>
      <c r="N11" s="248"/>
      <c r="O11" s="249"/>
      <c r="P11" s="248"/>
      <c r="Q11" s="249"/>
      <c r="R11" s="252"/>
      <c r="S11" s="253"/>
      <c r="T11" s="252"/>
      <c r="U11" s="253"/>
      <c r="V11" s="188"/>
      <c r="W11" s="218">
        <f>SUM(H10:U10)</f>
        <v>0</v>
      </c>
      <c r="X11" s="220">
        <f>W11/$X$1</f>
        <v>0</v>
      </c>
      <c r="Y11" s="222">
        <f>W11-Y10</f>
        <v>-1081</v>
      </c>
    </row>
    <row r="12" spans="1:25" ht="134.25" customHeight="1" thickBot="1" x14ac:dyDescent="0.3">
      <c r="A12" s="268"/>
      <c r="B12" s="266"/>
      <c r="C12" s="327"/>
      <c r="D12" s="225"/>
      <c r="E12" s="270"/>
      <c r="F12" s="264"/>
      <c r="G12" s="264"/>
      <c r="H12" s="325"/>
      <c r="I12" s="325"/>
      <c r="J12" s="325"/>
      <c r="K12" s="325"/>
      <c r="L12" s="325"/>
      <c r="M12" s="325"/>
      <c r="N12" s="328"/>
      <c r="O12" s="315"/>
      <c r="P12" s="328"/>
      <c r="Q12" s="315"/>
      <c r="R12" s="329"/>
      <c r="S12" s="330"/>
      <c r="T12" s="329"/>
      <c r="U12" s="330"/>
      <c r="V12" s="323"/>
      <c r="W12" s="219"/>
      <c r="X12" s="221"/>
      <c r="Y12" s="223"/>
    </row>
    <row r="13" spans="1:25" s="42" customFormat="1" ht="7.5" customHeight="1" x14ac:dyDescent="0.25">
      <c r="A13" s="27"/>
      <c r="B13" s="28"/>
      <c r="C13" s="29"/>
      <c r="D13" s="29"/>
      <c r="E13" s="30"/>
      <c r="F13" s="33"/>
      <c r="G13" s="33"/>
      <c r="H13" s="34"/>
      <c r="I13" s="35"/>
      <c r="J13" s="35"/>
      <c r="K13" s="36"/>
      <c r="L13" s="34"/>
      <c r="M13" s="36"/>
      <c r="N13" s="36"/>
      <c r="O13" s="36"/>
      <c r="P13" s="36"/>
      <c r="Q13" s="36"/>
      <c r="R13" s="36"/>
      <c r="S13" s="36"/>
      <c r="T13" s="36"/>
      <c r="U13" s="36"/>
      <c r="V13" s="37"/>
      <c r="W13" s="39"/>
      <c r="X13" s="40"/>
      <c r="Y13" s="41"/>
    </row>
  </sheetData>
  <mergeCells count="59">
    <mergeCell ref="H1:I1"/>
    <mergeCell ref="J1:K1"/>
    <mergeCell ref="L1:M1"/>
    <mergeCell ref="A2:A6"/>
    <mergeCell ref="B2:B6"/>
    <mergeCell ref="C2:C6"/>
    <mergeCell ref="E2:E6"/>
    <mergeCell ref="F2:F6"/>
    <mergeCell ref="D2:D6"/>
    <mergeCell ref="G2:G6"/>
    <mergeCell ref="H4:I4"/>
    <mergeCell ref="J4:K4"/>
    <mergeCell ref="L4:M4"/>
    <mergeCell ref="W2:W4"/>
    <mergeCell ref="X2:X4"/>
    <mergeCell ref="Y2:Y3"/>
    <mergeCell ref="X8:X10"/>
    <mergeCell ref="W5:W6"/>
    <mergeCell ref="X5:X6"/>
    <mergeCell ref="Y8:Y9"/>
    <mergeCell ref="R11:S12"/>
    <mergeCell ref="T11:U12"/>
    <mergeCell ref="W11:W12"/>
    <mergeCell ref="X11:X12"/>
    <mergeCell ref="Y5:Y6"/>
    <mergeCell ref="Y11:Y12"/>
    <mergeCell ref="V2:V6"/>
    <mergeCell ref="H5:I6"/>
    <mergeCell ref="J5:K6"/>
    <mergeCell ref="L5:M6"/>
    <mergeCell ref="N4:O4"/>
    <mergeCell ref="P4:Q4"/>
    <mergeCell ref="R4:S4"/>
    <mergeCell ref="T4:U4"/>
    <mergeCell ref="P5:Q6"/>
    <mergeCell ref="R5:S6"/>
    <mergeCell ref="T5:U6"/>
    <mergeCell ref="N5:O6"/>
    <mergeCell ref="A8:A12"/>
    <mergeCell ref="B8:B12"/>
    <mergeCell ref="C8:C12"/>
    <mergeCell ref="D8:D12"/>
    <mergeCell ref="E8:E12"/>
    <mergeCell ref="V8:V12"/>
    <mergeCell ref="W8:W10"/>
    <mergeCell ref="F8:F12"/>
    <mergeCell ref="H10:I10"/>
    <mergeCell ref="J10:K10"/>
    <mergeCell ref="L10:M10"/>
    <mergeCell ref="H11:I12"/>
    <mergeCell ref="J11:K12"/>
    <mergeCell ref="L11:M12"/>
    <mergeCell ref="G8:G12"/>
    <mergeCell ref="N11:O12"/>
    <mergeCell ref="P11:Q12"/>
    <mergeCell ref="P10:Q10"/>
    <mergeCell ref="N10:O10"/>
    <mergeCell ref="R10:S10"/>
    <mergeCell ref="T10:U10"/>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S15"/>
  <sheetViews>
    <sheetView topLeftCell="I1" zoomScale="50" zoomScaleNormal="50" zoomScaleSheetLayoutView="70" zoomScalePageLayoutView="50" workbookViewId="0">
      <pane ySplit="1" topLeftCell="A6" activePane="bottomLeft" state="frozen"/>
      <selection pane="bottomLeft" activeCell="P18" sqref="P18"/>
    </sheetView>
  </sheetViews>
  <sheetFormatPr defaultColWidth="11.42578125" defaultRowHeight="28.5" x14ac:dyDescent="0.25"/>
  <cols>
    <col min="1" max="1" width="3.42578125" style="5" customWidth="1"/>
    <col min="2" max="2" width="27.42578125" style="5" bestFit="1" customWidth="1"/>
    <col min="3" max="3" width="20" style="5" customWidth="1"/>
    <col min="4" max="4" width="40" style="43" customWidth="1"/>
    <col min="5" max="5" width="77.28515625" style="5" bestFit="1" customWidth="1"/>
    <col min="6" max="6" width="44.42578125" style="5" bestFit="1" customWidth="1"/>
    <col min="7" max="7" width="39.28515625" style="5" customWidth="1"/>
    <col min="8" max="8" width="35.140625" style="5" customWidth="1"/>
    <col min="9" max="9" width="74.42578125" style="5" customWidth="1"/>
    <col min="10" max="10" width="8.85546875" style="5" customWidth="1"/>
    <col min="11" max="11" width="19.85546875" style="5" customWidth="1"/>
    <col min="12" max="12" width="52.85546875" style="5" customWidth="1"/>
    <col min="13" max="13" width="36.140625" style="5" customWidth="1"/>
    <col min="14" max="14" width="36.28515625" style="92" customWidth="1"/>
    <col min="15" max="15" width="56.7109375" style="5" customWidth="1"/>
    <col min="16" max="16" width="27" style="71" customWidth="1"/>
    <col min="17" max="17" width="28.7109375" style="71" customWidth="1"/>
    <col min="18" max="18" width="2.7109375" style="71" customWidth="1"/>
    <col min="19" max="19" width="3.5703125" style="5" bestFit="1" customWidth="1"/>
    <col min="20" max="16384" width="11.42578125" style="5"/>
  </cols>
  <sheetData>
    <row r="1" spans="2:19" s="67" customFormat="1" ht="85.5" customHeight="1" thickBot="1" x14ac:dyDescent="0.3">
      <c r="B1" s="93" t="s">
        <v>73</v>
      </c>
      <c r="C1" s="93" t="s">
        <v>0</v>
      </c>
      <c r="D1" s="93" t="s">
        <v>1</v>
      </c>
      <c r="E1" s="345" t="s">
        <v>74</v>
      </c>
      <c r="F1" s="345"/>
      <c r="G1" s="345"/>
      <c r="H1" s="345"/>
      <c r="I1" s="345"/>
      <c r="J1" s="345"/>
      <c r="K1" s="94" t="s">
        <v>75</v>
      </c>
      <c r="L1" s="94" t="s">
        <v>76</v>
      </c>
      <c r="M1" s="94" t="s">
        <v>77</v>
      </c>
      <c r="N1" s="95" t="s">
        <v>78</v>
      </c>
      <c r="O1" s="96" t="s">
        <v>108</v>
      </c>
      <c r="P1" s="97" t="s">
        <v>79</v>
      </c>
      <c r="Q1" s="66" t="s">
        <v>157</v>
      </c>
      <c r="R1" s="88"/>
    </row>
    <row r="2" spans="2:19" ht="49.5" customHeight="1" x14ac:dyDescent="0.25">
      <c r="B2" s="331" t="e">
        <f>HABILITANTES!#REF!</f>
        <v>#REF!</v>
      </c>
      <c r="C2" s="332">
        <v>1</v>
      </c>
      <c r="D2" s="333" t="str">
        <f>HABILITANTES!B4</f>
        <v>KMP CONSULTING S.A.S.</v>
      </c>
      <c r="E2" s="334" t="s">
        <v>91</v>
      </c>
      <c r="F2" s="334" t="s">
        <v>107</v>
      </c>
      <c r="G2" s="335">
        <f>'EXP ADICIONAL'!X5</f>
        <v>39.700000000000003</v>
      </c>
      <c r="H2" s="68">
        <v>10</v>
      </c>
      <c r="I2" s="69" t="s">
        <v>100</v>
      </c>
      <c r="J2" s="98"/>
      <c r="K2" s="339">
        <f>($H$2*J2)+($H$3*J3)+($H$4*J4)+($H$5*J5)</f>
        <v>35</v>
      </c>
      <c r="L2" s="340">
        <f>K2+K7</f>
        <v>50</v>
      </c>
      <c r="M2" s="341">
        <v>10</v>
      </c>
      <c r="N2" s="342">
        <v>330203199.19999999</v>
      </c>
      <c r="O2" s="343">
        <v>39.72</v>
      </c>
      <c r="P2" s="344">
        <f>L2+M2+O2</f>
        <v>99.72</v>
      </c>
      <c r="Q2" s="337">
        <v>1</v>
      </c>
      <c r="S2" s="5">
        <v>10</v>
      </c>
    </row>
    <row r="3" spans="2:19" ht="49.5" customHeight="1" x14ac:dyDescent="0.25">
      <c r="B3" s="331"/>
      <c r="C3" s="332"/>
      <c r="D3" s="333"/>
      <c r="E3" s="334"/>
      <c r="F3" s="334"/>
      <c r="G3" s="336"/>
      <c r="H3" s="68">
        <v>20</v>
      </c>
      <c r="I3" s="69" t="s">
        <v>101</v>
      </c>
      <c r="J3" s="98"/>
      <c r="K3" s="339"/>
      <c r="L3" s="340"/>
      <c r="M3" s="341"/>
      <c r="N3" s="342"/>
      <c r="O3" s="343"/>
      <c r="P3" s="344"/>
      <c r="Q3" s="338"/>
      <c r="S3" s="5">
        <v>20</v>
      </c>
    </row>
    <row r="4" spans="2:19" ht="49.5" customHeight="1" x14ac:dyDescent="0.25">
      <c r="B4" s="331"/>
      <c r="C4" s="332"/>
      <c r="D4" s="333"/>
      <c r="E4" s="334"/>
      <c r="F4" s="334"/>
      <c r="G4" s="336"/>
      <c r="H4" s="68">
        <v>25</v>
      </c>
      <c r="I4" s="69" t="s">
        <v>102</v>
      </c>
      <c r="J4" s="98"/>
      <c r="K4" s="339"/>
      <c r="L4" s="340"/>
      <c r="M4" s="341"/>
      <c r="N4" s="342"/>
      <c r="O4" s="343"/>
      <c r="P4" s="344"/>
      <c r="Q4" s="338"/>
      <c r="S4" s="5">
        <v>25</v>
      </c>
    </row>
    <row r="5" spans="2:19" ht="54" customHeight="1" x14ac:dyDescent="0.25">
      <c r="B5" s="331"/>
      <c r="C5" s="332"/>
      <c r="D5" s="333"/>
      <c r="E5" s="334"/>
      <c r="F5" s="334"/>
      <c r="G5" s="336"/>
      <c r="H5" s="68">
        <v>35</v>
      </c>
      <c r="I5" s="69" t="s">
        <v>103</v>
      </c>
      <c r="J5" s="98">
        <v>1</v>
      </c>
      <c r="K5" s="339"/>
      <c r="L5" s="340"/>
      <c r="M5" s="341"/>
      <c r="N5" s="342"/>
      <c r="O5" s="343"/>
      <c r="P5" s="344"/>
      <c r="Q5" s="338"/>
      <c r="S5" s="5">
        <v>35</v>
      </c>
    </row>
    <row r="6" spans="2:19" ht="6" customHeight="1" x14ac:dyDescent="0.25">
      <c r="B6" s="331"/>
      <c r="C6" s="332"/>
      <c r="D6" s="333"/>
      <c r="E6" s="99"/>
      <c r="F6" s="99"/>
      <c r="G6" s="99"/>
      <c r="H6" s="99"/>
      <c r="I6" s="100"/>
      <c r="J6" s="100"/>
      <c r="K6" s="70"/>
      <c r="L6" s="340"/>
      <c r="M6" s="341"/>
      <c r="N6" s="342"/>
      <c r="O6" s="343"/>
      <c r="P6" s="344"/>
      <c r="Q6" s="338"/>
    </row>
    <row r="7" spans="2:19" ht="110.1" customHeight="1" x14ac:dyDescent="0.25">
      <c r="B7" s="331"/>
      <c r="C7" s="332"/>
      <c r="D7" s="333"/>
      <c r="E7" s="86" t="s">
        <v>105</v>
      </c>
      <c r="F7" s="86" t="s">
        <v>106</v>
      </c>
      <c r="G7" s="87" t="s">
        <v>80</v>
      </c>
      <c r="H7" s="68">
        <v>15</v>
      </c>
      <c r="I7" s="86"/>
      <c r="J7" s="68" t="s">
        <v>137</v>
      </c>
      <c r="K7" s="101">
        <f>($H$7*1)</f>
        <v>15</v>
      </c>
      <c r="L7" s="340"/>
      <c r="M7" s="341"/>
      <c r="N7" s="342"/>
      <c r="O7" s="343"/>
      <c r="P7" s="344"/>
      <c r="Q7" s="338"/>
      <c r="S7" s="5">
        <v>5</v>
      </c>
    </row>
    <row r="8" spans="2:19" ht="4.5" customHeight="1" thickBot="1" x14ac:dyDescent="0.3">
      <c r="B8" s="58"/>
      <c r="C8" s="58"/>
      <c r="D8" s="58"/>
      <c r="E8" s="58"/>
      <c r="F8" s="58"/>
      <c r="G8" s="58"/>
      <c r="H8" s="58"/>
      <c r="I8" s="58"/>
      <c r="J8" s="58"/>
      <c r="K8" s="58"/>
      <c r="L8" s="58"/>
      <c r="M8" s="58"/>
      <c r="N8" s="89"/>
      <c r="O8" s="90"/>
      <c r="P8" s="102"/>
      <c r="Q8" s="91"/>
    </row>
    <row r="9" spans="2:19" ht="49.5" customHeight="1" x14ac:dyDescent="0.25">
      <c r="B9" s="331" t="e">
        <f>HABILITANTES!#REF!</f>
        <v>#REF!</v>
      </c>
      <c r="C9" s="332">
        <v>2</v>
      </c>
      <c r="D9" s="333" t="str">
        <f>HABILITANTES!B14</f>
        <v>ÁNGULO &amp; VELANDIA SAS</v>
      </c>
      <c r="E9" s="334" t="s">
        <v>91</v>
      </c>
      <c r="F9" s="334" t="s">
        <v>107</v>
      </c>
      <c r="G9" s="335">
        <f>'EXP ADICIONAL'!X11</f>
        <v>0</v>
      </c>
      <c r="H9" s="68">
        <v>10</v>
      </c>
      <c r="I9" s="69" t="s">
        <v>100</v>
      </c>
      <c r="J9" s="98"/>
      <c r="K9" s="339">
        <f>($H$2*J9)+($H$3*J10)+($H$4*J11)+($H$5*J12)</f>
        <v>0</v>
      </c>
      <c r="L9" s="340">
        <f>K9+K14</f>
        <v>15</v>
      </c>
      <c r="M9" s="341">
        <v>10</v>
      </c>
      <c r="N9" s="342">
        <v>327982921</v>
      </c>
      <c r="O9" s="343">
        <v>39.86</v>
      </c>
      <c r="P9" s="344">
        <f>L9+M9+O9</f>
        <v>64.86</v>
      </c>
      <c r="Q9" s="337">
        <v>2</v>
      </c>
      <c r="S9" s="5">
        <v>10</v>
      </c>
    </row>
    <row r="10" spans="2:19" ht="49.5" customHeight="1" x14ac:dyDescent="0.25">
      <c r="B10" s="331"/>
      <c r="C10" s="332"/>
      <c r="D10" s="333"/>
      <c r="E10" s="334"/>
      <c r="F10" s="334"/>
      <c r="G10" s="336"/>
      <c r="H10" s="68">
        <v>20</v>
      </c>
      <c r="I10" s="69" t="s">
        <v>101</v>
      </c>
      <c r="J10" s="98"/>
      <c r="K10" s="339"/>
      <c r="L10" s="340"/>
      <c r="M10" s="341"/>
      <c r="N10" s="342"/>
      <c r="O10" s="343"/>
      <c r="P10" s="344"/>
      <c r="Q10" s="338"/>
      <c r="S10" s="5">
        <v>20</v>
      </c>
    </row>
    <row r="11" spans="2:19" ht="49.5" customHeight="1" x14ac:dyDescent="0.25">
      <c r="B11" s="331"/>
      <c r="C11" s="332"/>
      <c r="D11" s="333"/>
      <c r="E11" s="334"/>
      <c r="F11" s="334"/>
      <c r="G11" s="336"/>
      <c r="H11" s="68">
        <v>25</v>
      </c>
      <c r="I11" s="69" t="s">
        <v>102</v>
      </c>
      <c r="J11" s="98"/>
      <c r="K11" s="339"/>
      <c r="L11" s="340"/>
      <c r="M11" s="341"/>
      <c r="N11" s="342"/>
      <c r="O11" s="343"/>
      <c r="P11" s="344"/>
      <c r="Q11" s="338"/>
      <c r="S11" s="5">
        <v>25</v>
      </c>
    </row>
    <row r="12" spans="2:19" ht="54" customHeight="1" x14ac:dyDescent="0.25">
      <c r="B12" s="331"/>
      <c r="C12" s="332"/>
      <c r="D12" s="333"/>
      <c r="E12" s="334"/>
      <c r="F12" s="334"/>
      <c r="G12" s="336"/>
      <c r="H12" s="68">
        <v>35</v>
      </c>
      <c r="I12" s="69" t="s">
        <v>103</v>
      </c>
      <c r="J12" s="98"/>
      <c r="K12" s="339"/>
      <c r="L12" s="340"/>
      <c r="M12" s="341"/>
      <c r="N12" s="342"/>
      <c r="O12" s="343"/>
      <c r="P12" s="344"/>
      <c r="Q12" s="338"/>
      <c r="S12" s="5">
        <v>35</v>
      </c>
    </row>
    <row r="13" spans="2:19" ht="6" customHeight="1" x14ac:dyDescent="0.25">
      <c r="B13" s="331"/>
      <c r="C13" s="332"/>
      <c r="D13" s="333"/>
      <c r="E13" s="99"/>
      <c r="F13" s="99"/>
      <c r="G13" s="99"/>
      <c r="H13" s="99"/>
      <c r="I13" s="100"/>
      <c r="J13" s="100"/>
      <c r="K13" s="70"/>
      <c r="L13" s="340"/>
      <c r="M13" s="341"/>
      <c r="N13" s="342"/>
      <c r="O13" s="343"/>
      <c r="P13" s="344"/>
      <c r="Q13" s="338"/>
    </row>
    <row r="14" spans="2:19" ht="110.1" customHeight="1" x14ac:dyDescent="0.25">
      <c r="B14" s="331"/>
      <c r="C14" s="332"/>
      <c r="D14" s="333"/>
      <c r="E14" s="86" t="s">
        <v>105</v>
      </c>
      <c r="F14" s="86" t="s">
        <v>106</v>
      </c>
      <c r="G14" s="87"/>
      <c r="H14" s="68">
        <v>15</v>
      </c>
      <c r="I14" s="86"/>
      <c r="J14" s="68" t="s">
        <v>104</v>
      </c>
      <c r="K14" s="101">
        <f>($H$7*1)</f>
        <v>15</v>
      </c>
      <c r="L14" s="340"/>
      <c r="M14" s="341"/>
      <c r="N14" s="342"/>
      <c r="O14" s="343"/>
      <c r="P14" s="344"/>
      <c r="Q14" s="338"/>
      <c r="S14" s="5">
        <v>5</v>
      </c>
    </row>
    <row r="15" spans="2:19" ht="4.5" customHeight="1" x14ac:dyDescent="0.25">
      <c r="B15" s="58"/>
      <c r="C15" s="58"/>
      <c r="D15" s="58"/>
      <c r="E15" s="58"/>
      <c r="F15" s="58"/>
      <c r="G15" s="58"/>
      <c r="H15" s="58"/>
      <c r="I15" s="58"/>
      <c r="J15" s="58"/>
      <c r="K15" s="58"/>
      <c r="L15" s="58"/>
      <c r="M15" s="58"/>
      <c r="N15" s="89"/>
      <c r="O15" s="90"/>
      <c r="P15" s="102"/>
      <c r="Q15" s="91"/>
    </row>
  </sheetData>
  <mergeCells count="27">
    <mergeCell ref="E1:J1"/>
    <mergeCell ref="B2:B7"/>
    <mergeCell ref="C2:C7"/>
    <mergeCell ref="D2:D7"/>
    <mergeCell ref="G2:G5"/>
    <mergeCell ref="E2:E5"/>
    <mergeCell ref="F2:F5"/>
    <mergeCell ref="G9:G12"/>
    <mergeCell ref="Q2:Q7"/>
    <mergeCell ref="K2:K5"/>
    <mergeCell ref="L2:L7"/>
    <mergeCell ref="M2:M7"/>
    <mergeCell ref="N2:N7"/>
    <mergeCell ref="O2:O7"/>
    <mergeCell ref="P2:P7"/>
    <mergeCell ref="Q9:Q14"/>
    <mergeCell ref="K9:K12"/>
    <mergeCell ref="L9:L14"/>
    <mergeCell ref="M9:M14"/>
    <mergeCell ref="N9:N14"/>
    <mergeCell ref="O9:O14"/>
    <mergeCell ref="P9:P14"/>
    <mergeCell ref="B9:B14"/>
    <mergeCell ref="C9:C14"/>
    <mergeCell ref="D9:D14"/>
    <mergeCell ref="E9:E12"/>
    <mergeCell ref="F9:F12"/>
  </mergeCells>
  <dataValidations count="1">
    <dataValidation type="list" allowBlank="1" showInputMessage="1" showErrorMessage="1" sqref="M2:M4 M9:M11">
      <formula1>"10, 0"</formula1>
    </dataValidation>
  </dataValidations>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1"/>
  <sheetViews>
    <sheetView topLeftCell="A2" zoomScale="80" zoomScaleNormal="80" zoomScalePageLayoutView="80" workbookViewId="0">
      <pane ySplit="2" topLeftCell="A4" activePane="bottomLeft" state="frozen"/>
      <selection activeCell="B2" sqref="B2:B10"/>
      <selection pane="bottomLeft" activeCell="H17" sqref="H17"/>
    </sheetView>
  </sheetViews>
  <sheetFormatPr defaultColWidth="11.42578125" defaultRowHeight="26.25" x14ac:dyDescent="0.25"/>
  <cols>
    <col min="1" max="1" width="3" style="5" customWidth="1"/>
    <col min="2" max="2" width="0" style="72" hidden="1" customWidth="1"/>
    <col min="3" max="3" width="52.5703125" style="5" customWidth="1"/>
    <col min="4" max="4" width="22" style="5" customWidth="1"/>
    <col min="5" max="5" width="21.85546875" style="5" customWidth="1"/>
    <col min="6" max="6" width="25.42578125" style="5" bestFit="1" customWidth="1"/>
    <col min="7" max="7" width="12.140625" style="5" customWidth="1"/>
    <col min="8" max="8" width="33.5703125" style="61" customWidth="1"/>
    <col min="9" max="9" width="29.42578125" style="84" hidden="1" customWidth="1"/>
    <col min="10" max="10" width="24.85546875" style="43" hidden="1" customWidth="1"/>
    <col min="11" max="11" width="1.85546875" style="5" customWidth="1"/>
    <col min="12" max="13" width="18.140625" style="5" hidden="1" customWidth="1"/>
    <col min="14" max="16384" width="11.42578125" style="5"/>
  </cols>
  <sheetData>
    <row r="1" spans="2:13" hidden="1" x14ac:dyDescent="0.25">
      <c r="E1" s="73">
        <v>4222205461</v>
      </c>
      <c r="I1" s="5"/>
    </row>
    <row r="2" spans="2:13" ht="54" customHeight="1" x14ac:dyDescent="0.25">
      <c r="B2" s="355" t="s">
        <v>90</v>
      </c>
      <c r="C2" s="356"/>
      <c r="D2" s="152" t="s">
        <v>81</v>
      </c>
      <c r="E2" s="145" t="s">
        <v>82</v>
      </c>
      <c r="F2" s="350" t="s">
        <v>83</v>
      </c>
      <c r="G2" s="350" t="s">
        <v>84</v>
      </c>
      <c r="H2" s="352" t="s">
        <v>85</v>
      </c>
      <c r="I2" s="139" t="s">
        <v>86</v>
      </c>
      <c r="J2" s="354" t="s">
        <v>87</v>
      </c>
      <c r="L2" s="346" t="s">
        <v>88</v>
      </c>
      <c r="M2" s="346" t="s">
        <v>89</v>
      </c>
    </row>
    <row r="3" spans="2:13" ht="26.25" customHeight="1" thickBot="1" x14ac:dyDescent="0.3">
      <c r="B3" s="357"/>
      <c r="C3" s="358"/>
      <c r="D3" s="140">
        <v>339054507</v>
      </c>
      <c r="E3" s="75">
        <v>284919754</v>
      </c>
      <c r="F3" s="351"/>
      <c r="G3" s="351"/>
      <c r="H3" s="353"/>
      <c r="I3" s="140">
        <v>339054507</v>
      </c>
      <c r="J3" s="351"/>
      <c r="L3" s="346"/>
      <c r="M3" s="346"/>
    </row>
    <row r="4" spans="2:13" x14ac:dyDescent="0.25">
      <c r="B4" s="153">
        <v>2</v>
      </c>
      <c r="C4" s="142" t="s">
        <v>27</v>
      </c>
      <c r="D4" s="77">
        <v>330203199.19999999</v>
      </c>
      <c r="E4" s="77">
        <v>277481680</v>
      </c>
      <c r="F4" s="77">
        <v>277481680</v>
      </c>
      <c r="G4" s="136">
        <f>TRUNC(40*(1-(2*(ABS($E$16-F4)/$E$16))),2)</f>
        <v>39.72</v>
      </c>
      <c r="H4" s="146">
        <v>2</v>
      </c>
      <c r="I4" s="141"/>
      <c r="J4" s="80"/>
      <c r="L4" s="81">
        <f>'[1]Resultado de Evaluaciones'!E3</f>
        <v>0</v>
      </c>
      <c r="M4" s="81">
        <f>'[1]Resultado de Evaluaciones'!F3</f>
        <v>0</v>
      </c>
    </row>
    <row r="5" spans="2:13" ht="27" thickBot="1" x14ac:dyDescent="0.3">
      <c r="B5" s="147">
        <v>10</v>
      </c>
      <c r="C5" s="148" t="s">
        <v>29</v>
      </c>
      <c r="D5" s="149">
        <v>327982921</v>
      </c>
      <c r="E5" s="149">
        <f>D5-52367021</f>
        <v>275615900</v>
      </c>
      <c r="F5" s="149">
        <f>E5</f>
        <v>275615900</v>
      </c>
      <c r="G5" s="150">
        <f>+TRUNC(40*(1-(($E$16-F5)/$E$16)),2)</f>
        <v>39.86</v>
      </c>
      <c r="H5" s="151">
        <v>1</v>
      </c>
      <c r="I5" s="141"/>
      <c r="J5" s="80"/>
      <c r="L5" s="81" t="e">
        <f>'[1]Resultado de Evaluaciones'!#REF!</f>
        <v>#REF!</v>
      </c>
      <c r="M5" s="81" t="e">
        <f>'[1]Resultado de Evaluaciones'!#REF!</f>
        <v>#REF!</v>
      </c>
    </row>
    <row r="6" spans="2:13" ht="26.25" hidden="1" customHeight="1" x14ac:dyDescent="0.25">
      <c r="B6" s="130">
        <v>3</v>
      </c>
      <c r="C6" s="142" t="e">
        <f>[1]HABILITANTES!#REF!</f>
        <v>#REF!</v>
      </c>
      <c r="D6" s="143">
        <v>1736040000</v>
      </c>
      <c r="E6" s="143">
        <v>3555050488</v>
      </c>
      <c r="F6" s="143">
        <f t="shared" ref="F6:F12" si="0">E6+$E$1</f>
        <v>7777255949</v>
      </c>
      <c r="G6" s="143"/>
      <c r="H6" s="144"/>
      <c r="I6" s="79">
        <v>8452715542</v>
      </c>
      <c r="J6" s="82" t="e">
        <f>[1]HABILITANTES!#REF!</f>
        <v>#REF!</v>
      </c>
      <c r="L6" s="81" t="e">
        <f>'[1]Resultado de Evaluaciones'!#REF!</f>
        <v>#REF!</v>
      </c>
      <c r="M6" s="81" t="e">
        <f>'[1]Resultado de Evaluaciones'!#REF!</f>
        <v>#REF!</v>
      </c>
    </row>
    <row r="7" spans="2:13" ht="26.25" hidden="1" customHeight="1" x14ac:dyDescent="0.25">
      <c r="B7" s="74">
        <v>1</v>
      </c>
      <c r="C7" s="76" t="str">
        <f>[1]HABILITANTES!B4</f>
        <v xml:space="preserve"> UNION TEMPORAL "TRADENS 2020"</v>
      </c>
      <c r="D7" s="77">
        <v>1710902400</v>
      </c>
      <c r="E7" s="77">
        <v>3469009839</v>
      </c>
      <c r="F7" s="77">
        <f>E7+$E$1</f>
        <v>7691215300</v>
      </c>
      <c r="G7" s="83"/>
      <c r="H7" s="78"/>
      <c r="I7" s="79">
        <v>8350327169</v>
      </c>
      <c r="J7" s="82" t="str">
        <f>[1]HABILITANTES!O4</f>
        <v>NO CUMPLE</v>
      </c>
      <c r="L7" s="83">
        <f>'[1]Resultado de Evaluaciones'!E2</f>
        <v>0</v>
      </c>
      <c r="M7" s="81">
        <f>'[1]Resultado de Evaluaciones'!F2</f>
        <v>0</v>
      </c>
    </row>
    <row r="8" spans="2:13" ht="26.25" hidden="1" customHeight="1" x14ac:dyDescent="0.25">
      <c r="B8" s="74">
        <v>6</v>
      </c>
      <c r="C8" s="76" t="e">
        <f>[1]HABILITANTES!#REF!</f>
        <v>#REF!</v>
      </c>
      <c r="D8" s="77">
        <v>1743985462</v>
      </c>
      <c r="E8" s="77">
        <v>3534405767</v>
      </c>
      <c r="F8" s="77">
        <f t="shared" si="0"/>
        <v>7756611228</v>
      </c>
      <c r="G8" s="77"/>
      <c r="H8" s="78"/>
      <c r="I8" s="79">
        <v>8428148324</v>
      </c>
      <c r="J8" s="82" t="e">
        <f>[1]HABILITANTES!#REF!</f>
        <v>#REF!</v>
      </c>
      <c r="L8" s="81" t="e">
        <f>'[1]Resultado de Evaluaciones'!#REF!</f>
        <v>#REF!</v>
      </c>
      <c r="M8" s="81" t="e">
        <f>'[1]Resultado de Evaluaciones'!#REF!</f>
        <v>#REF!</v>
      </c>
    </row>
    <row r="9" spans="2:13" ht="26.25" hidden="1" customHeight="1" x14ac:dyDescent="0.25">
      <c r="B9" s="74">
        <v>7</v>
      </c>
      <c r="C9" s="76" t="e">
        <f>[1]HABILITANTES!#REF!</f>
        <v>#REF!</v>
      </c>
      <c r="D9" s="77">
        <v>1767959760</v>
      </c>
      <c r="E9" s="77">
        <v>3586978262</v>
      </c>
      <c r="F9" s="77">
        <f t="shared" si="0"/>
        <v>7809183723</v>
      </c>
      <c r="G9" s="77"/>
      <c r="H9" s="78"/>
      <c r="I9" s="79">
        <v>8490709592</v>
      </c>
      <c r="J9" s="82" t="e">
        <f>[1]HABILITANTES!#REF!</f>
        <v>#REF!</v>
      </c>
      <c r="L9" s="83" t="e">
        <f>'[1]Resultado de Evaluaciones'!#REF!</f>
        <v>#REF!</v>
      </c>
      <c r="M9" s="81" t="e">
        <f>'[1]Resultado de Evaluaciones'!#REF!</f>
        <v>#REF!</v>
      </c>
    </row>
    <row r="10" spans="2:13" ht="26.25" hidden="1" customHeight="1" x14ac:dyDescent="0.25">
      <c r="B10" s="74">
        <v>8</v>
      </c>
      <c r="C10" s="76" t="e">
        <f>[1]HABILITANTES!#REF!</f>
        <v>#REF!</v>
      </c>
      <c r="D10" s="77">
        <v>1544450758</v>
      </c>
      <c r="E10" s="77">
        <v>3177812157</v>
      </c>
      <c r="F10" s="77">
        <f t="shared" si="0"/>
        <v>7400017618</v>
      </c>
      <c r="G10" s="77"/>
      <c r="H10" s="78"/>
      <c r="I10" s="79">
        <v>8003801928</v>
      </c>
      <c r="J10" s="82" t="e">
        <f>[1]HABILITANTES!#REF!</f>
        <v>#REF!</v>
      </c>
      <c r="L10" s="83" t="e">
        <f>'[1]Resultado de Evaluaciones'!#REF!</f>
        <v>#REF!</v>
      </c>
      <c r="M10" s="81" t="e">
        <f>'[1]Resultado de Evaluaciones'!#REF!</f>
        <v>#REF!</v>
      </c>
    </row>
    <row r="11" spans="2:13" ht="26.25" hidden="1" customHeight="1" x14ac:dyDescent="0.25">
      <c r="B11" s="74">
        <v>9</v>
      </c>
      <c r="C11" s="76" t="e">
        <f>[1]HABILITANTES!#REF!</f>
        <v>#REF!</v>
      </c>
      <c r="D11" s="77">
        <v>1459708128</v>
      </c>
      <c r="E11" s="77">
        <v>2999808432</v>
      </c>
      <c r="F11" s="77">
        <f t="shared" si="0"/>
        <v>7222013893</v>
      </c>
      <c r="G11" s="77"/>
      <c r="H11" s="78"/>
      <c r="I11" s="79">
        <v>7791977495</v>
      </c>
      <c r="J11" s="82" t="e">
        <f>[1]HABILITANTES!#REF!</f>
        <v>#REF!</v>
      </c>
      <c r="L11" s="81" t="e">
        <f>'[1]Resultado de Evaluaciones'!#REF!</f>
        <v>#REF!</v>
      </c>
      <c r="M11" s="81" t="e">
        <f>'[1]Resultado de Evaluaciones'!#REF!</f>
        <v>#REF!</v>
      </c>
    </row>
    <row r="12" spans="2:13" ht="26.25" hidden="1" customHeight="1" x14ac:dyDescent="0.25">
      <c r="B12" s="74">
        <v>11</v>
      </c>
      <c r="C12" s="76" t="e">
        <f>[1]HABILITANTES!#REF!</f>
        <v>#REF!</v>
      </c>
      <c r="D12" s="77">
        <v>1746901370</v>
      </c>
      <c r="E12" s="77">
        <v>3547064276</v>
      </c>
      <c r="F12" s="77">
        <f t="shared" si="0"/>
        <v>7769269737</v>
      </c>
      <c r="G12" s="77"/>
      <c r="H12" s="78"/>
      <c r="I12" s="79">
        <v>8443211949</v>
      </c>
      <c r="J12" s="82" t="e">
        <f>[1]HABILITANTES!#REF!</f>
        <v>#REF!</v>
      </c>
      <c r="L12" s="83" t="e">
        <f>'[1]Resultado de Evaluaciones'!#REF!</f>
        <v>#REF!</v>
      </c>
      <c r="M12" s="83" t="e">
        <f>'[1]Resultado de Evaluaciones'!#REF!</f>
        <v>#REF!</v>
      </c>
    </row>
    <row r="13" spans="2:13" ht="7.5" customHeight="1" thickBot="1" x14ac:dyDescent="0.3"/>
    <row r="14" spans="2:13" s="43" customFormat="1" ht="45.6" customHeight="1" thickBot="1" x14ac:dyDescent="0.3">
      <c r="C14" s="347" t="s">
        <v>154</v>
      </c>
      <c r="D14" s="348"/>
      <c r="E14" s="348"/>
      <c r="F14" s="348"/>
      <c r="G14" s="348"/>
      <c r="H14" s="348"/>
      <c r="I14" s="348"/>
      <c r="J14" s="349"/>
    </row>
    <row r="15" spans="2:13" ht="23.25" x14ac:dyDescent="0.25">
      <c r="B15" s="5"/>
      <c r="D15" s="133"/>
      <c r="F15" s="137"/>
    </row>
    <row r="16" spans="2:13" ht="23.25" x14ac:dyDescent="0.25">
      <c r="B16" s="5"/>
      <c r="D16" s="134" t="s">
        <v>155</v>
      </c>
      <c r="E16" s="135">
        <f>GEOMEAN(E4,E5)</f>
        <v>276547216.52316809</v>
      </c>
      <c r="F16" s="138"/>
    </row>
    <row r="17" spans="4:6" x14ac:dyDescent="0.25">
      <c r="D17" s="133"/>
      <c r="F17" s="137"/>
    </row>
    <row r="18" spans="4:6" x14ac:dyDescent="0.25">
      <c r="D18" s="133"/>
      <c r="E18" s="133"/>
      <c r="F18" s="133"/>
    </row>
    <row r="19" spans="4:6" x14ac:dyDescent="0.25">
      <c r="D19" s="85"/>
      <c r="E19" s="85"/>
    </row>
    <row r="20" spans="4:6" x14ac:dyDescent="0.25">
      <c r="E20" s="131"/>
    </row>
    <row r="21" spans="4:6" x14ac:dyDescent="0.25">
      <c r="E21" s="132"/>
    </row>
  </sheetData>
  <autoFilter ref="B3:M14"/>
  <mergeCells count="8">
    <mergeCell ref="M2:M3"/>
    <mergeCell ref="C14:J14"/>
    <mergeCell ref="F2:F3"/>
    <mergeCell ref="G2:G3"/>
    <mergeCell ref="H2:H3"/>
    <mergeCell ref="J2:J3"/>
    <mergeCell ref="L2:L3"/>
    <mergeCell ref="B2:C3"/>
  </mergeCells>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HABILITANTES</vt:lpstr>
      <vt:lpstr>HV</vt:lpstr>
      <vt:lpstr>EXP ADICIONAL</vt:lpstr>
      <vt:lpstr>PUNTUABLES</vt:lpstr>
      <vt:lpstr>Evaluación Económica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Maritza Gómez</dc:creator>
  <cp:lastModifiedBy>OlgaLucia</cp:lastModifiedBy>
  <cp:lastPrinted>2020-10-23T23:03:21Z</cp:lastPrinted>
  <dcterms:created xsi:type="dcterms:W3CDTF">2020-08-22T02:34:04Z</dcterms:created>
  <dcterms:modified xsi:type="dcterms:W3CDTF">2020-10-24T00:05:44Z</dcterms:modified>
</cp:coreProperties>
</file>