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UA\Alcaldía de Mosquera\JDGL\2025\Actividades\Procesos de selección\Vigilancia nuevo\"/>
    </mc:Choice>
  </mc:AlternateContent>
  <xr:revisionPtr revIDLastSave="0" documentId="13_ncr:1_{D58ABAB7-EFCD-41D5-A70F-B1D25251A4EF}" xr6:coauthVersionLast="47" xr6:coauthVersionMax="47" xr10:uidLastSave="{00000000-0000-0000-0000-000000000000}"/>
  <bookViews>
    <workbookView xWindow="-120" yWindow="-120" windowWidth="29040" windowHeight="15720" activeTab="1" xr2:uid="{35DB34B4-EB14-436B-95B5-CDF736A7507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2" l="1"/>
  <c r="D22" i="2"/>
  <c r="D34" i="2"/>
  <c r="D55" i="2"/>
  <c r="M12" i="1"/>
  <c r="M60" i="1"/>
  <c r="M61" i="1"/>
  <c r="H81" i="1"/>
  <c r="H83" i="1"/>
  <c r="H82" i="1"/>
  <c r="H84" i="1"/>
  <c r="M86" i="1"/>
  <c r="E53" i="1"/>
  <c r="G53" i="1" s="1"/>
  <c r="F59" i="1"/>
  <c r="D59" i="1"/>
  <c r="E41" i="1"/>
  <c r="F47" i="1"/>
  <c r="D47" i="1"/>
  <c r="F35" i="1"/>
  <c r="D35" i="1"/>
  <c r="E29" i="1"/>
  <c r="E34" i="1" s="1"/>
  <c r="G34" i="1" s="1"/>
  <c r="E80" i="1"/>
  <c r="D80" i="1"/>
  <c r="F79" i="1"/>
  <c r="G79" i="1" s="1"/>
  <c r="H79" i="1" s="1"/>
  <c r="F78" i="1"/>
  <c r="G78" i="1" s="1"/>
  <c r="H78" i="1" s="1"/>
  <c r="F77" i="1"/>
  <c r="G77" i="1" s="1"/>
  <c r="H77" i="1" s="1"/>
  <c r="F76" i="1"/>
  <c r="G76" i="1" s="1"/>
  <c r="H76" i="1" s="1"/>
  <c r="F75" i="1"/>
  <c r="G75" i="1" s="1"/>
  <c r="H75" i="1" s="1"/>
  <c r="F74" i="1"/>
  <c r="G74" i="1" s="1"/>
  <c r="H74" i="1" s="1"/>
  <c r="F73" i="1"/>
  <c r="G73" i="1" s="1"/>
  <c r="H73" i="1" s="1"/>
  <c r="F72" i="1"/>
  <c r="G72" i="1" s="1"/>
  <c r="H72" i="1" s="1"/>
  <c r="F71" i="1"/>
  <c r="G71" i="1" s="1"/>
  <c r="H71" i="1" s="1"/>
  <c r="F70" i="1"/>
  <c r="G70" i="1" s="1"/>
  <c r="H70" i="1" s="1"/>
  <c r="F69" i="1"/>
  <c r="G69" i="1" s="1"/>
  <c r="H69" i="1" s="1"/>
  <c r="F68" i="1"/>
  <c r="G68" i="1" s="1"/>
  <c r="H68" i="1" s="1"/>
  <c r="F67" i="1"/>
  <c r="G67" i="1" s="1"/>
  <c r="H67" i="1" s="1"/>
  <c r="F66" i="1"/>
  <c r="F23" i="1"/>
  <c r="D23" i="1"/>
  <c r="E17" i="1"/>
  <c r="E22" i="1" s="1"/>
  <c r="G22" i="1" s="1"/>
  <c r="F10" i="1"/>
  <c r="D10" i="1"/>
  <c r="E4" i="1"/>
  <c r="E58" i="1" l="1"/>
  <c r="G58" i="1" s="1"/>
  <c r="H58" i="1" s="1"/>
  <c r="I58" i="1" s="1"/>
  <c r="H53" i="1"/>
  <c r="I53" i="1" s="1"/>
  <c r="E54" i="1"/>
  <c r="E55" i="1"/>
  <c r="G55" i="1" s="1"/>
  <c r="E56" i="1"/>
  <c r="G56" i="1" s="1"/>
  <c r="E57" i="1"/>
  <c r="G57" i="1" s="1"/>
  <c r="E42" i="1"/>
  <c r="G42" i="1" s="1"/>
  <c r="E43" i="1"/>
  <c r="G43" i="1" s="1"/>
  <c r="E44" i="1"/>
  <c r="G44" i="1" s="1"/>
  <c r="E45" i="1"/>
  <c r="G45" i="1" s="1"/>
  <c r="E46" i="1"/>
  <c r="G46" i="1" s="1"/>
  <c r="G41" i="1"/>
  <c r="F80" i="1"/>
  <c r="H34" i="1"/>
  <c r="I34" i="1" s="1"/>
  <c r="E31" i="1"/>
  <c r="G31" i="1" s="1"/>
  <c r="G29" i="1"/>
  <c r="E30" i="1"/>
  <c r="G30" i="1" s="1"/>
  <c r="E32" i="1"/>
  <c r="G32" i="1" s="1"/>
  <c r="E33" i="1"/>
  <c r="G33" i="1" s="1"/>
  <c r="G17" i="1"/>
  <c r="H17" i="1" s="1"/>
  <c r="G66" i="1"/>
  <c r="H66" i="1" s="1"/>
  <c r="H80" i="1" s="1"/>
  <c r="H22" i="1"/>
  <c r="I22" i="1" s="1"/>
  <c r="E18" i="1"/>
  <c r="E19" i="1"/>
  <c r="G19" i="1" s="1"/>
  <c r="E20" i="1"/>
  <c r="G20" i="1" s="1"/>
  <c r="E21" i="1"/>
  <c r="G21" i="1" s="1"/>
  <c r="E5" i="1"/>
  <c r="G5" i="1" s="1"/>
  <c r="E6" i="1"/>
  <c r="G6" i="1" s="1"/>
  <c r="E7" i="1"/>
  <c r="G7" i="1" s="1"/>
  <c r="E8" i="1"/>
  <c r="G8" i="1" s="1"/>
  <c r="E9" i="1"/>
  <c r="G9" i="1" s="1"/>
  <c r="G4" i="1"/>
  <c r="G80" i="1" l="1"/>
  <c r="J53" i="1"/>
  <c r="H56" i="1"/>
  <c r="I56" i="1" s="1"/>
  <c r="E59" i="1"/>
  <c r="G54" i="1"/>
  <c r="H57" i="1"/>
  <c r="I57" i="1" s="1"/>
  <c r="J58" i="1"/>
  <c r="K58" i="1" s="1"/>
  <c r="L58" i="1" s="1"/>
  <c r="M58" i="1" s="1"/>
  <c r="H55" i="1"/>
  <c r="I55" i="1" s="1"/>
  <c r="H46" i="1"/>
  <c r="I46" i="1" s="1"/>
  <c r="H45" i="1"/>
  <c r="I45" i="1" s="1"/>
  <c r="H41" i="1"/>
  <c r="G47" i="1"/>
  <c r="H44" i="1"/>
  <c r="I44" i="1" s="1"/>
  <c r="H42" i="1"/>
  <c r="I42" i="1" s="1"/>
  <c r="H43" i="1"/>
  <c r="I43" i="1" s="1"/>
  <c r="E47" i="1"/>
  <c r="J34" i="1"/>
  <c r="K34" i="1" s="1"/>
  <c r="L34" i="1" s="1"/>
  <c r="M34" i="1" s="1"/>
  <c r="H33" i="1"/>
  <c r="I33" i="1" s="1"/>
  <c r="H32" i="1"/>
  <c r="I32" i="1" s="1"/>
  <c r="H29" i="1"/>
  <c r="G35" i="1"/>
  <c r="H31" i="1"/>
  <c r="I31" i="1" s="1"/>
  <c r="H30" i="1"/>
  <c r="I30" i="1" s="1"/>
  <c r="E35" i="1"/>
  <c r="J22" i="1"/>
  <c r="K22" i="1" s="1"/>
  <c r="L22" i="1" s="1"/>
  <c r="M22" i="1" s="1"/>
  <c r="H7" i="1"/>
  <c r="I7" i="1" s="1"/>
  <c r="H19" i="1"/>
  <c r="I19" i="1" s="1"/>
  <c r="H5" i="1"/>
  <c r="I5" i="1" s="1"/>
  <c r="H8" i="1"/>
  <c r="I8" i="1" s="1"/>
  <c r="H6" i="1"/>
  <c r="I6" i="1" s="1"/>
  <c r="E10" i="1"/>
  <c r="G10" i="1"/>
  <c r="H4" i="1"/>
  <c r="H21" i="1"/>
  <c r="I21" i="1" s="1"/>
  <c r="H9" i="1"/>
  <c r="I9" i="1" s="1"/>
  <c r="E23" i="1"/>
  <c r="G18" i="1"/>
  <c r="I17" i="1"/>
  <c r="H20" i="1"/>
  <c r="I20" i="1" s="1"/>
  <c r="J55" i="1" l="1"/>
  <c r="K55" i="1" s="1"/>
  <c r="L55" i="1" s="1"/>
  <c r="M55" i="1" s="1"/>
  <c r="J57" i="1"/>
  <c r="K57" i="1" s="1"/>
  <c r="L57" i="1" s="1"/>
  <c r="M57" i="1" s="1"/>
  <c r="J56" i="1"/>
  <c r="K56" i="1" s="1"/>
  <c r="L56" i="1" s="1"/>
  <c r="M56" i="1" s="1"/>
  <c r="H54" i="1"/>
  <c r="H59" i="1" s="1"/>
  <c r="G59" i="1"/>
  <c r="K53" i="1"/>
  <c r="H35" i="1"/>
  <c r="H47" i="1"/>
  <c r="J44" i="1"/>
  <c r="K44" i="1" s="1"/>
  <c r="L44" i="1" s="1"/>
  <c r="M44" i="1" s="1"/>
  <c r="J43" i="1"/>
  <c r="K43" i="1" s="1"/>
  <c r="L43" i="1" s="1"/>
  <c r="M43" i="1" s="1"/>
  <c r="J46" i="1"/>
  <c r="K46" i="1" s="1"/>
  <c r="L46" i="1" s="1"/>
  <c r="M46" i="1" s="1"/>
  <c r="J45" i="1"/>
  <c r="K45" i="1" s="1"/>
  <c r="L45" i="1" s="1"/>
  <c r="M45" i="1" s="1"/>
  <c r="J42" i="1"/>
  <c r="K42" i="1" s="1"/>
  <c r="L42" i="1" s="1"/>
  <c r="M42" i="1" s="1"/>
  <c r="I41" i="1"/>
  <c r="J30" i="1"/>
  <c r="K30" i="1" s="1"/>
  <c r="L30" i="1" s="1"/>
  <c r="M30" i="1" s="1"/>
  <c r="J31" i="1"/>
  <c r="K31" i="1" s="1"/>
  <c r="L31" i="1" s="1"/>
  <c r="M31" i="1" s="1"/>
  <c r="J32" i="1"/>
  <c r="K32" i="1" s="1"/>
  <c r="L32" i="1" s="1"/>
  <c r="M32" i="1" s="1"/>
  <c r="J33" i="1"/>
  <c r="K33" i="1" s="1"/>
  <c r="L33" i="1" s="1"/>
  <c r="M33" i="1" s="1"/>
  <c r="I29" i="1"/>
  <c r="H10" i="1"/>
  <c r="J6" i="1"/>
  <c r="K6" i="1" s="1"/>
  <c r="L6" i="1" s="1"/>
  <c r="M6" i="1" s="1"/>
  <c r="J9" i="1"/>
  <c r="K9" i="1" s="1"/>
  <c r="L9" i="1" s="1"/>
  <c r="M9" i="1" s="1"/>
  <c r="J5" i="1"/>
  <c r="K5" i="1" s="1"/>
  <c r="L5" i="1" s="1"/>
  <c r="M5" i="1" s="1"/>
  <c r="J19" i="1"/>
  <c r="K19" i="1" s="1"/>
  <c r="L19" i="1" s="1"/>
  <c r="M19" i="1" s="1"/>
  <c r="J7" i="1"/>
  <c r="K7" i="1" s="1"/>
  <c r="L7" i="1" s="1"/>
  <c r="M7" i="1" s="1"/>
  <c r="I4" i="1"/>
  <c r="H18" i="1"/>
  <c r="H23" i="1" s="1"/>
  <c r="G23" i="1"/>
  <c r="J17" i="1"/>
  <c r="J20" i="1"/>
  <c r="K20" i="1" s="1"/>
  <c r="L20" i="1" s="1"/>
  <c r="M20" i="1" s="1"/>
  <c r="J21" i="1"/>
  <c r="K21" i="1" s="1"/>
  <c r="L21" i="1" s="1"/>
  <c r="M21" i="1" s="1"/>
  <c r="J8" i="1"/>
  <c r="K8" i="1" s="1"/>
  <c r="L8" i="1" s="1"/>
  <c r="M8" i="1" s="1"/>
  <c r="I54" i="1" l="1"/>
  <c r="L53" i="1"/>
  <c r="I47" i="1"/>
  <c r="J41" i="1"/>
  <c r="J47" i="1" s="1"/>
  <c r="I35" i="1"/>
  <c r="J29" i="1"/>
  <c r="J35" i="1" s="1"/>
  <c r="I18" i="1"/>
  <c r="I10" i="1"/>
  <c r="J4" i="1"/>
  <c r="J10" i="1" s="1"/>
  <c r="K17" i="1"/>
  <c r="M53" i="1" l="1"/>
  <c r="J54" i="1"/>
  <c r="J59" i="1" s="1"/>
  <c r="I59" i="1"/>
  <c r="K41" i="1"/>
  <c r="K29" i="1"/>
  <c r="L17" i="1"/>
  <c r="K4" i="1"/>
  <c r="J18" i="1"/>
  <c r="J23" i="1" s="1"/>
  <c r="I23" i="1"/>
  <c r="K54" i="1" l="1"/>
  <c r="L41" i="1"/>
  <c r="K47" i="1"/>
  <c r="K35" i="1"/>
  <c r="L29" i="1"/>
  <c r="M17" i="1"/>
  <c r="K18" i="1"/>
  <c r="L4" i="1"/>
  <c r="K10" i="1"/>
  <c r="L54" i="1" l="1"/>
  <c r="K59" i="1"/>
  <c r="L47" i="1"/>
  <c r="M41" i="1"/>
  <c r="L35" i="1"/>
  <c r="M36" i="1" s="1"/>
  <c r="M37" i="1" s="1"/>
  <c r="M29" i="1"/>
  <c r="M11" i="1"/>
  <c r="L10" i="1"/>
  <c r="M4" i="1"/>
  <c r="M10" i="1" s="1"/>
  <c r="L18" i="1"/>
  <c r="K23" i="1"/>
  <c r="M54" i="1" l="1"/>
  <c r="M59" i="1" s="1"/>
  <c r="L59" i="1"/>
  <c r="M47" i="1"/>
  <c r="M48" i="1" s="1"/>
  <c r="M49" i="1" s="1"/>
  <c r="M35" i="1"/>
  <c r="M18" i="1"/>
  <c r="L23" i="1"/>
  <c r="M13" i="1"/>
  <c r="M23" i="1" l="1"/>
  <c r="M24" i="1" l="1"/>
  <c r="M25" i="1" s="1"/>
  <c r="M63" i="1" s="1"/>
  <c r="M88" i="1" s="1"/>
</calcChain>
</file>

<file path=xl/sharedStrings.xml><?xml version="1.0" encoding="utf-8"?>
<sst xmlns="http://schemas.openxmlformats.org/spreadsheetml/2006/main" count="233" uniqueCount="64">
  <si>
    <t>Periodo del 1° de noviembre al 24 de diciembre de 2025</t>
  </si>
  <si>
    <t>Ítem</t>
  </si>
  <si>
    <t>Descripción</t>
  </si>
  <si>
    <t>Unidad</t>
  </si>
  <si>
    <t>Costo directo (9,53)</t>
  </si>
  <si>
    <t>Prima seguro de vida por servicio</t>
  </si>
  <si>
    <t>Tarifa base + prima de seguro</t>
  </si>
  <si>
    <t>A Y S</t>
  </si>
  <si>
    <t>Valor unitario mensual</t>
  </si>
  <si>
    <t>IVA</t>
  </si>
  <si>
    <t>Valor unitario mensual con IVA</t>
  </si>
  <si>
    <t>Valor total</t>
  </si>
  <si>
    <t>Valor por día</t>
  </si>
  <si>
    <t>Servicio de vigilancia sin arma 24 horas</t>
  </si>
  <si>
    <t>Servicio de vigilancia sin arma 12 horas diurna, de lunes a viernes sin festivos</t>
  </si>
  <si>
    <t>Servicio de vigilancia sin arma 12 horas nocturna  de lunes a viernes y 24 horas fines de semana y festivos</t>
  </si>
  <si>
    <t>Servicio de vigilancia sin arma y canino 12 horas diurna</t>
  </si>
  <si>
    <t xml:space="preserve">Servicio de vigilancia con arma 12 horas nocturna de lunes a viernes y 24 horas fines de semana y festivos </t>
  </si>
  <si>
    <t xml:space="preserve">Servicio de vigilancia con arma 24 horas </t>
  </si>
  <si>
    <t>Total</t>
  </si>
  <si>
    <t>Valor mes</t>
  </si>
  <si>
    <t>Valor veiticuatro días</t>
  </si>
  <si>
    <t>Valor total periodo</t>
  </si>
  <si>
    <t>Periodo del 25 al 31 de diciembre de 2025</t>
  </si>
  <si>
    <t>Costo directo (9,77)</t>
  </si>
  <si>
    <t>Valor seis días</t>
  </si>
  <si>
    <t>Total vigilancia</t>
  </si>
  <si>
    <t>No.</t>
  </si>
  <si>
    <t>Nombre puesto</t>
  </si>
  <si>
    <t>Cámaras</t>
  </si>
  <si>
    <t>Valor unitario mes</t>
  </si>
  <si>
    <t>Valor total mensual</t>
  </si>
  <si>
    <t>Valor día</t>
  </si>
  <si>
    <t>Antonio Nariño Sede Principal</t>
  </si>
  <si>
    <t>Antonio Nariño La Fraternidad</t>
  </si>
  <si>
    <t>Antonio Nariño El Diamante</t>
  </si>
  <si>
    <t>Juan Luis Londoño de la Cuesta Sede Principal</t>
  </si>
  <si>
    <t>La Armonía Sede Francisco de Paula Santander</t>
  </si>
  <si>
    <t>La Merced Sede Principal</t>
  </si>
  <si>
    <t>La Paz</t>
  </si>
  <si>
    <t>Institución Educativa Mayor de Mosquera Sede Principal</t>
  </si>
  <si>
    <t>Institución Educativa Mayor de Mosquera Sede El Lucero</t>
  </si>
  <si>
    <t>Institución Educativa Mayor de Mosquera Sede La Amistad</t>
  </si>
  <si>
    <t>Roberto Velandia Sede Pincipal</t>
  </si>
  <si>
    <t>Roberto Velandia Sede Nuevo Milenio</t>
  </si>
  <si>
    <t>La merced Jardin Infantil</t>
  </si>
  <si>
    <t>La Merced Los Puentes</t>
  </si>
  <si>
    <t>Total videovigilancia</t>
  </si>
  <si>
    <t>Total vigilancia y videovigilancia</t>
  </si>
  <si>
    <t>Valor seis meses</t>
  </si>
  <si>
    <t>Costo directo (9,85)</t>
  </si>
  <si>
    <t>Valor catorce días</t>
  </si>
  <si>
    <t>Costo directo (10,21)</t>
  </si>
  <si>
    <t>Valor dos meses 2025</t>
  </si>
  <si>
    <t>Periodo del 1° de enero al 30 de junio de 2026</t>
  </si>
  <si>
    <t>Periodo del 1° de junio al 14 de julio de 2026</t>
  </si>
  <si>
    <t>Periodo del 15 de julio al 15 de noviembre de 2026</t>
  </si>
  <si>
    <t>Valor cuatro meses</t>
  </si>
  <si>
    <t>Valor diez meses 2026</t>
  </si>
  <si>
    <t>Valor quince días  2026</t>
  </si>
  <si>
    <t>Periodo del 1° al 24 de diciembre de 2025</t>
  </si>
  <si>
    <t>Periodo del 1° de enero al 30 de abril de 2026</t>
  </si>
  <si>
    <t>Valor veinticuatro días</t>
  </si>
  <si>
    <t>Valor cinco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</si>
</sst>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\ #,##0.00;\-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7" fontId="4" fillId="0" borderId="9" xfId="0" applyNumberFormat="1" applyFont="1" applyBorder="1" applyAlignment="1">
      <alignment horizontal="center" vertical="center" wrapText="1"/>
    </xf>
    <xf numFmtId="7" fontId="4" fillId="0" borderId="10" xfId="0" applyNumberFormat="1" applyFont="1" applyBorder="1" applyAlignment="1">
      <alignment horizontal="center" vertical="center" wrapText="1"/>
    </xf>
    <xf numFmtId="7" fontId="0" fillId="0" borderId="11" xfId="0" applyNumberForma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7" fontId="4" fillId="0" borderId="13" xfId="0" applyNumberFormat="1" applyFont="1" applyBorder="1" applyAlignment="1">
      <alignment horizontal="center" vertical="center" wrapText="1"/>
    </xf>
    <xf numFmtId="7" fontId="4" fillId="0" borderId="14" xfId="0" applyNumberFormat="1" applyFont="1" applyBorder="1" applyAlignment="1">
      <alignment horizontal="center" vertical="center" wrapText="1"/>
    </xf>
    <xf numFmtId="7" fontId="0" fillId="0" borderId="15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7" fontId="0" fillId="0" borderId="17" xfId="0" applyNumberFormat="1" applyBorder="1" applyAlignment="1">
      <alignment horizontal="center" vertical="center" wrapText="1"/>
    </xf>
    <xf numFmtId="7" fontId="0" fillId="0" borderId="18" xfId="0" applyNumberFormat="1" applyBorder="1" applyAlignment="1">
      <alignment horizontal="center" vertical="center" wrapText="1"/>
    </xf>
    <xf numFmtId="7" fontId="3" fillId="0" borderId="22" xfId="0" applyNumberFormat="1" applyFont="1" applyBorder="1" applyAlignment="1">
      <alignment horizontal="center" vertical="center" wrapText="1"/>
    </xf>
    <xf numFmtId="7" fontId="3" fillId="0" borderId="2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7" fontId="4" fillId="0" borderId="25" xfId="0" applyNumberFormat="1" applyFont="1" applyBorder="1" applyAlignment="1">
      <alignment horizontal="center" vertical="center" wrapText="1"/>
    </xf>
    <xf numFmtId="7" fontId="4" fillId="0" borderId="26" xfId="0" applyNumberFormat="1" applyFont="1" applyBorder="1" applyAlignment="1">
      <alignment horizontal="center" vertical="center" wrapText="1"/>
    </xf>
    <xf numFmtId="7" fontId="0" fillId="0" borderId="27" xfId="0" applyNumberForma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center" vertical="center" wrapText="1"/>
    </xf>
    <xf numFmtId="7" fontId="4" fillId="0" borderId="29" xfId="0" applyNumberFormat="1" applyFont="1" applyBorder="1" applyAlignment="1">
      <alignment horizontal="center" vertical="center" wrapText="1"/>
    </xf>
    <xf numFmtId="7" fontId="4" fillId="0" borderId="30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7" fontId="4" fillId="0" borderId="11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7" fontId="4" fillId="0" borderId="15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7" fontId="4" fillId="0" borderId="17" xfId="0" applyNumberFormat="1" applyFont="1" applyBorder="1" applyAlignment="1">
      <alignment vertical="center" wrapText="1"/>
    </xf>
    <xf numFmtId="7" fontId="4" fillId="0" borderId="17" xfId="0" applyNumberFormat="1" applyFont="1" applyBorder="1" applyAlignment="1">
      <alignment horizontal="center" vertical="center" wrapText="1"/>
    </xf>
    <xf numFmtId="7" fontId="2" fillId="0" borderId="23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7" fontId="0" fillId="0" borderId="0" xfId="0" applyNumberFormat="1"/>
    <xf numFmtId="3" fontId="0" fillId="0" borderId="0" xfId="0" applyNumberFormat="1"/>
    <xf numFmtId="9" fontId="0" fillId="0" borderId="0" xfId="1" applyFont="1"/>
    <xf numFmtId="9" fontId="0" fillId="0" borderId="0" xfId="1" applyFont="1" applyAlignment="1">
      <alignment wrapText="1"/>
    </xf>
    <xf numFmtId="7" fontId="0" fillId="0" borderId="0" xfId="0" applyNumberForma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99407-6214-424C-AE17-BB35340ADF4D}">
  <dimension ref="B1:O89"/>
  <sheetViews>
    <sheetView topLeftCell="B53" zoomScale="85" zoomScaleNormal="85" workbookViewId="0">
      <selection activeCell="B2" sqref="B2:M88"/>
    </sheetView>
  </sheetViews>
  <sheetFormatPr baseColWidth="10" defaultRowHeight="15" x14ac:dyDescent="0.25"/>
  <cols>
    <col min="3" max="3" width="61.5703125" customWidth="1"/>
    <col min="5" max="5" width="15.42578125" bestFit="1" customWidth="1"/>
    <col min="6" max="6" width="12.7109375" bestFit="1" customWidth="1"/>
    <col min="7" max="7" width="15.42578125" bestFit="1" customWidth="1"/>
    <col min="8" max="8" width="15.7109375" bestFit="1" customWidth="1"/>
    <col min="9" max="9" width="15.42578125" bestFit="1" customWidth="1"/>
    <col min="10" max="10" width="14.28515625" bestFit="1" customWidth="1"/>
    <col min="11" max="11" width="15.42578125" bestFit="1" customWidth="1"/>
    <col min="12" max="12" width="16.5703125" bestFit="1" customWidth="1"/>
    <col min="13" max="13" width="18.7109375" bestFit="1" customWidth="1"/>
    <col min="15" max="15" width="16.85546875" customWidth="1"/>
  </cols>
  <sheetData>
    <row r="1" spans="2:13" ht="15.75" thickBot="1" x14ac:dyDescent="0.3"/>
    <row r="2" spans="2:13" ht="15.75" thickBot="1" x14ac:dyDescent="0.3">
      <c r="B2" s="49" t="s">
        <v>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1"/>
    </row>
    <row r="3" spans="2:13" ht="45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M3" s="4" t="s">
        <v>12</v>
      </c>
    </row>
    <row r="4" spans="2:13" x14ac:dyDescent="0.25">
      <c r="B4" s="5">
        <v>1</v>
      </c>
      <c r="C4" s="6" t="s">
        <v>13</v>
      </c>
      <c r="D4" s="6">
        <v>1</v>
      </c>
      <c r="E4" s="7">
        <f>1423500*9.53</f>
        <v>13565955</v>
      </c>
      <c r="F4" s="7">
        <v>4500</v>
      </c>
      <c r="G4" s="7">
        <f t="shared" ref="G4:G9" si="0">E4+F4</f>
        <v>13570455</v>
      </c>
      <c r="H4" s="7">
        <f>ROUND(G4*0.08,0)</f>
        <v>1085636</v>
      </c>
      <c r="I4" s="7">
        <f t="shared" ref="I4:I9" si="1">G4+H4</f>
        <v>14656091</v>
      </c>
      <c r="J4" s="7">
        <f t="shared" ref="J4:J9" si="2">ROUND(I4*1.9%,0)</f>
        <v>278466</v>
      </c>
      <c r="K4" s="7">
        <f t="shared" ref="K4:K9" si="3">I4+J4</f>
        <v>14934557</v>
      </c>
      <c r="L4" s="8">
        <f t="shared" ref="L4:L9" si="4">K4*D4</f>
        <v>14934557</v>
      </c>
      <c r="M4" s="9">
        <f t="shared" ref="M4:M9" si="5">L4/30</f>
        <v>497818.56666666665</v>
      </c>
    </row>
    <row r="5" spans="2:13" ht="30" x14ac:dyDescent="0.25">
      <c r="B5" s="5">
        <v>2</v>
      </c>
      <c r="C5" s="10" t="s">
        <v>14</v>
      </c>
      <c r="D5" s="6">
        <v>27</v>
      </c>
      <c r="E5" s="7">
        <f>+((E4*55.97%/15*12))/30*20</f>
        <v>4049528.0071999999</v>
      </c>
      <c r="F5" s="7">
        <v>2250</v>
      </c>
      <c r="G5" s="7">
        <f t="shared" si="0"/>
        <v>4051778.0071999999</v>
      </c>
      <c r="H5" s="7">
        <f>ROUND(G5*0.08,0)</f>
        <v>324142</v>
      </c>
      <c r="I5" s="7">
        <f t="shared" si="1"/>
        <v>4375920.0071999999</v>
      </c>
      <c r="J5" s="7">
        <f t="shared" si="2"/>
        <v>83142</v>
      </c>
      <c r="K5" s="7">
        <f t="shared" si="3"/>
        <v>4459062.0071999999</v>
      </c>
      <c r="L5" s="8">
        <f t="shared" si="4"/>
        <v>120394674.1944</v>
      </c>
      <c r="M5" s="9">
        <f t="shared" si="5"/>
        <v>4013155.8064799998</v>
      </c>
    </row>
    <row r="6" spans="2:13" ht="30" x14ac:dyDescent="0.25">
      <c r="B6" s="5">
        <v>3</v>
      </c>
      <c r="C6" s="10" t="s">
        <v>15</v>
      </c>
      <c r="D6" s="6">
        <v>3</v>
      </c>
      <c r="E6" s="7">
        <f>+(((E4*55.97%/15*3)+(E4*44.03%))/30*20)+(E4/30*10)</f>
        <v>9516426.9928000011</v>
      </c>
      <c r="F6" s="7">
        <v>2250</v>
      </c>
      <c r="G6" s="7">
        <f t="shared" si="0"/>
        <v>9518676.9928000011</v>
      </c>
      <c r="H6" s="7">
        <f>ROUND(G6*0.08,0)</f>
        <v>761494</v>
      </c>
      <c r="I6" s="7">
        <f t="shared" si="1"/>
        <v>10280170.992800001</v>
      </c>
      <c r="J6" s="7">
        <f t="shared" si="2"/>
        <v>195323</v>
      </c>
      <c r="K6" s="7">
        <f t="shared" si="3"/>
        <v>10475493.992800001</v>
      </c>
      <c r="L6" s="8">
        <f t="shared" si="4"/>
        <v>31426481.978400003</v>
      </c>
      <c r="M6" s="9">
        <f t="shared" si="5"/>
        <v>1047549.3992800001</v>
      </c>
    </row>
    <row r="7" spans="2:13" x14ac:dyDescent="0.25">
      <c r="B7" s="5">
        <v>4</v>
      </c>
      <c r="C7" s="10" t="s">
        <v>16</v>
      </c>
      <c r="D7" s="6">
        <v>9</v>
      </c>
      <c r="E7" s="7">
        <f>+((E4*55.97%)/15*12)</f>
        <v>6074292.0108000003</v>
      </c>
      <c r="F7" s="7">
        <v>2250</v>
      </c>
      <c r="G7" s="7">
        <f t="shared" si="0"/>
        <v>6076542.0108000003</v>
      </c>
      <c r="H7" s="7">
        <f>ROUND(G7*0.11,0)</f>
        <v>668420</v>
      </c>
      <c r="I7" s="7">
        <f t="shared" si="1"/>
        <v>6744962.0108000003</v>
      </c>
      <c r="J7" s="7">
        <f t="shared" si="2"/>
        <v>128154</v>
      </c>
      <c r="K7" s="7">
        <f t="shared" si="3"/>
        <v>6873116.0108000003</v>
      </c>
      <c r="L7" s="8">
        <f t="shared" si="4"/>
        <v>61858044.097200006</v>
      </c>
      <c r="M7" s="9">
        <f t="shared" si="5"/>
        <v>2061934.8032400003</v>
      </c>
    </row>
    <row r="8" spans="2:13" ht="30" x14ac:dyDescent="0.25">
      <c r="B8" s="5">
        <v>5</v>
      </c>
      <c r="C8" s="10" t="s">
        <v>17</v>
      </c>
      <c r="D8" s="6">
        <v>17</v>
      </c>
      <c r="E8" s="7">
        <f>+(((E4*55.97%/15*3)+(E4*44.03%))/30*20)+(E4/30*10)</f>
        <v>9516426.9928000011</v>
      </c>
      <c r="F8" s="7">
        <v>2250</v>
      </c>
      <c r="G8" s="7">
        <f t="shared" si="0"/>
        <v>9518676.9928000011</v>
      </c>
      <c r="H8" s="7">
        <f>ROUND(G8*0.1,0)</f>
        <v>951868</v>
      </c>
      <c r="I8" s="7">
        <f t="shared" si="1"/>
        <v>10470544.992800001</v>
      </c>
      <c r="J8" s="7">
        <f t="shared" si="2"/>
        <v>198940</v>
      </c>
      <c r="K8" s="7">
        <f t="shared" si="3"/>
        <v>10669484.992800001</v>
      </c>
      <c r="L8" s="8">
        <f t="shared" si="4"/>
        <v>181381244.87760001</v>
      </c>
      <c r="M8" s="9">
        <f t="shared" si="5"/>
        <v>6046041.4959200006</v>
      </c>
    </row>
    <row r="9" spans="2:13" ht="15.75" thickBot="1" x14ac:dyDescent="0.3">
      <c r="B9" s="11">
        <v>6</v>
      </c>
      <c r="C9" s="12" t="s">
        <v>18</v>
      </c>
      <c r="D9" s="12">
        <v>12</v>
      </c>
      <c r="E9" s="13">
        <f>E4</f>
        <v>13565955</v>
      </c>
      <c r="F9" s="7">
        <v>4500</v>
      </c>
      <c r="G9" s="13">
        <f t="shared" si="0"/>
        <v>13570455</v>
      </c>
      <c r="H9" s="13">
        <f>ROUND(G9*0.1,0)</f>
        <v>1357046</v>
      </c>
      <c r="I9" s="13">
        <f t="shared" si="1"/>
        <v>14927501</v>
      </c>
      <c r="J9" s="13">
        <f t="shared" si="2"/>
        <v>283623</v>
      </c>
      <c r="K9" s="13">
        <f t="shared" si="3"/>
        <v>15211124</v>
      </c>
      <c r="L9" s="14">
        <f t="shared" si="4"/>
        <v>182533488</v>
      </c>
      <c r="M9" s="15">
        <f t="shared" si="5"/>
        <v>6084449.5999999996</v>
      </c>
    </row>
    <row r="10" spans="2:13" ht="15.75" thickBot="1" x14ac:dyDescent="0.3">
      <c r="B10" s="52" t="s">
        <v>19</v>
      </c>
      <c r="C10" s="53"/>
      <c r="D10" s="16">
        <f>SUM(D4:D9)</f>
        <v>69</v>
      </c>
      <c r="E10" s="17">
        <f t="shared" ref="E10:L10" si="6">SUM(E4:E9)</f>
        <v>56288584.003600001</v>
      </c>
      <c r="F10" s="17">
        <f t="shared" si="6"/>
        <v>18000</v>
      </c>
      <c r="G10" s="17">
        <f t="shared" si="6"/>
        <v>56306584.003600001</v>
      </c>
      <c r="H10" s="17">
        <f t="shared" si="6"/>
        <v>5148606</v>
      </c>
      <c r="I10" s="17">
        <f t="shared" si="6"/>
        <v>61455190.003600001</v>
      </c>
      <c r="J10" s="17">
        <f t="shared" si="6"/>
        <v>1167648</v>
      </c>
      <c r="K10" s="17">
        <f t="shared" si="6"/>
        <v>62622838.003600001</v>
      </c>
      <c r="L10" s="17">
        <f t="shared" si="6"/>
        <v>592528490.14760005</v>
      </c>
      <c r="M10" s="18">
        <f>SUM(M4:M9)</f>
        <v>19750949.67158667</v>
      </c>
    </row>
    <row r="11" spans="2:13" ht="15.75" thickBot="1" x14ac:dyDescent="0.3">
      <c r="B11" s="54" t="s">
        <v>20</v>
      </c>
      <c r="C11" s="55"/>
      <c r="D11" s="55"/>
      <c r="E11" s="55"/>
      <c r="F11" s="55"/>
      <c r="G11" s="55"/>
      <c r="H11" s="55"/>
      <c r="I11" s="55"/>
      <c r="J11" s="55"/>
      <c r="K11" s="55"/>
      <c r="L11" s="56"/>
      <c r="M11" s="19">
        <f>SUM(L4:L9)</f>
        <v>592528490.14760005</v>
      </c>
    </row>
    <row r="12" spans="2:13" ht="15.75" thickBot="1" x14ac:dyDescent="0.3">
      <c r="B12" s="49" t="s">
        <v>21</v>
      </c>
      <c r="C12" s="50"/>
      <c r="D12" s="50"/>
      <c r="E12" s="50"/>
      <c r="F12" s="50"/>
      <c r="G12" s="50"/>
      <c r="H12" s="50"/>
      <c r="I12" s="50"/>
      <c r="J12" s="50"/>
      <c r="K12" s="50"/>
      <c r="L12" s="51"/>
      <c r="M12" s="20">
        <f>M10*24</f>
        <v>474022792.11808008</v>
      </c>
    </row>
    <row r="13" spans="2:13" ht="15.75" thickBot="1" x14ac:dyDescent="0.3">
      <c r="B13" s="49" t="s">
        <v>22</v>
      </c>
      <c r="C13" s="50"/>
      <c r="D13" s="50"/>
      <c r="E13" s="50"/>
      <c r="F13" s="50"/>
      <c r="G13" s="50"/>
      <c r="H13" s="50"/>
      <c r="I13" s="50"/>
      <c r="J13" s="50"/>
      <c r="K13" s="50"/>
      <c r="L13" s="51"/>
      <c r="M13" s="20">
        <f>SUM(M11:M12)</f>
        <v>1066551282.2656801</v>
      </c>
    </row>
    <row r="14" spans="2:13" ht="15.75" thickBot="1" x14ac:dyDescent="0.3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2:13" ht="15.75" thickBot="1" x14ac:dyDescent="0.3">
      <c r="B15" s="49" t="s">
        <v>23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1"/>
    </row>
    <row r="16" spans="2:13" ht="45" x14ac:dyDescent="0.25">
      <c r="B16" s="1" t="s">
        <v>1</v>
      </c>
      <c r="C16" s="2" t="s">
        <v>2</v>
      </c>
      <c r="D16" s="2" t="s">
        <v>3</v>
      </c>
      <c r="E16" s="2" t="s">
        <v>24</v>
      </c>
      <c r="F16" s="2" t="s">
        <v>5</v>
      </c>
      <c r="G16" s="2" t="s">
        <v>6</v>
      </c>
      <c r="H16" s="2" t="s">
        <v>7</v>
      </c>
      <c r="I16" s="2" t="s">
        <v>8</v>
      </c>
      <c r="J16" s="2" t="s">
        <v>9</v>
      </c>
      <c r="K16" s="2" t="s">
        <v>10</v>
      </c>
      <c r="L16" s="3" t="s">
        <v>11</v>
      </c>
      <c r="M16" s="4" t="s">
        <v>12</v>
      </c>
    </row>
    <row r="17" spans="2:15" x14ac:dyDescent="0.25">
      <c r="B17" s="5">
        <v>1</v>
      </c>
      <c r="C17" s="6" t="s">
        <v>13</v>
      </c>
      <c r="D17" s="6">
        <v>1</v>
      </c>
      <c r="E17" s="7">
        <f>1423500*9.77</f>
        <v>13907595</v>
      </c>
      <c r="F17" s="7">
        <v>4500</v>
      </c>
      <c r="G17" s="7">
        <f t="shared" ref="G17:G22" si="7">E17+F17</f>
        <v>13912095</v>
      </c>
      <c r="H17" s="7">
        <f>ROUND(G17*0.08,0)</f>
        <v>1112968</v>
      </c>
      <c r="I17" s="7">
        <f t="shared" ref="I17:I22" si="8">G17+H17</f>
        <v>15025063</v>
      </c>
      <c r="J17" s="7">
        <f t="shared" ref="J17:J22" si="9">ROUND(I17*1.9%,0)</f>
        <v>285476</v>
      </c>
      <c r="K17" s="7">
        <f t="shared" ref="K17:K22" si="10">I17+J17</f>
        <v>15310539</v>
      </c>
      <c r="L17" s="8">
        <f t="shared" ref="L17:L22" si="11">K17*D17</f>
        <v>15310539</v>
      </c>
      <c r="M17" s="9">
        <f t="shared" ref="M17:M22" si="12">L17/30</f>
        <v>510351.3</v>
      </c>
    </row>
    <row r="18" spans="2:15" ht="30" x14ac:dyDescent="0.25">
      <c r="B18" s="5">
        <v>2</v>
      </c>
      <c r="C18" s="10" t="s">
        <v>14</v>
      </c>
      <c r="D18" s="6">
        <v>27</v>
      </c>
      <c r="E18" s="7">
        <f>+((E17*55.97%/15*12))/30*20</f>
        <v>4151509.8247999996</v>
      </c>
      <c r="F18" s="7">
        <v>2250</v>
      </c>
      <c r="G18" s="7">
        <f t="shared" si="7"/>
        <v>4153759.8247999996</v>
      </c>
      <c r="H18" s="7">
        <f>ROUND(G18*0.08,0)</f>
        <v>332301</v>
      </c>
      <c r="I18" s="7">
        <f t="shared" si="8"/>
        <v>4486060.8247999996</v>
      </c>
      <c r="J18" s="7">
        <f t="shared" si="9"/>
        <v>85235</v>
      </c>
      <c r="K18" s="7">
        <f t="shared" si="10"/>
        <v>4571295.8247999996</v>
      </c>
      <c r="L18" s="8">
        <f t="shared" si="11"/>
        <v>123424987.26959999</v>
      </c>
      <c r="M18" s="9">
        <f t="shared" si="12"/>
        <v>4114166.2423199997</v>
      </c>
    </row>
    <row r="19" spans="2:15" ht="30" x14ac:dyDescent="0.25">
      <c r="B19" s="5">
        <v>3</v>
      </c>
      <c r="C19" s="10" t="s">
        <v>15</v>
      </c>
      <c r="D19" s="6">
        <v>3</v>
      </c>
      <c r="E19" s="7">
        <f>+(((E17*55.97%/15*3)+(E17*44.03%))/30*20)+(E17/30*10)</f>
        <v>9756085.1752000004</v>
      </c>
      <c r="F19" s="7">
        <v>2250</v>
      </c>
      <c r="G19" s="7">
        <f t="shared" si="7"/>
        <v>9758335.1752000004</v>
      </c>
      <c r="H19" s="7">
        <f>ROUND(G19*0.08,0)</f>
        <v>780667</v>
      </c>
      <c r="I19" s="7">
        <f t="shared" si="8"/>
        <v>10539002.1752</v>
      </c>
      <c r="J19" s="7">
        <f t="shared" si="9"/>
        <v>200241</v>
      </c>
      <c r="K19" s="7">
        <f t="shared" si="10"/>
        <v>10739243.1752</v>
      </c>
      <c r="L19" s="8">
        <f t="shared" si="11"/>
        <v>32217729.525600001</v>
      </c>
      <c r="M19" s="9">
        <f t="shared" si="12"/>
        <v>1073924.31752</v>
      </c>
    </row>
    <row r="20" spans="2:15" x14ac:dyDescent="0.25">
      <c r="B20" s="5">
        <v>4</v>
      </c>
      <c r="C20" s="10" t="s">
        <v>16</v>
      </c>
      <c r="D20" s="6">
        <v>9</v>
      </c>
      <c r="E20" s="7">
        <f>+((E17*55.97%)/15*12)</f>
        <v>6227264.7371999994</v>
      </c>
      <c r="F20" s="7">
        <v>2250</v>
      </c>
      <c r="G20" s="7">
        <f t="shared" si="7"/>
        <v>6229514.7371999994</v>
      </c>
      <c r="H20" s="7">
        <f>ROUND(G20*0.11,0)</f>
        <v>685247</v>
      </c>
      <c r="I20" s="7">
        <f t="shared" si="8"/>
        <v>6914761.7371999994</v>
      </c>
      <c r="J20" s="7">
        <f t="shared" si="9"/>
        <v>131380</v>
      </c>
      <c r="K20" s="7">
        <f t="shared" si="10"/>
        <v>7046141.7371999994</v>
      </c>
      <c r="L20" s="8">
        <f t="shared" si="11"/>
        <v>63415275.634799995</v>
      </c>
      <c r="M20" s="9">
        <f t="shared" si="12"/>
        <v>2113842.52116</v>
      </c>
    </row>
    <row r="21" spans="2:15" ht="30" x14ac:dyDescent="0.25">
      <c r="B21" s="5">
        <v>5</v>
      </c>
      <c r="C21" s="10" t="s">
        <v>17</v>
      </c>
      <c r="D21" s="6">
        <v>17</v>
      </c>
      <c r="E21" s="7">
        <f>+(((E17*55.97%/15*3)+(E17*44.03%))/30*20)+(E17/30*10)</f>
        <v>9756085.1752000004</v>
      </c>
      <c r="F21" s="7">
        <v>2250</v>
      </c>
      <c r="G21" s="7">
        <f t="shared" si="7"/>
        <v>9758335.1752000004</v>
      </c>
      <c r="H21" s="7">
        <f>ROUND(G21*0.1,0)</f>
        <v>975834</v>
      </c>
      <c r="I21" s="7">
        <f t="shared" si="8"/>
        <v>10734169.1752</v>
      </c>
      <c r="J21" s="7">
        <f t="shared" si="9"/>
        <v>203949</v>
      </c>
      <c r="K21" s="7">
        <f t="shared" si="10"/>
        <v>10938118.1752</v>
      </c>
      <c r="L21" s="8">
        <f t="shared" si="11"/>
        <v>185948008.97839999</v>
      </c>
      <c r="M21" s="9">
        <f t="shared" si="12"/>
        <v>6198266.965946666</v>
      </c>
    </row>
    <row r="22" spans="2:15" ht="15.75" thickBot="1" x14ac:dyDescent="0.3">
      <c r="B22" s="22">
        <v>6</v>
      </c>
      <c r="C22" s="23" t="s">
        <v>18</v>
      </c>
      <c r="D22" s="23">
        <v>12</v>
      </c>
      <c r="E22" s="24">
        <f>E17</f>
        <v>13907595</v>
      </c>
      <c r="F22" s="7">
        <v>4500</v>
      </c>
      <c r="G22" s="24">
        <f t="shared" si="7"/>
        <v>13912095</v>
      </c>
      <c r="H22" s="24">
        <f>ROUND(G22*0.1,0)</f>
        <v>1391210</v>
      </c>
      <c r="I22" s="7">
        <f t="shared" si="8"/>
        <v>15303305</v>
      </c>
      <c r="J22" s="24">
        <f t="shared" si="9"/>
        <v>290763</v>
      </c>
      <c r="K22" s="7">
        <f t="shared" si="10"/>
        <v>15594068</v>
      </c>
      <c r="L22" s="25">
        <f t="shared" si="11"/>
        <v>187128816</v>
      </c>
      <c r="M22" s="26">
        <f t="shared" si="12"/>
        <v>6237627.2000000002</v>
      </c>
    </row>
    <row r="23" spans="2:15" ht="15.75" thickBot="1" x14ac:dyDescent="0.3">
      <c r="B23" s="52" t="s">
        <v>19</v>
      </c>
      <c r="C23" s="53"/>
      <c r="D23" s="16">
        <f t="shared" ref="D23:M23" si="13">SUM(D17:D22)</f>
        <v>69</v>
      </c>
      <c r="E23" s="17">
        <f t="shared" si="13"/>
        <v>57706134.9124</v>
      </c>
      <c r="F23" s="17">
        <f t="shared" si="13"/>
        <v>18000</v>
      </c>
      <c r="G23" s="17">
        <f t="shared" si="13"/>
        <v>57724134.9124</v>
      </c>
      <c r="H23" s="17">
        <f t="shared" si="13"/>
        <v>5278227</v>
      </c>
      <c r="I23" s="17">
        <f t="shared" si="13"/>
        <v>63002361.9124</v>
      </c>
      <c r="J23" s="17">
        <f t="shared" si="13"/>
        <v>1197044</v>
      </c>
      <c r="K23" s="17">
        <f t="shared" si="13"/>
        <v>64199405.9124</v>
      </c>
      <c r="L23" s="17">
        <f t="shared" si="13"/>
        <v>607445356.40839994</v>
      </c>
      <c r="M23" s="18">
        <f t="shared" si="13"/>
        <v>20248178.546946667</v>
      </c>
    </row>
    <row r="24" spans="2:15" ht="15.75" thickBot="1" x14ac:dyDescent="0.3">
      <c r="B24" s="49" t="s">
        <v>25</v>
      </c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>
        <f>M23*6</f>
        <v>121489071.28168</v>
      </c>
    </row>
    <row r="25" spans="2:15" ht="15.75" thickBot="1" x14ac:dyDescent="0.3">
      <c r="B25" s="54" t="s">
        <v>22</v>
      </c>
      <c r="C25" s="55"/>
      <c r="D25" s="55"/>
      <c r="E25" s="55"/>
      <c r="F25" s="55"/>
      <c r="G25" s="55"/>
      <c r="H25" s="55"/>
      <c r="I25" s="55"/>
      <c r="J25" s="55"/>
      <c r="K25" s="55"/>
      <c r="L25" s="56"/>
      <c r="M25" s="20">
        <f>SUM(M24:M24)</f>
        <v>121489071.28168</v>
      </c>
      <c r="O25" s="44"/>
    </row>
    <row r="26" spans="2:15" ht="15.75" thickBot="1" x14ac:dyDescent="0.3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  <row r="27" spans="2:15" ht="15.75" thickBot="1" x14ac:dyDescent="0.3">
      <c r="B27" s="49" t="s">
        <v>54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1"/>
    </row>
    <row r="28" spans="2:15" ht="45" x14ac:dyDescent="0.25">
      <c r="B28" s="1" t="s">
        <v>1</v>
      </c>
      <c r="C28" s="2" t="s">
        <v>2</v>
      </c>
      <c r="D28" s="2" t="s">
        <v>3</v>
      </c>
      <c r="E28" s="2" t="s">
        <v>24</v>
      </c>
      <c r="F28" s="2" t="s">
        <v>5</v>
      </c>
      <c r="G28" s="2" t="s">
        <v>6</v>
      </c>
      <c r="H28" s="2" t="s">
        <v>7</v>
      </c>
      <c r="I28" s="2" t="s">
        <v>8</v>
      </c>
      <c r="J28" s="2" t="s">
        <v>9</v>
      </c>
      <c r="K28" s="2" t="s">
        <v>10</v>
      </c>
      <c r="L28" s="3" t="s">
        <v>11</v>
      </c>
      <c r="M28" s="4" t="s">
        <v>12</v>
      </c>
    </row>
    <row r="29" spans="2:15" x14ac:dyDescent="0.25">
      <c r="B29" s="5">
        <v>1</v>
      </c>
      <c r="C29" s="6" t="s">
        <v>13</v>
      </c>
      <c r="D29" s="6">
        <v>1</v>
      </c>
      <c r="E29" s="7">
        <f>1423500*9.77</f>
        <v>13907595</v>
      </c>
      <c r="F29" s="7">
        <v>4500</v>
      </c>
      <c r="G29" s="7">
        <f t="shared" ref="G29:G34" si="14">E29+F29</f>
        <v>13912095</v>
      </c>
      <c r="H29" s="7">
        <f>ROUND(G29*0.08,0)</f>
        <v>1112968</v>
      </c>
      <c r="I29" s="7">
        <f t="shared" ref="I29:I34" si="15">G29+H29</f>
        <v>15025063</v>
      </c>
      <c r="J29" s="7">
        <f t="shared" ref="J29:J34" si="16">ROUND(I29*1.9%,0)</f>
        <v>285476</v>
      </c>
      <c r="K29" s="7">
        <f t="shared" ref="K29:K34" si="17">I29+J29</f>
        <v>15310539</v>
      </c>
      <c r="L29" s="8">
        <f t="shared" ref="L29:L34" si="18">K29*D29</f>
        <v>15310539</v>
      </c>
      <c r="M29" s="9">
        <f t="shared" ref="M29:M34" si="19">L29/30</f>
        <v>510351.3</v>
      </c>
    </row>
    <row r="30" spans="2:15" ht="30" x14ac:dyDescent="0.25">
      <c r="B30" s="5">
        <v>2</v>
      </c>
      <c r="C30" s="10" t="s">
        <v>14</v>
      </c>
      <c r="D30" s="6">
        <v>27</v>
      </c>
      <c r="E30" s="7">
        <f>+((E29*55.97%/15*12))/30*20</f>
        <v>4151509.8247999996</v>
      </c>
      <c r="F30" s="7">
        <v>2250</v>
      </c>
      <c r="G30" s="7">
        <f t="shared" si="14"/>
        <v>4153759.8247999996</v>
      </c>
      <c r="H30" s="7">
        <f>ROUND(G30*0.08,0)</f>
        <v>332301</v>
      </c>
      <c r="I30" s="7">
        <f t="shared" si="15"/>
        <v>4486060.8247999996</v>
      </c>
      <c r="J30" s="7">
        <f t="shared" si="16"/>
        <v>85235</v>
      </c>
      <c r="K30" s="7">
        <f t="shared" si="17"/>
        <v>4571295.8247999996</v>
      </c>
      <c r="L30" s="8">
        <f t="shared" si="18"/>
        <v>123424987.26959999</v>
      </c>
      <c r="M30" s="9">
        <f t="shared" si="19"/>
        <v>4114166.2423199997</v>
      </c>
    </row>
    <row r="31" spans="2:15" ht="30" x14ac:dyDescent="0.25">
      <c r="B31" s="5">
        <v>3</v>
      </c>
      <c r="C31" s="10" t="s">
        <v>15</v>
      </c>
      <c r="D31" s="6">
        <v>3</v>
      </c>
      <c r="E31" s="7">
        <f>+(((E29*55.97%/15*3)+(E29*44.03%))/30*20)+(E29/30*10)</f>
        <v>9756085.1752000004</v>
      </c>
      <c r="F31" s="7">
        <v>2250</v>
      </c>
      <c r="G31" s="7">
        <f t="shared" si="14"/>
        <v>9758335.1752000004</v>
      </c>
      <c r="H31" s="7">
        <f>ROUND(G31*0.08,0)</f>
        <v>780667</v>
      </c>
      <c r="I31" s="7">
        <f t="shared" si="15"/>
        <v>10539002.1752</v>
      </c>
      <c r="J31" s="7">
        <f t="shared" si="16"/>
        <v>200241</v>
      </c>
      <c r="K31" s="7">
        <f t="shared" si="17"/>
        <v>10739243.1752</v>
      </c>
      <c r="L31" s="8">
        <f t="shared" si="18"/>
        <v>32217729.525600001</v>
      </c>
      <c r="M31" s="9">
        <f t="shared" si="19"/>
        <v>1073924.31752</v>
      </c>
    </row>
    <row r="32" spans="2:15" x14ac:dyDescent="0.25">
      <c r="B32" s="5">
        <v>4</v>
      </c>
      <c r="C32" s="10" t="s">
        <v>16</v>
      </c>
      <c r="D32" s="6">
        <v>9</v>
      </c>
      <c r="E32" s="7">
        <f>+((E29*55.97%)/15*12)</f>
        <v>6227264.7371999994</v>
      </c>
      <c r="F32" s="7">
        <v>2250</v>
      </c>
      <c r="G32" s="7">
        <f t="shared" si="14"/>
        <v>6229514.7371999994</v>
      </c>
      <c r="H32" s="7">
        <f>ROUND(G32*0.11,0)</f>
        <v>685247</v>
      </c>
      <c r="I32" s="7">
        <f t="shared" si="15"/>
        <v>6914761.7371999994</v>
      </c>
      <c r="J32" s="7">
        <f t="shared" si="16"/>
        <v>131380</v>
      </c>
      <c r="K32" s="7">
        <f t="shared" si="17"/>
        <v>7046141.7371999994</v>
      </c>
      <c r="L32" s="8">
        <f t="shared" si="18"/>
        <v>63415275.634799995</v>
      </c>
      <c r="M32" s="9">
        <f t="shared" si="19"/>
        <v>2113842.52116</v>
      </c>
    </row>
    <row r="33" spans="2:15" ht="30" x14ac:dyDescent="0.25">
      <c r="B33" s="5">
        <v>5</v>
      </c>
      <c r="C33" s="10" t="s">
        <v>17</v>
      </c>
      <c r="D33" s="6">
        <v>17</v>
      </c>
      <c r="E33" s="7">
        <f>+(((E29*55.97%/15*3)+(E29*44.03%))/30*20)+(E29/30*10)</f>
        <v>9756085.1752000004</v>
      </c>
      <c r="F33" s="7">
        <v>2250</v>
      </c>
      <c r="G33" s="7">
        <f t="shared" si="14"/>
        <v>9758335.1752000004</v>
      </c>
      <c r="H33" s="7">
        <f>ROUND(G33*0.1,0)</f>
        <v>975834</v>
      </c>
      <c r="I33" s="7">
        <f t="shared" si="15"/>
        <v>10734169.1752</v>
      </c>
      <c r="J33" s="7">
        <f t="shared" si="16"/>
        <v>203949</v>
      </c>
      <c r="K33" s="7">
        <f t="shared" si="17"/>
        <v>10938118.1752</v>
      </c>
      <c r="L33" s="8">
        <f t="shared" si="18"/>
        <v>185948008.97839999</v>
      </c>
      <c r="M33" s="9">
        <f t="shared" si="19"/>
        <v>6198266.965946666</v>
      </c>
    </row>
    <row r="34" spans="2:15" ht="15.75" thickBot="1" x14ac:dyDescent="0.3">
      <c r="B34" s="22">
        <v>6</v>
      </c>
      <c r="C34" s="23" t="s">
        <v>18</v>
      </c>
      <c r="D34" s="23">
        <v>12</v>
      </c>
      <c r="E34" s="24">
        <f>E29</f>
        <v>13907595</v>
      </c>
      <c r="F34" s="7">
        <v>4500</v>
      </c>
      <c r="G34" s="24">
        <f t="shared" si="14"/>
        <v>13912095</v>
      </c>
      <c r="H34" s="24">
        <f>ROUND(G34*0.1,0)</f>
        <v>1391210</v>
      </c>
      <c r="I34" s="7">
        <f t="shared" si="15"/>
        <v>15303305</v>
      </c>
      <c r="J34" s="24">
        <f t="shared" si="16"/>
        <v>290763</v>
      </c>
      <c r="K34" s="7">
        <f t="shared" si="17"/>
        <v>15594068</v>
      </c>
      <c r="L34" s="25">
        <f t="shared" si="18"/>
        <v>187128816</v>
      </c>
      <c r="M34" s="26">
        <f t="shared" si="19"/>
        <v>6237627.2000000002</v>
      </c>
    </row>
    <row r="35" spans="2:15" ht="15.75" thickBot="1" x14ac:dyDescent="0.3">
      <c r="B35" s="52" t="s">
        <v>19</v>
      </c>
      <c r="C35" s="53"/>
      <c r="D35" s="16">
        <f t="shared" ref="D35:M35" si="20">SUM(D29:D34)</f>
        <v>69</v>
      </c>
      <c r="E35" s="17">
        <f t="shared" si="20"/>
        <v>57706134.9124</v>
      </c>
      <c r="F35" s="17">
        <f t="shared" si="20"/>
        <v>18000</v>
      </c>
      <c r="G35" s="17">
        <f t="shared" si="20"/>
        <v>57724134.9124</v>
      </c>
      <c r="H35" s="17">
        <f t="shared" si="20"/>
        <v>5278227</v>
      </c>
      <c r="I35" s="17">
        <f t="shared" si="20"/>
        <v>63002361.9124</v>
      </c>
      <c r="J35" s="17">
        <f t="shared" si="20"/>
        <v>1197044</v>
      </c>
      <c r="K35" s="17">
        <f t="shared" si="20"/>
        <v>64199405.9124</v>
      </c>
      <c r="L35" s="17">
        <f t="shared" si="20"/>
        <v>607445356.40839994</v>
      </c>
      <c r="M35" s="18">
        <f t="shared" si="20"/>
        <v>20248178.546946667</v>
      </c>
    </row>
    <row r="36" spans="2:15" ht="15.75" thickBot="1" x14ac:dyDescent="0.3">
      <c r="B36" s="49" t="s">
        <v>49</v>
      </c>
      <c r="C36" s="50"/>
      <c r="D36" s="50"/>
      <c r="E36" s="50"/>
      <c r="F36" s="50"/>
      <c r="G36" s="50"/>
      <c r="H36" s="50"/>
      <c r="I36" s="50"/>
      <c r="J36" s="50"/>
      <c r="K36" s="50"/>
      <c r="L36" s="51"/>
      <c r="M36" s="20">
        <f>L35*6</f>
        <v>3644672138.4503994</v>
      </c>
    </row>
    <row r="37" spans="2:15" ht="15.75" thickBot="1" x14ac:dyDescent="0.3">
      <c r="B37" s="54" t="s">
        <v>22</v>
      </c>
      <c r="C37" s="55"/>
      <c r="D37" s="55"/>
      <c r="E37" s="55"/>
      <c r="F37" s="55"/>
      <c r="G37" s="55"/>
      <c r="H37" s="55"/>
      <c r="I37" s="55"/>
      <c r="J37" s="55"/>
      <c r="K37" s="55"/>
      <c r="L37" s="56"/>
      <c r="M37" s="20">
        <f>SUM(M36:M36)</f>
        <v>3644672138.4503994</v>
      </c>
    </row>
    <row r="38" spans="2:15" ht="15.75" thickBot="1" x14ac:dyDescent="0.3"/>
    <row r="39" spans="2:15" ht="15.75" thickBot="1" x14ac:dyDescent="0.3">
      <c r="B39" s="49" t="s">
        <v>55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1"/>
    </row>
    <row r="40" spans="2:15" ht="45" x14ac:dyDescent="0.25">
      <c r="B40" s="1" t="s">
        <v>1</v>
      </c>
      <c r="C40" s="2" t="s">
        <v>2</v>
      </c>
      <c r="D40" s="2" t="s">
        <v>3</v>
      </c>
      <c r="E40" s="2" t="s">
        <v>50</v>
      </c>
      <c r="F40" s="2" t="s">
        <v>5</v>
      </c>
      <c r="G40" s="2" t="s">
        <v>6</v>
      </c>
      <c r="H40" s="2" t="s">
        <v>7</v>
      </c>
      <c r="I40" s="2" t="s">
        <v>8</v>
      </c>
      <c r="J40" s="2" t="s">
        <v>9</v>
      </c>
      <c r="K40" s="2" t="s">
        <v>10</v>
      </c>
      <c r="L40" s="3" t="s">
        <v>11</v>
      </c>
      <c r="M40" s="4" t="s">
        <v>12</v>
      </c>
    </row>
    <row r="41" spans="2:15" x14ac:dyDescent="0.25">
      <c r="B41" s="5">
        <v>1</v>
      </c>
      <c r="C41" s="6" t="s">
        <v>13</v>
      </c>
      <c r="D41" s="6">
        <v>1</v>
      </c>
      <c r="E41" s="7">
        <f>1423500*9.85</f>
        <v>14021475</v>
      </c>
      <c r="F41" s="7">
        <v>4500</v>
      </c>
      <c r="G41" s="7">
        <f t="shared" ref="G41:G46" si="21">E41+F41</f>
        <v>14025975</v>
      </c>
      <c r="H41" s="7">
        <f>ROUND(G41*0.08,0)</f>
        <v>1122078</v>
      </c>
      <c r="I41" s="7">
        <f t="shared" ref="I41:I46" si="22">G41+H41</f>
        <v>15148053</v>
      </c>
      <c r="J41" s="7">
        <f t="shared" ref="J41:J46" si="23">ROUND(I41*1.9%,0)</f>
        <v>287813</v>
      </c>
      <c r="K41" s="7">
        <f t="shared" ref="K41:K46" si="24">I41+J41</f>
        <v>15435866</v>
      </c>
      <c r="L41" s="8">
        <f t="shared" ref="L41:L46" si="25">K41*D41</f>
        <v>15435866</v>
      </c>
      <c r="M41" s="9">
        <f t="shared" ref="M41:M46" si="26">L41/30</f>
        <v>514528.86666666664</v>
      </c>
      <c r="O41" s="45"/>
    </row>
    <row r="42" spans="2:15" ht="30" x14ac:dyDescent="0.25">
      <c r="B42" s="5">
        <v>2</v>
      </c>
      <c r="C42" s="10" t="s">
        <v>14</v>
      </c>
      <c r="D42" s="6">
        <v>27</v>
      </c>
      <c r="E42" s="7">
        <f>+((E41*55.97%/15*12))/30*20</f>
        <v>4185503.764</v>
      </c>
      <c r="F42" s="7">
        <v>2250</v>
      </c>
      <c r="G42" s="7">
        <f t="shared" si="21"/>
        <v>4187753.764</v>
      </c>
      <c r="H42" s="7">
        <f>ROUND(G42*0.08,0)</f>
        <v>335020</v>
      </c>
      <c r="I42" s="7">
        <f t="shared" si="22"/>
        <v>4522773.7640000004</v>
      </c>
      <c r="J42" s="7">
        <f t="shared" si="23"/>
        <v>85933</v>
      </c>
      <c r="K42" s="7">
        <f t="shared" si="24"/>
        <v>4608706.7640000004</v>
      </c>
      <c r="L42" s="8">
        <f t="shared" si="25"/>
        <v>124435082.62800001</v>
      </c>
      <c r="M42" s="9">
        <f t="shared" si="26"/>
        <v>4147836.0876000002</v>
      </c>
    </row>
    <row r="43" spans="2:15" ht="30" x14ac:dyDescent="0.25">
      <c r="B43" s="5">
        <v>3</v>
      </c>
      <c r="C43" s="10" t="s">
        <v>15</v>
      </c>
      <c r="D43" s="6">
        <v>3</v>
      </c>
      <c r="E43" s="7">
        <f>+(((E41*55.97%/15*3)+(E41*44.03%))/30*20)+(E41/30*10)</f>
        <v>9835971.2359999996</v>
      </c>
      <c r="F43" s="7">
        <v>2250</v>
      </c>
      <c r="G43" s="7">
        <f t="shared" si="21"/>
        <v>9838221.2359999996</v>
      </c>
      <c r="H43" s="7">
        <f>ROUND(G43*0.08,0)</f>
        <v>787058</v>
      </c>
      <c r="I43" s="7">
        <f t="shared" si="22"/>
        <v>10625279.236</v>
      </c>
      <c r="J43" s="7">
        <f t="shared" si="23"/>
        <v>201880</v>
      </c>
      <c r="K43" s="7">
        <f t="shared" si="24"/>
        <v>10827159.236</v>
      </c>
      <c r="L43" s="8">
        <f t="shared" si="25"/>
        <v>32481477.707999997</v>
      </c>
      <c r="M43" s="9">
        <f t="shared" si="26"/>
        <v>1082715.9235999999</v>
      </c>
    </row>
    <row r="44" spans="2:15" x14ac:dyDescent="0.25">
      <c r="B44" s="5">
        <v>4</v>
      </c>
      <c r="C44" s="10" t="s">
        <v>16</v>
      </c>
      <c r="D44" s="6">
        <v>9</v>
      </c>
      <c r="E44" s="7">
        <f>+((E41*55.97%)/15*12)</f>
        <v>6278255.6459999997</v>
      </c>
      <c r="F44" s="7">
        <v>2250</v>
      </c>
      <c r="G44" s="7">
        <f t="shared" si="21"/>
        <v>6280505.6459999997</v>
      </c>
      <c r="H44" s="7">
        <f>ROUND(G44*0.11,0)</f>
        <v>690856</v>
      </c>
      <c r="I44" s="7">
        <f t="shared" si="22"/>
        <v>6971361.6459999997</v>
      </c>
      <c r="J44" s="7">
        <f t="shared" si="23"/>
        <v>132456</v>
      </c>
      <c r="K44" s="7">
        <f t="shared" si="24"/>
        <v>7103817.6459999997</v>
      </c>
      <c r="L44" s="8">
        <f t="shared" si="25"/>
        <v>63934358.813999996</v>
      </c>
      <c r="M44" s="9">
        <f t="shared" si="26"/>
        <v>2131145.2937999996</v>
      </c>
    </row>
    <row r="45" spans="2:15" ht="30" x14ac:dyDescent="0.25">
      <c r="B45" s="5">
        <v>5</v>
      </c>
      <c r="C45" s="10" t="s">
        <v>17</v>
      </c>
      <c r="D45" s="6">
        <v>17</v>
      </c>
      <c r="E45" s="7">
        <f>+(((E41*55.97%/15*3)+(E41*44.03%))/30*20)+(E41/30*10)</f>
        <v>9835971.2359999996</v>
      </c>
      <c r="F45" s="7">
        <v>2250</v>
      </c>
      <c r="G45" s="7">
        <f t="shared" si="21"/>
        <v>9838221.2359999996</v>
      </c>
      <c r="H45" s="7">
        <f>ROUND(G45*0.1,0)</f>
        <v>983822</v>
      </c>
      <c r="I45" s="7">
        <f t="shared" si="22"/>
        <v>10822043.236</v>
      </c>
      <c r="J45" s="7">
        <f t="shared" si="23"/>
        <v>205619</v>
      </c>
      <c r="K45" s="7">
        <f t="shared" si="24"/>
        <v>11027662.236</v>
      </c>
      <c r="L45" s="8">
        <f t="shared" si="25"/>
        <v>187470258.01199999</v>
      </c>
      <c r="M45" s="9">
        <f t="shared" si="26"/>
        <v>6249008.6003999999</v>
      </c>
    </row>
    <row r="46" spans="2:15" ht="15.75" thickBot="1" x14ac:dyDescent="0.3">
      <c r="B46" s="22">
        <v>6</v>
      </c>
      <c r="C46" s="23" t="s">
        <v>18</v>
      </c>
      <c r="D46" s="23">
        <v>12</v>
      </c>
      <c r="E46" s="24">
        <f>E41</f>
        <v>14021475</v>
      </c>
      <c r="F46" s="7">
        <v>4500</v>
      </c>
      <c r="G46" s="24">
        <f t="shared" si="21"/>
        <v>14025975</v>
      </c>
      <c r="H46" s="24">
        <f>ROUND(G46*0.1,0)</f>
        <v>1402598</v>
      </c>
      <c r="I46" s="7">
        <f t="shared" si="22"/>
        <v>15428573</v>
      </c>
      <c r="J46" s="24">
        <f t="shared" si="23"/>
        <v>293143</v>
      </c>
      <c r="K46" s="7">
        <f t="shared" si="24"/>
        <v>15721716</v>
      </c>
      <c r="L46" s="25">
        <f t="shared" si="25"/>
        <v>188660592</v>
      </c>
      <c r="M46" s="26">
        <f t="shared" si="26"/>
        <v>6288686.4000000004</v>
      </c>
    </row>
    <row r="47" spans="2:15" ht="15.75" thickBot="1" x14ac:dyDescent="0.3">
      <c r="B47" s="52" t="s">
        <v>19</v>
      </c>
      <c r="C47" s="53"/>
      <c r="D47" s="16">
        <f t="shared" ref="D47:M47" si="27">SUM(D41:D46)</f>
        <v>69</v>
      </c>
      <c r="E47" s="17">
        <f t="shared" si="27"/>
        <v>58178651.881999999</v>
      </c>
      <c r="F47" s="17">
        <f t="shared" si="27"/>
        <v>18000</v>
      </c>
      <c r="G47" s="17">
        <f t="shared" si="27"/>
        <v>58196651.881999999</v>
      </c>
      <c r="H47" s="17">
        <f t="shared" si="27"/>
        <v>5321432</v>
      </c>
      <c r="I47" s="17">
        <f t="shared" si="27"/>
        <v>63518083.881999999</v>
      </c>
      <c r="J47" s="17">
        <f t="shared" si="27"/>
        <v>1206844</v>
      </c>
      <c r="K47" s="17">
        <f t="shared" si="27"/>
        <v>64724927.881999999</v>
      </c>
      <c r="L47" s="17">
        <f t="shared" si="27"/>
        <v>612417635.16200006</v>
      </c>
      <c r="M47" s="18">
        <f t="shared" si="27"/>
        <v>20413921.172066666</v>
      </c>
    </row>
    <row r="48" spans="2:15" ht="15.75" thickBot="1" x14ac:dyDescent="0.3">
      <c r="B48" s="49" t="s">
        <v>51</v>
      </c>
      <c r="C48" s="50"/>
      <c r="D48" s="50"/>
      <c r="E48" s="50"/>
      <c r="F48" s="50"/>
      <c r="G48" s="50"/>
      <c r="H48" s="50"/>
      <c r="I48" s="50"/>
      <c r="J48" s="50"/>
      <c r="K48" s="50"/>
      <c r="L48" s="51"/>
      <c r="M48" s="20">
        <f>M47*14</f>
        <v>285794896.40893334</v>
      </c>
    </row>
    <row r="49" spans="2:15" ht="15.75" thickBot="1" x14ac:dyDescent="0.3">
      <c r="B49" s="54" t="s">
        <v>22</v>
      </c>
      <c r="C49" s="55"/>
      <c r="D49" s="55"/>
      <c r="E49" s="55"/>
      <c r="F49" s="55"/>
      <c r="G49" s="55"/>
      <c r="H49" s="55"/>
      <c r="I49" s="55"/>
      <c r="J49" s="55"/>
      <c r="K49" s="55"/>
      <c r="L49" s="56"/>
      <c r="M49" s="20">
        <f>SUM(M48:M48)</f>
        <v>285794896.40893334</v>
      </c>
    </row>
    <row r="50" spans="2:15" ht="15.75" thickBot="1" x14ac:dyDescent="0.3"/>
    <row r="51" spans="2:15" ht="15.75" thickBot="1" x14ac:dyDescent="0.3">
      <c r="B51" s="49" t="s">
        <v>56</v>
      </c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1"/>
    </row>
    <row r="52" spans="2:15" ht="45" x14ac:dyDescent="0.25">
      <c r="B52" s="1" t="s">
        <v>1</v>
      </c>
      <c r="C52" s="2" t="s">
        <v>2</v>
      </c>
      <c r="D52" s="2" t="s">
        <v>3</v>
      </c>
      <c r="E52" s="2" t="s">
        <v>52</v>
      </c>
      <c r="F52" s="2" t="s">
        <v>5</v>
      </c>
      <c r="G52" s="2" t="s">
        <v>6</v>
      </c>
      <c r="H52" s="2" t="s">
        <v>7</v>
      </c>
      <c r="I52" s="2" t="s">
        <v>8</v>
      </c>
      <c r="J52" s="2" t="s">
        <v>9</v>
      </c>
      <c r="K52" s="2" t="s">
        <v>10</v>
      </c>
      <c r="L52" s="3" t="s">
        <v>11</v>
      </c>
      <c r="M52" s="4" t="s">
        <v>12</v>
      </c>
    </row>
    <row r="53" spans="2:15" x14ac:dyDescent="0.25">
      <c r="B53" s="5">
        <v>1</v>
      </c>
      <c r="C53" s="6" t="s">
        <v>13</v>
      </c>
      <c r="D53" s="6">
        <v>1</v>
      </c>
      <c r="E53" s="7">
        <f>1423500*10.21</f>
        <v>14533935.000000002</v>
      </c>
      <c r="F53" s="7">
        <v>4500</v>
      </c>
      <c r="G53" s="7">
        <f t="shared" ref="G53:G58" si="28">E53+F53</f>
        <v>14538435.000000002</v>
      </c>
      <c r="H53" s="7">
        <f>ROUND(G53*0.08,0)</f>
        <v>1163075</v>
      </c>
      <c r="I53" s="7">
        <f t="shared" ref="I53:I58" si="29">G53+H53</f>
        <v>15701510.000000002</v>
      </c>
      <c r="J53" s="7">
        <f t="shared" ref="J53:J58" si="30">ROUND(I53*1.9%,0)</f>
        <v>298329</v>
      </c>
      <c r="K53" s="7">
        <f t="shared" ref="K53:K58" si="31">I53+J53</f>
        <v>15999839.000000002</v>
      </c>
      <c r="L53" s="8">
        <f t="shared" ref="L53:L58" si="32">K53*D53</f>
        <v>15999839.000000002</v>
      </c>
      <c r="M53" s="9">
        <f t="shared" ref="M53:M58" si="33">L53/30</f>
        <v>533327.96666666667</v>
      </c>
    </row>
    <row r="54" spans="2:15" ht="30" x14ac:dyDescent="0.25">
      <c r="B54" s="5">
        <v>2</v>
      </c>
      <c r="C54" s="10" t="s">
        <v>14</v>
      </c>
      <c r="D54" s="6">
        <v>27</v>
      </c>
      <c r="E54" s="7">
        <f>+((E53*55.97%/15*12))/30*20</f>
        <v>4338476.4903999995</v>
      </c>
      <c r="F54" s="7">
        <v>2250</v>
      </c>
      <c r="G54" s="7">
        <f t="shared" si="28"/>
        <v>4340726.4903999995</v>
      </c>
      <c r="H54" s="7">
        <f>ROUND(G54*0.08,0)</f>
        <v>347258</v>
      </c>
      <c r="I54" s="7">
        <f t="shared" si="29"/>
        <v>4687984.4903999995</v>
      </c>
      <c r="J54" s="7">
        <f t="shared" si="30"/>
        <v>89072</v>
      </c>
      <c r="K54" s="7">
        <f t="shared" si="31"/>
        <v>4777056.4903999995</v>
      </c>
      <c r="L54" s="8">
        <f t="shared" si="32"/>
        <v>128980525.24079999</v>
      </c>
      <c r="M54" s="9">
        <f t="shared" si="33"/>
        <v>4299350.84136</v>
      </c>
    </row>
    <row r="55" spans="2:15" ht="30" x14ac:dyDescent="0.25">
      <c r="B55" s="5">
        <v>3</v>
      </c>
      <c r="C55" s="10" t="s">
        <v>15</v>
      </c>
      <c r="D55" s="6">
        <v>3</v>
      </c>
      <c r="E55" s="7">
        <f>+(((E53*55.97%/15*3)+(E53*44.03%))/30*20)+(E53/30*10)</f>
        <v>10195458.509600002</v>
      </c>
      <c r="F55" s="7">
        <v>2250</v>
      </c>
      <c r="G55" s="7">
        <f t="shared" si="28"/>
        <v>10197708.509600002</v>
      </c>
      <c r="H55" s="7">
        <f>ROUND(G55*0.08,0)</f>
        <v>815817</v>
      </c>
      <c r="I55" s="7">
        <f t="shared" si="29"/>
        <v>11013525.509600002</v>
      </c>
      <c r="J55" s="7">
        <f t="shared" si="30"/>
        <v>209257</v>
      </c>
      <c r="K55" s="7">
        <f t="shared" si="31"/>
        <v>11222782.509600002</v>
      </c>
      <c r="L55" s="8">
        <f t="shared" si="32"/>
        <v>33668347.528800011</v>
      </c>
      <c r="M55" s="9">
        <f t="shared" si="33"/>
        <v>1122278.2509600003</v>
      </c>
    </row>
    <row r="56" spans="2:15" x14ac:dyDescent="0.25">
      <c r="B56" s="5">
        <v>4</v>
      </c>
      <c r="C56" s="10" t="s">
        <v>16</v>
      </c>
      <c r="D56" s="6">
        <v>9</v>
      </c>
      <c r="E56" s="7">
        <f>+((E53*55.97%)/15*12)</f>
        <v>6507714.7356000002</v>
      </c>
      <c r="F56" s="7">
        <v>2250</v>
      </c>
      <c r="G56" s="7">
        <f t="shared" si="28"/>
        <v>6509964.7356000002</v>
      </c>
      <c r="H56" s="7">
        <f>ROUND(G56*0.11,0)</f>
        <v>716096</v>
      </c>
      <c r="I56" s="7">
        <f t="shared" si="29"/>
        <v>7226060.7356000002</v>
      </c>
      <c r="J56" s="7">
        <f t="shared" si="30"/>
        <v>137295</v>
      </c>
      <c r="K56" s="7">
        <f t="shared" si="31"/>
        <v>7363355.7356000002</v>
      </c>
      <c r="L56" s="8">
        <f t="shared" si="32"/>
        <v>66270201.620400004</v>
      </c>
      <c r="M56" s="9">
        <f t="shared" si="33"/>
        <v>2209006.7206800003</v>
      </c>
    </row>
    <row r="57" spans="2:15" ht="30" x14ac:dyDescent="0.25">
      <c r="B57" s="5">
        <v>5</v>
      </c>
      <c r="C57" s="10" t="s">
        <v>17</v>
      </c>
      <c r="D57" s="6">
        <v>17</v>
      </c>
      <c r="E57" s="7">
        <f>+(((E53*55.97%/15*3)+(E53*44.03%))/30*20)+(E53/30*10)</f>
        <v>10195458.509600002</v>
      </c>
      <c r="F57" s="7">
        <v>2250</v>
      </c>
      <c r="G57" s="7">
        <f t="shared" si="28"/>
        <v>10197708.509600002</v>
      </c>
      <c r="H57" s="7">
        <f>ROUND(G57*0.1,0)</f>
        <v>1019771</v>
      </c>
      <c r="I57" s="7">
        <f t="shared" si="29"/>
        <v>11217479.509600002</v>
      </c>
      <c r="J57" s="7">
        <f t="shared" si="30"/>
        <v>213132</v>
      </c>
      <c r="K57" s="7">
        <f t="shared" si="31"/>
        <v>11430611.509600002</v>
      </c>
      <c r="L57" s="8">
        <f t="shared" si="32"/>
        <v>194320395.66320005</v>
      </c>
      <c r="M57" s="9">
        <f t="shared" si="33"/>
        <v>6477346.522106668</v>
      </c>
    </row>
    <row r="58" spans="2:15" ht="15.75" thickBot="1" x14ac:dyDescent="0.3">
      <c r="B58" s="22">
        <v>6</v>
      </c>
      <c r="C58" s="23" t="s">
        <v>18</v>
      </c>
      <c r="D58" s="23">
        <v>12</v>
      </c>
      <c r="E58" s="24">
        <f>E53</f>
        <v>14533935.000000002</v>
      </c>
      <c r="F58" s="7">
        <v>4500</v>
      </c>
      <c r="G58" s="24">
        <f t="shared" si="28"/>
        <v>14538435.000000002</v>
      </c>
      <c r="H58" s="24">
        <f>ROUND(G58*0.1,0)</f>
        <v>1453844</v>
      </c>
      <c r="I58" s="7">
        <f t="shared" si="29"/>
        <v>15992279.000000002</v>
      </c>
      <c r="J58" s="24">
        <f t="shared" si="30"/>
        <v>303853</v>
      </c>
      <c r="K58" s="7">
        <f t="shared" si="31"/>
        <v>16296132.000000002</v>
      </c>
      <c r="L58" s="25">
        <f t="shared" si="32"/>
        <v>195553584.00000003</v>
      </c>
      <c r="M58" s="26">
        <f t="shared" si="33"/>
        <v>6518452.8000000007</v>
      </c>
    </row>
    <row r="59" spans="2:15" ht="15.75" thickBot="1" x14ac:dyDescent="0.3">
      <c r="B59" s="52" t="s">
        <v>19</v>
      </c>
      <c r="C59" s="53"/>
      <c r="D59" s="16">
        <f t="shared" ref="D59:M59" si="34">SUM(D53:D58)</f>
        <v>69</v>
      </c>
      <c r="E59" s="17">
        <f t="shared" si="34"/>
        <v>60304978.245200008</v>
      </c>
      <c r="F59" s="17">
        <f t="shared" si="34"/>
        <v>18000</v>
      </c>
      <c r="G59" s="17">
        <f t="shared" si="34"/>
        <v>60322978.245200008</v>
      </c>
      <c r="H59" s="17">
        <f t="shared" si="34"/>
        <v>5515861</v>
      </c>
      <c r="I59" s="17">
        <f t="shared" si="34"/>
        <v>65838839.245200008</v>
      </c>
      <c r="J59" s="17">
        <f t="shared" si="34"/>
        <v>1250938</v>
      </c>
      <c r="K59" s="17">
        <f t="shared" si="34"/>
        <v>67089777.245200008</v>
      </c>
      <c r="L59" s="17">
        <f t="shared" si="34"/>
        <v>634792893.05320013</v>
      </c>
      <c r="M59" s="18">
        <f t="shared" si="34"/>
        <v>21159763.101773337</v>
      </c>
      <c r="O59" s="44"/>
    </row>
    <row r="60" spans="2:15" ht="15.75" thickBot="1" x14ac:dyDescent="0.3">
      <c r="B60" s="49" t="s">
        <v>57</v>
      </c>
      <c r="C60" s="50"/>
      <c r="D60" s="50"/>
      <c r="E60" s="50"/>
      <c r="F60" s="50"/>
      <c r="G60" s="50"/>
      <c r="H60" s="50"/>
      <c r="I60" s="50"/>
      <c r="J60" s="50"/>
      <c r="K60" s="50"/>
      <c r="L60" s="51"/>
      <c r="M60" s="20">
        <f>L59*4</f>
        <v>2539171572.2128005</v>
      </c>
    </row>
    <row r="61" spans="2:15" ht="15.75" thickBot="1" x14ac:dyDescent="0.3">
      <c r="B61" s="54" t="s">
        <v>22</v>
      </c>
      <c r="C61" s="55"/>
      <c r="D61" s="55"/>
      <c r="E61" s="55"/>
      <c r="F61" s="55"/>
      <c r="G61" s="55"/>
      <c r="H61" s="55"/>
      <c r="I61" s="55"/>
      <c r="J61" s="55"/>
      <c r="K61" s="55"/>
      <c r="L61" s="56"/>
      <c r="M61" s="20">
        <f>SUM(M60:M60)</f>
        <v>2539171572.2128005</v>
      </c>
    </row>
    <row r="62" spans="2:15" ht="15.75" thickBot="1" x14ac:dyDescent="0.3"/>
    <row r="63" spans="2:15" ht="15.75" thickBot="1" x14ac:dyDescent="0.3">
      <c r="B63" s="57" t="s">
        <v>26</v>
      </c>
      <c r="C63" s="58"/>
      <c r="D63" s="58"/>
      <c r="E63" s="58"/>
      <c r="F63" s="58"/>
      <c r="G63" s="58"/>
      <c r="H63" s="58"/>
      <c r="I63" s="58"/>
      <c r="J63" s="58"/>
      <c r="K63" s="58"/>
      <c r="L63" s="59"/>
      <c r="M63" s="20">
        <f>M13+M25+M37+M49+M61</f>
        <v>7657678960.6194935</v>
      </c>
      <c r="O63" s="44"/>
    </row>
    <row r="64" spans="2:15" ht="15.75" thickBot="1" x14ac:dyDescent="0.3"/>
    <row r="65" spans="2:15" ht="30.75" thickBot="1" x14ac:dyDescent="0.3">
      <c r="B65" s="27" t="s">
        <v>27</v>
      </c>
      <c r="C65" s="28" t="s">
        <v>28</v>
      </c>
      <c r="D65" s="28" t="s">
        <v>29</v>
      </c>
      <c r="E65" s="28" t="s">
        <v>30</v>
      </c>
      <c r="F65" s="28" t="s">
        <v>9</v>
      </c>
      <c r="G65" s="28" t="s">
        <v>31</v>
      </c>
      <c r="H65" s="29" t="s">
        <v>32</v>
      </c>
      <c r="I65" s="21"/>
      <c r="J65" s="21"/>
      <c r="K65" s="21"/>
      <c r="L65" s="21"/>
      <c r="M65" s="21"/>
    </row>
    <row r="66" spans="2:15" x14ac:dyDescent="0.25">
      <c r="B66" s="30">
        <v>1</v>
      </c>
      <c r="C66" s="31" t="s">
        <v>33</v>
      </c>
      <c r="D66" s="32">
        <v>3</v>
      </c>
      <c r="E66" s="33">
        <v>85000</v>
      </c>
      <c r="F66" s="33">
        <f t="shared" ref="F66:F79" si="35">ROUND(E66*19%,0)</f>
        <v>16150</v>
      </c>
      <c r="G66" s="33">
        <f>(E66+F66)*D66</f>
        <v>303450</v>
      </c>
      <c r="H66" s="34">
        <f>G66/30</f>
        <v>10115</v>
      </c>
      <c r="I66" s="21"/>
      <c r="J66" s="21"/>
      <c r="K66" s="21"/>
      <c r="L66" s="21"/>
      <c r="M66" s="21"/>
      <c r="N66" s="46"/>
      <c r="O66" s="44"/>
    </row>
    <row r="67" spans="2:15" x14ac:dyDescent="0.25">
      <c r="B67" s="5">
        <v>2</v>
      </c>
      <c r="C67" s="35" t="s">
        <v>34</v>
      </c>
      <c r="D67" s="6">
        <v>2</v>
      </c>
      <c r="E67" s="7">
        <v>85000</v>
      </c>
      <c r="F67" s="7">
        <f t="shared" si="35"/>
        <v>16150</v>
      </c>
      <c r="G67" s="7">
        <f t="shared" ref="G67:G79" si="36">(E67+F67)*D67</f>
        <v>202300</v>
      </c>
      <c r="H67" s="36">
        <f t="shared" ref="H67:H79" si="37">G67/30</f>
        <v>6743.333333333333</v>
      </c>
      <c r="I67" s="21"/>
      <c r="J67" s="21"/>
      <c r="K67" s="21"/>
      <c r="L67" s="21"/>
      <c r="M67" s="21"/>
    </row>
    <row r="68" spans="2:15" x14ac:dyDescent="0.25">
      <c r="B68" s="5">
        <v>3</v>
      </c>
      <c r="C68" s="35" t="s">
        <v>35</v>
      </c>
      <c r="D68" s="6">
        <v>1</v>
      </c>
      <c r="E68" s="7">
        <v>85000</v>
      </c>
      <c r="F68" s="7">
        <f t="shared" si="35"/>
        <v>16150</v>
      </c>
      <c r="G68" s="7">
        <f t="shared" si="36"/>
        <v>101150</v>
      </c>
      <c r="H68" s="36">
        <f t="shared" si="37"/>
        <v>3371.6666666666665</v>
      </c>
      <c r="I68" s="21"/>
      <c r="J68" s="21"/>
      <c r="K68" s="21"/>
      <c r="L68" s="21"/>
      <c r="M68" s="21"/>
    </row>
    <row r="69" spans="2:15" x14ac:dyDescent="0.25">
      <c r="B69" s="5">
        <v>5</v>
      </c>
      <c r="C69" s="35" t="s">
        <v>36</v>
      </c>
      <c r="D69" s="6">
        <v>2</v>
      </c>
      <c r="E69" s="7">
        <v>85000</v>
      </c>
      <c r="F69" s="7">
        <f t="shared" si="35"/>
        <v>16150</v>
      </c>
      <c r="G69" s="7">
        <f t="shared" si="36"/>
        <v>202300</v>
      </c>
      <c r="H69" s="36">
        <f t="shared" si="37"/>
        <v>6743.333333333333</v>
      </c>
      <c r="I69" s="21"/>
      <c r="J69" s="21"/>
      <c r="K69" s="21"/>
      <c r="L69" s="21"/>
      <c r="M69" s="21"/>
    </row>
    <row r="70" spans="2:15" x14ac:dyDescent="0.25">
      <c r="B70" s="5">
        <v>8</v>
      </c>
      <c r="C70" s="35" t="s">
        <v>37</v>
      </c>
      <c r="D70" s="6">
        <v>2</v>
      </c>
      <c r="E70" s="7">
        <v>85000</v>
      </c>
      <c r="F70" s="7">
        <f t="shared" si="35"/>
        <v>16150</v>
      </c>
      <c r="G70" s="7">
        <f t="shared" si="36"/>
        <v>202300</v>
      </c>
      <c r="H70" s="36">
        <f t="shared" si="37"/>
        <v>6743.333333333333</v>
      </c>
      <c r="I70" s="21"/>
      <c r="J70" s="21"/>
      <c r="K70" s="21"/>
      <c r="L70" s="21"/>
      <c r="M70" s="21"/>
    </row>
    <row r="71" spans="2:15" x14ac:dyDescent="0.25">
      <c r="B71" s="5">
        <v>9</v>
      </c>
      <c r="C71" s="35" t="s">
        <v>38</v>
      </c>
      <c r="D71" s="6">
        <v>3</v>
      </c>
      <c r="E71" s="7">
        <v>85000</v>
      </c>
      <c r="F71" s="7">
        <f t="shared" si="35"/>
        <v>16150</v>
      </c>
      <c r="G71" s="7">
        <f t="shared" si="36"/>
        <v>303450</v>
      </c>
      <c r="H71" s="36">
        <f t="shared" si="37"/>
        <v>10115</v>
      </c>
      <c r="I71" s="21"/>
      <c r="J71" s="21"/>
      <c r="K71" s="21"/>
      <c r="L71" s="21"/>
      <c r="M71" s="21"/>
    </row>
    <row r="72" spans="2:15" x14ac:dyDescent="0.25">
      <c r="B72" s="5">
        <v>11</v>
      </c>
      <c r="C72" s="35" t="s">
        <v>39</v>
      </c>
      <c r="D72" s="6">
        <v>1</v>
      </c>
      <c r="E72" s="7">
        <v>85000</v>
      </c>
      <c r="F72" s="7">
        <f t="shared" si="35"/>
        <v>16150</v>
      </c>
      <c r="G72" s="7">
        <f t="shared" si="36"/>
        <v>101150</v>
      </c>
      <c r="H72" s="36">
        <f t="shared" si="37"/>
        <v>3371.6666666666665</v>
      </c>
      <c r="I72" s="21"/>
      <c r="J72" s="21"/>
      <c r="K72" s="21"/>
      <c r="L72" s="21"/>
      <c r="M72" s="21"/>
    </row>
    <row r="73" spans="2:15" x14ac:dyDescent="0.25">
      <c r="B73" s="5">
        <v>12</v>
      </c>
      <c r="C73" s="35" t="s">
        <v>40</v>
      </c>
      <c r="D73" s="6">
        <v>1</v>
      </c>
      <c r="E73" s="7">
        <v>85000</v>
      </c>
      <c r="F73" s="7">
        <f t="shared" si="35"/>
        <v>16150</v>
      </c>
      <c r="G73" s="7">
        <f t="shared" si="36"/>
        <v>101150</v>
      </c>
      <c r="H73" s="36">
        <f t="shared" si="37"/>
        <v>3371.6666666666665</v>
      </c>
      <c r="I73" s="21"/>
      <c r="J73" s="21"/>
      <c r="K73" s="21"/>
      <c r="L73" s="21"/>
      <c r="M73" s="21"/>
    </row>
    <row r="74" spans="2:15" x14ac:dyDescent="0.25">
      <c r="B74" s="5">
        <v>13</v>
      </c>
      <c r="C74" s="35" t="s">
        <v>41</v>
      </c>
      <c r="D74" s="6">
        <v>1</v>
      </c>
      <c r="E74" s="7">
        <v>85000</v>
      </c>
      <c r="F74" s="7">
        <f t="shared" si="35"/>
        <v>16150</v>
      </c>
      <c r="G74" s="7">
        <f t="shared" si="36"/>
        <v>101150</v>
      </c>
      <c r="H74" s="36">
        <f t="shared" si="37"/>
        <v>3371.6666666666665</v>
      </c>
      <c r="I74" s="21"/>
      <c r="J74" s="21"/>
      <c r="K74" s="21"/>
      <c r="L74" s="21"/>
      <c r="M74" s="21"/>
    </row>
    <row r="75" spans="2:15" x14ac:dyDescent="0.25">
      <c r="B75" s="5">
        <v>14</v>
      </c>
      <c r="C75" s="35" t="s">
        <v>42</v>
      </c>
      <c r="D75" s="6">
        <v>2</v>
      </c>
      <c r="E75" s="7">
        <v>85000</v>
      </c>
      <c r="F75" s="7">
        <f t="shared" si="35"/>
        <v>16150</v>
      </c>
      <c r="G75" s="7">
        <f t="shared" si="36"/>
        <v>202300</v>
      </c>
      <c r="H75" s="36">
        <f t="shared" si="37"/>
        <v>6743.333333333333</v>
      </c>
      <c r="I75" s="21"/>
      <c r="J75" s="21"/>
      <c r="K75" s="21"/>
      <c r="L75" s="21"/>
      <c r="M75" s="21"/>
    </row>
    <row r="76" spans="2:15" x14ac:dyDescent="0.25">
      <c r="B76" s="5">
        <v>15</v>
      </c>
      <c r="C76" s="35" t="s">
        <v>43</v>
      </c>
      <c r="D76" s="6">
        <v>3</v>
      </c>
      <c r="E76" s="7">
        <v>85000</v>
      </c>
      <c r="F76" s="7">
        <f t="shared" si="35"/>
        <v>16150</v>
      </c>
      <c r="G76" s="7">
        <f t="shared" si="36"/>
        <v>303450</v>
      </c>
      <c r="H76" s="36">
        <f t="shared" si="37"/>
        <v>10115</v>
      </c>
      <c r="I76" s="21"/>
      <c r="J76" s="21"/>
      <c r="K76" s="21"/>
      <c r="L76" s="21"/>
      <c r="M76" s="21"/>
    </row>
    <row r="77" spans="2:15" x14ac:dyDescent="0.25">
      <c r="B77" s="5">
        <v>16</v>
      </c>
      <c r="C77" s="35" t="s">
        <v>44</v>
      </c>
      <c r="D77" s="6">
        <v>2</v>
      </c>
      <c r="E77" s="7">
        <v>85000</v>
      </c>
      <c r="F77" s="7">
        <f t="shared" si="35"/>
        <v>16150</v>
      </c>
      <c r="G77" s="7">
        <f t="shared" si="36"/>
        <v>202300</v>
      </c>
      <c r="H77" s="36">
        <f t="shared" si="37"/>
        <v>6743.333333333333</v>
      </c>
      <c r="I77" s="21"/>
      <c r="J77" s="21"/>
      <c r="K77" s="21"/>
      <c r="L77" s="21"/>
      <c r="M77" s="21"/>
    </row>
    <row r="78" spans="2:15" x14ac:dyDescent="0.25">
      <c r="B78" s="5">
        <v>17</v>
      </c>
      <c r="C78" s="35" t="s">
        <v>45</v>
      </c>
      <c r="D78" s="6">
        <v>1</v>
      </c>
      <c r="E78" s="7">
        <v>85000</v>
      </c>
      <c r="F78" s="7">
        <f t="shared" si="35"/>
        <v>16150</v>
      </c>
      <c r="G78" s="7">
        <f t="shared" si="36"/>
        <v>101150</v>
      </c>
      <c r="H78" s="36">
        <f t="shared" si="37"/>
        <v>3371.6666666666665</v>
      </c>
      <c r="I78" s="21"/>
      <c r="J78" s="21"/>
      <c r="K78" s="21"/>
      <c r="L78" s="21"/>
      <c r="M78" s="21"/>
    </row>
    <row r="79" spans="2:15" ht="15.75" thickBot="1" x14ac:dyDescent="0.3">
      <c r="B79" s="11">
        <v>18</v>
      </c>
      <c r="C79" s="37" t="s">
        <v>46</v>
      </c>
      <c r="D79" s="12">
        <v>1</v>
      </c>
      <c r="E79" s="13">
        <v>85000</v>
      </c>
      <c r="F79" s="13">
        <f t="shared" si="35"/>
        <v>16150</v>
      </c>
      <c r="G79" s="13">
        <f t="shared" si="36"/>
        <v>101150</v>
      </c>
      <c r="H79" s="38">
        <f t="shared" si="37"/>
        <v>3371.6666666666665</v>
      </c>
      <c r="I79" s="21"/>
      <c r="J79" s="21"/>
      <c r="K79" s="21"/>
      <c r="L79" s="21"/>
      <c r="M79" s="21"/>
    </row>
    <row r="80" spans="2:15" ht="15.75" thickBot="1" x14ac:dyDescent="0.3">
      <c r="B80" s="60" t="s">
        <v>19</v>
      </c>
      <c r="C80" s="61"/>
      <c r="D80" s="39">
        <f>SUM(D66:D79)</f>
        <v>25</v>
      </c>
      <c r="E80" s="40">
        <f>SUM(E66:E79)</f>
        <v>1190000</v>
      </c>
      <c r="F80" s="40">
        <f>SUM(F66:F79)</f>
        <v>226100</v>
      </c>
      <c r="G80" s="41">
        <f>SUM(G66:G79)</f>
        <v>2528750</v>
      </c>
      <c r="H80" s="18">
        <f>SUM(H66:H79)</f>
        <v>84291.666666666672</v>
      </c>
      <c r="I80" s="21"/>
      <c r="J80" s="21"/>
      <c r="K80" s="21"/>
      <c r="L80" s="21"/>
      <c r="M80" s="21"/>
    </row>
    <row r="81" spans="2:15" ht="15.75" thickBot="1" x14ac:dyDescent="0.3">
      <c r="B81" s="57" t="s">
        <v>53</v>
      </c>
      <c r="C81" s="62"/>
      <c r="D81" s="62"/>
      <c r="E81" s="62"/>
      <c r="F81" s="62"/>
      <c r="G81" s="63"/>
      <c r="H81" s="42">
        <f>G80*2</f>
        <v>5057500</v>
      </c>
    </row>
    <row r="82" spans="2:15" ht="15.75" thickBot="1" x14ac:dyDescent="0.3">
      <c r="B82" s="57" t="s">
        <v>58</v>
      </c>
      <c r="C82" s="62"/>
      <c r="D82" s="62"/>
      <c r="E82" s="62"/>
      <c r="F82" s="62"/>
      <c r="G82" s="63"/>
      <c r="H82" s="42">
        <f>G80*10</f>
        <v>25287500</v>
      </c>
    </row>
    <row r="83" spans="2:15" ht="15.75" thickBot="1" x14ac:dyDescent="0.3">
      <c r="B83" s="57" t="s">
        <v>59</v>
      </c>
      <c r="C83" s="62"/>
      <c r="D83" s="62"/>
      <c r="E83" s="62"/>
      <c r="F83" s="62"/>
      <c r="G83" s="63"/>
      <c r="H83" s="42">
        <f>H80*15</f>
        <v>1264375</v>
      </c>
    </row>
    <row r="84" spans="2:15" ht="15.75" thickBot="1" x14ac:dyDescent="0.3">
      <c r="B84" s="57" t="s">
        <v>19</v>
      </c>
      <c r="C84" s="62"/>
      <c r="D84" s="62"/>
      <c r="E84" s="62"/>
      <c r="F84" s="62"/>
      <c r="G84" s="63"/>
      <c r="H84" s="42">
        <f>H81+H82+H83</f>
        <v>31609375</v>
      </c>
      <c r="O84" s="44"/>
    </row>
    <row r="85" spans="2:15" ht="15.75" thickBot="1" x14ac:dyDescent="0.3"/>
    <row r="86" spans="2:15" ht="15.75" thickBot="1" x14ac:dyDescent="0.3">
      <c r="B86" s="57" t="s">
        <v>47</v>
      </c>
      <c r="C86" s="62"/>
      <c r="D86" s="62"/>
      <c r="E86" s="62"/>
      <c r="F86" s="62"/>
      <c r="G86" s="62"/>
      <c r="H86" s="62"/>
      <c r="I86" s="62"/>
      <c r="J86" s="62"/>
      <c r="K86" s="62"/>
      <c r="L86" s="63"/>
      <c r="M86" s="42">
        <f>H84</f>
        <v>31609375</v>
      </c>
    </row>
    <row r="87" spans="2:15" ht="15.75" thickBot="1" x14ac:dyDescent="0.3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</row>
    <row r="88" spans="2:15" ht="15.75" thickBot="1" x14ac:dyDescent="0.3">
      <c r="B88" s="57" t="s">
        <v>48</v>
      </c>
      <c r="C88" s="62"/>
      <c r="D88" s="62"/>
      <c r="E88" s="62"/>
      <c r="F88" s="62"/>
      <c r="G88" s="62"/>
      <c r="H88" s="62"/>
      <c r="I88" s="62"/>
      <c r="J88" s="62"/>
      <c r="K88" s="62"/>
      <c r="L88" s="63"/>
      <c r="M88" s="42">
        <f>M63+M86</f>
        <v>7689288335.6194935</v>
      </c>
    </row>
    <row r="89" spans="2:15" x14ac:dyDescent="0.25">
      <c r="N89" s="46"/>
      <c r="O89" s="44"/>
    </row>
  </sheetData>
  <mergeCells count="29">
    <mergeCell ref="B86:L86"/>
    <mergeCell ref="B88:L88"/>
    <mergeCell ref="B27:M27"/>
    <mergeCell ref="B35:C35"/>
    <mergeCell ref="B37:L37"/>
    <mergeCell ref="B36:L36"/>
    <mergeCell ref="B39:M39"/>
    <mergeCell ref="B47:C47"/>
    <mergeCell ref="B82:G82"/>
    <mergeCell ref="B83:G83"/>
    <mergeCell ref="B84:G84"/>
    <mergeCell ref="B81:G81"/>
    <mergeCell ref="B60:L60"/>
    <mergeCell ref="B61:L61"/>
    <mergeCell ref="B23:C23"/>
    <mergeCell ref="B24:L24"/>
    <mergeCell ref="B25:L25"/>
    <mergeCell ref="B63:L63"/>
    <mergeCell ref="B80:C80"/>
    <mergeCell ref="B48:L48"/>
    <mergeCell ref="B49:L49"/>
    <mergeCell ref="B51:M51"/>
    <mergeCell ref="B59:C59"/>
    <mergeCell ref="B15:M15"/>
    <mergeCell ref="B2:M2"/>
    <mergeCell ref="B10:C10"/>
    <mergeCell ref="B11:L11"/>
    <mergeCell ref="B12:L12"/>
    <mergeCell ref="B13:L13"/>
  </mergeCells>
  <pageMargins left="0.7" right="0.7" top="0.75" bottom="0.75" header="0.3" footer="0.3"/>
  <pageSetup paperSize="2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B8A7-22E6-415B-824F-AC5D3D8AE574}">
  <dimension ref="B1:O61"/>
  <sheetViews>
    <sheetView tabSelected="1" topLeftCell="A49" workbookViewId="0">
      <selection activeCell="M54" sqref="M54"/>
    </sheetView>
  </sheetViews>
  <sheetFormatPr baseColWidth="10" defaultRowHeight="15" x14ac:dyDescent="0.25"/>
  <cols>
    <col min="1" max="2" width="11.42578125" style="43"/>
    <col min="3" max="3" width="49.42578125" style="43" customWidth="1"/>
    <col min="4" max="4" width="11.42578125" style="43"/>
    <col min="5" max="5" width="14.140625" style="43" bestFit="1" customWidth="1"/>
    <col min="6" max="6" width="11.42578125" style="43"/>
    <col min="7" max="9" width="14.140625" style="43" bestFit="1" customWidth="1"/>
    <col min="10" max="10" width="13.140625" style="43" bestFit="1" customWidth="1"/>
    <col min="11" max="11" width="14.140625" style="43" bestFit="1" customWidth="1"/>
    <col min="12" max="12" width="15.140625" style="43" bestFit="1" customWidth="1"/>
    <col min="13" max="13" width="16.85546875" style="43" bestFit="1" customWidth="1"/>
    <col min="14" max="14" width="11.42578125" style="43"/>
    <col min="15" max="15" width="16.85546875" style="43" bestFit="1" customWidth="1"/>
    <col min="16" max="16384" width="11.42578125" style="43"/>
  </cols>
  <sheetData>
    <row r="1" spans="2:13" ht="15.75" thickBot="1" x14ac:dyDescent="0.3"/>
    <row r="2" spans="2:13" ht="15.75" thickBot="1" x14ac:dyDescent="0.3">
      <c r="B2" s="49" t="s">
        <v>60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1"/>
    </row>
    <row r="3" spans="2:13" ht="60" x14ac:dyDescent="0.25">
      <c r="B3" s="1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3" t="s">
        <v>11</v>
      </c>
      <c r="M3" s="4" t="s">
        <v>12</v>
      </c>
    </row>
    <row r="4" spans="2:13" x14ac:dyDescent="0.25">
      <c r="B4" s="5">
        <v>1</v>
      </c>
      <c r="C4" s="6" t="s">
        <v>13</v>
      </c>
      <c r="D4" s="6">
        <v>1</v>
      </c>
      <c r="E4" s="7"/>
      <c r="F4" s="7"/>
      <c r="G4" s="7"/>
      <c r="H4" s="7"/>
      <c r="I4" s="7"/>
      <c r="J4" s="7"/>
      <c r="K4" s="7"/>
      <c r="L4" s="8"/>
      <c r="M4" s="9"/>
    </row>
    <row r="5" spans="2:13" ht="30" x14ac:dyDescent="0.25">
      <c r="B5" s="5">
        <v>2</v>
      </c>
      <c r="C5" s="10" t="s">
        <v>14</v>
      </c>
      <c r="D5" s="6">
        <v>27</v>
      </c>
      <c r="E5" s="7"/>
      <c r="F5" s="7"/>
      <c r="G5" s="7"/>
      <c r="H5" s="7"/>
      <c r="I5" s="7"/>
      <c r="J5" s="7"/>
      <c r="K5" s="7"/>
      <c r="L5" s="8"/>
      <c r="M5" s="9"/>
    </row>
    <row r="6" spans="2:13" ht="30" x14ac:dyDescent="0.25">
      <c r="B6" s="5">
        <v>3</v>
      </c>
      <c r="C6" s="10" t="s">
        <v>15</v>
      </c>
      <c r="D6" s="6">
        <v>3</v>
      </c>
      <c r="E6" s="7"/>
      <c r="F6" s="7"/>
      <c r="G6" s="7"/>
      <c r="H6" s="7"/>
      <c r="I6" s="7"/>
      <c r="J6" s="7"/>
      <c r="K6" s="7"/>
      <c r="L6" s="8"/>
      <c r="M6" s="9"/>
    </row>
    <row r="7" spans="2:13" ht="30" x14ac:dyDescent="0.25">
      <c r="B7" s="5">
        <v>4</v>
      </c>
      <c r="C7" s="10" t="s">
        <v>16</v>
      </c>
      <c r="D7" s="6">
        <v>9</v>
      </c>
      <c r="E7" s="7"/>
      <c r="F7" s="7"/>
      <c r="G7" s="7"/>
      <c r="H7" s="7"/>
      <c r="I7" s="7"/>
      <c r="J7" s="7"/>
      <c r="K7" s="7"/>
      <c r="L7" s="8"/>
      <c r="M7" s="9"/>
    </row>
    <row r="8" spans="2:13" ht="30" x14ac:dyDescent="0.25">
      <c r="B8" s="5">
        <v>5</v>
      </c>
      <c r="C8" s="10" t="s">
        <v>17</v>
      </c>
      <c r="D8" s="6">
        <v>17</v>
      </c>
      <c r="E8" s="7"/>
      <c r="F8" s="7"/>
      <c r="G8" s="7"/>
      <c r="H8" s="7"/>
      <c r="I8" s="7"/>
      <c r="J8" s="7"/>
      <c r="K8" s="7"/>
      <c r="L8" s="8"/>
      <c r="M8" s="9"/>
    </row>
    <row r="9" spans="2:13" ht="15.75" thickBot="1" x14ac:dyDescent="0.3">
      <c r="B9" s="11">
        <v>6</v>
      </c>
      <c r="C9" s="12" t="s">
        <v>18</v>
      </c>
      <c r="D9" s="12">
        <v>12</v>
      </c>
      <c r="E9" s="13"/>
      <c r="F9" s="7"/>
      <c r="G9" s="13"/>
      <c r="H9" s="13"/>
      <c r="I9" s="13"/>
      <c r="J9" s="13"/>
      <c r="K9" s="13"/>
      <c r="L9" s="14"/>
      <c r="M9" s="15"/>
    </row>
    <row r="10" spans="2:13" ht="15.75" thickBot="1" x14ac:dyDescent="0.3">
      <c r="B10" s="64" t="s">
        <v>19</v>
      </c>
      <c r="C10" s="65"/>
      <c r="D10" s="16">
        <f>SUM(D4:D9)</f>
        <v>69</v>
      </c>
      <c r="E10" s="17"/>
      <c r="F10" s="17"/>
      <c r="G10" s="17"/>
      <c r="H10" s="17"/>
      <c r="I10" s="17"/>
      <c r="J10" s="17"/>
      <c r="K10" s="17"/>
      <c r="L10" s="17"/>
      <c r="M10" s="18"/>
    </row>
    <row r="11" spans="2:13" ht="15.75" thickBot="1" x14ac:dyDescent="0.3">
      <c r="B11" s="49" t="s">
        <v>62</v>
      </c>
      <c r="C11" s="50"/>
      <c r="D11" s="50"/>
      <c r="E11" s="50"/>
      <c r="F11" s="50"/>
      <c r="G11" s="50"/>
      <c r="H11" s="50"/>
      <c r="I11" s="50"/>
      <c r="J11" s="50"/>
      <c r="K11" s="50"/>
      <c r="L11" s="51"/>
      <c r="M11" s="20"/>
    </row>
    <row r="12" spans="2:13" ht="15.75" thickBot="1" x14ac:dyDescent="0.3">
      <c r="B12" s="49" t="s">
        <v>22</v>
      </c>
      <c r="C12" s="50"/>
      <c r="D12" s="50"/>
      <c r="E12" s="50"/>
      <c r="F12" s="50"/>
      <c r="G12" s="50"/>
      <c r="H12" s="50"/>
      <c r="I12" s="50"/>
      <c r="J12" s="50"/>
      <c r="K12" s="50"/>
      <c r="L12" s="51"/>
      <c r="M12" s="20"/>
    </row>
    <row r="13" spans="2:13" ht="15.75" thickBot="1" x14ac:dyDescent="0.3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2:13" ht="15.75" thickBot="1" x14ac:dyDescent="0.3">
      <c r="B14" s="49" t="s">
        <v>23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1"/>
    </row>
    <row r="15" spans="2:13" ht="60" x14ac:dyDescent="0.25">
      <c r="B15" s="1" t="s">
        <v>1</v>
      </c>
      <c r="C15" s="2" t="s">
        <v>2</v>
      </c>
      <c r="D15" s="2" t="s">
        <v>3</v>
      </c>
      <c r="E15" s="2" t="s">
        <v>24</v>
      </c>
      <c r="F15" s="2" t="s">
        <v>5</v>
      </c>
      <c r="G15" s="2" t="s">
        <v>6</v>
      </c>
      <c r="H15" s="2" t="s">
        <v>7</v>
      </c>
      <c r="I15" s="2" t="s">
        <v>8</v>
      </c>
      <c r="J15" s="2" t="s">
        <v>9</v>
      </c>
      <c r="K15" s="2" t="s">
        <v>10</v>
      </c>
      <c r="L15" s="3" t="s">
        <v>11</v>
      </c>
      <c r="M15" s="4" t="s">
        <v>12</v>
      </c>
    </row>
    <row r="16" spans="2:13" x14ac:dyDescent="0.25">
      <c r="B16" s="5">
        <v>1</v>
      </c>
      <c r="C16" s="6" t="s">
        <v>13</v>
      </c>
      <c r="D16" s="6">
        <v>1</v>
      </c>
      <c r="E16" s="7"/>
      <c r="F16" s="7"/>
      <c r="G16" s="7"/>
      <c r="H16" s="7"/>
      <c r="I16" s="7"/>
      <c r="J16" s="7"/>
      <c r="K16" s="7"/>
      <c r="L16" s="8"/>
      <c r="M16" s="9"/>
    </row>
    <row r="17" spans="2:13" ht="30" x14ac:dyDescent="0.25">
      <c r="B17" s="5">
        <v>2</v>
      </c>
      <c r="C17" s="10" t="s">
        <v>14</v>
      </c>
      <c r="D17" s="6">
        <v>27</v>
      </c>
      <c r="E17" s="7"/>
      <c r="F17" s="7"/>
      <c r="G17" s="7"/>
      <c r="H17" s="7"/>
      <c r="I17" s="7"/>
      <c r="J17" s="7"/>
      <c r="K17" s="7"/>
      <c r="L17" s="8"/>
      <c r="M17" s="9"/>
    </row>
    <row r="18" spans="2:13" ht="30" x14ac:dyDescent="0.25">
      <c r="B18" s="5">
        <v>3</v>
      </c>
      <c r="C18" s="10" t="s">
        <v>15</v>
      </c>
      <c r="D18" s="6">
        <v>3</v>
      </c>
      <c r="E18" s="7"/>
      <c r="F18" s="7"/>
      <c r="G18" s="7"/>
      <c r="H18" s="7"/>
      <c r="I18" s="7"/>
      <c r="J18" s="7"/>
      <c r="K18" s="7"/>
      <c r="L18" s="8"/>
      <c r="M18" s="9"/>
    </row>
    <row r="19" spans="2:13" ht="30" x14ac:dyDescent="0.25">
      <c r="B19" s="5">
        <v>4</v>
      </c>
      <c r="C19" s="10" t="s">
        <v>16</v>
      </c>
      <c r="D19" s="6">
        <v>9</v>
      </c>
      <c r="E19" s="7"/>
      <c r="F19" s="7"/>
      <c r="G19" s="7"/>
      <c r="H19" s="7"/>
      <c r="I19" s="7"/>
      <c r="J19" s="7"/>
      <c r="K19" s="7"/>
      <c r="L19" s="8"/>
      <c r="M19" s="9"/>
    </row>
    <row r="20" spans="2:13" ht="30" x14ac:dyDescent="0.25">
      <c r="B20" s="5">
        <v>5</v>
      </c>
      <c r="C20" s="10" t="s">
        <v>17</v>
      </c>
      <c r="D20" s="6">
        <v>17</v>
      </c>
      <c r="E20" s="7"/>
      <c r="F20" s="7"/>
      <c r="G20" s="7"/>
      <c r="H20" s="7"/>
      <c r="I20" s="7"/>
      <c r="J20" s="7"/>
      <c r="K20" s="7"/>
      <c r="L20" s="8"/>
      <c r="M20" s="9"/>
    </row>
    <row r="21" spans="2:13" ht="15.75" thickBot="1" x14ac:dyDescent="0.3">
      <c r="B21" s="22">
        <v>6</v>
      </c>
      <c r="C21" s="23" t="s">
        <v>18</v>
      </c>
      <c r="D21" s="23">
        <v>12</v>
      </c>
      <c r="E21" s="24"/>
      <c r="F21" s="7"/>
      <c r="G21" s="24"/>
      <c r="H21" s="24"/>
      <c r="I21" s="7"/>
      <c r="J21" s="24"/>
      <c r="K21" s="7"/>
      <c r="L21" s="25"/>
      <c r="M21" s="26"/>
    </row>
    <row r="22" spans="2:13" ht="15.75" thickBot="1" x14ac:dyDescent="0.3">
      <c r="B22" s="64" t="s">
        <v>19</v>
      </c>
      <c r="C22" s="65"/>
      <c r="D22" s="16">
        <f t="shared" ref="D22" si="0">SUM(D16:D21)</f>
        <v>69</v>
      </c>
      <c r="E22" s="17"/>
      <c r="F22" s="17"/>
      <c r="G22" s="17"/>
      <c r="H22" s="17"/>
      <c r="I22" s="17"/>
      <c r="J22" s="17"/>
      <c r="K22" s="17"/>
      <c r="L22" s="17"/>
      <c r="M22" s="18"/>
    </row>
    <row r="23" spans="2:13" ht="15.75" thickBot="1" x14ac:dyDescent="0.3">
      <c r="B23" s="49" t="s">
        <v>25</v>
      </c>
      <c r="C23" s="50"/>
      <c r="D23" s="50"/>
      <c r="E23" s="50"/>
      <c r="F23" s="50"/>
      <c r="G23" s="50"/>
      <c r="H23" s="50"/>
      <c r="I23" s="50"/>
      <c r="J23" s="50"/>
      <c r="K23" s="50"/>
      <c r="L23" s="51"/>
      <c r="M23" s="20"/>
    </row>
    <row r="24" spans="2:13" ht="15.75" thickBot="1" x14ac:dyDescent="0.3">
      <c r="B24" s="49" t="s">
        <v>22</v>
      </c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</row>
    <row r="25" spans="2:13" ht="15.75" thickBot="1" x14ac:dyDescent="0.3"/>
    <row r="26" spans="2:13" ht="15.75" thickBot="1" x14ac:dyDescent="0.3">
      <c r="B26" s="49" t="s">
        <v>61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</row>
    <row r="27" spans="2:13" ht="60" x14ac:dyDescent="0.25">
      <c r="B27" s="1" t="s">
        <v>1</v>
      </c>
      <c r="C27" s="2" t="s">
        <v>2</v>
      </c>
      <c r="D27" s="2" t="s">
        <v>3</v>
      </c>
      <c r="E27" s="2" t="s">
        <v>24</v>
      </c>
      <c r="F27" s="2" t="s">
        <v>5</v>
      </c>
      <c r="G27" s="2" t="s">
        <v>6</v>
      </c>
      <c r="H27" s="2" t="s">
        <v>7</v>
      </c>
      <c r="I27" s="2" t="s">
        <v>8</v>
      </c>
      <c r="J27" s="2" t="s">
        <v>9</v>
      </c>
      <c r="K27" s="2" t="s">
        <v>10</v>
      </c>
      <c r="L27" s="3" t="s">
        <v>11</v>
      </c>
      <c r="M27" s="4" t="s">
        <v>12</v>
      </c>
    </row>
    <row r="28" spans="2:13" x14ac:dyDescent="0.25">
      <c r="B28" s="5">
        <v>1</v>
      </c>
      <c r="C28" s="6" t="s">
        <v>13</v>
      </c>
      <c r="D28" s="6">
        <v>1</v>
      </c>
      <c r="E28" s="7"/>
      <c r="F28" s="7"/>
      <c r="G28" s="7"/>
      <c r="H28" s="7"/>
      <c r="I28" s="7"/>
      <c r="J28" s="7"/>
      <c r="K28" s="7"/>
      <c r="L28" s="8"/>
      <c r="M28" s="9"/>
    </row>
    <row r="29" spans="2:13" ht="30" x14ac:dyDescent="0.25">
      <c r="B29" s="5">
        <v>2</v>
      </c>
      <c r="C29" s="10" t="s">
        <v>14</v>
      </c>
      <c r="D29" s="6">
        <v>27</v>
      </c>
      <c r="E29" s="7"/>
      <c r="F29" s="7"/>
      <c r="G29" s="7"/>
      <c r="H29" s="7"/>
      <c r="I29" s="7"/>
      <c r="J29" s="7"/>
      <c r="K29" s="7"/>
      <c r="L29" s="8"/>
      <c r="M29" s="9"/>
    </row>
    <row r="30" spans="2:13" ht="30" x14ac:dyDescent="0.25">
      <c r="B30" s="5">
        <v>3</v>
      </c>
      <c r="C30" s="10" t="s">
        <v>15</v>
      </c>
      <c r="D30" s="6">
        <v>3</v>
      </c>
      <c r="E30" s="7"/>
      <c r="F30" s="7"/>
      <c r="G30" s="7"/>
      <c r="H30" s="7"/>
      <c r="I30" s="7"/>
      <c r="J30" s="7"/>
      <c r="K30" s="7"/>
      <c r="L30" s="8"/>
      <c r="M30" s="9"/>
    </row>
    <row r="31" spans="2:13" ht="30" x14ac:dyDescent="0.25">
      <c r="B31" s="5">
        <v>4</v>
      </c>
      <c r="C31" s="10" t="s">
        <v>16</v>
      </c>
      <c r="D31" s="6">
        <v>9</v>
      </c>
      <c r="E31" s="7"/>
      <c r="F31" s="7"/>
      <c r="G31" s="7"/>
      <c r="H31" s="7"/>
      <c r="I31" s="7"/>
      <c r="J31" s="7"/>
      <c r="K31" s="7"/>
      <c r="L31" s="8"/>
      <c r="M31" s="9"/>
    </row>
    <row r="32" spans="2:13" ht="30" x14ac:dyDescent="0.25">
      <c r="B32" s="5">
        <v>5</v>
      </c>
      <c r="C32" s="10" t="s">
        <v>17</v>
      </c>
      <c r="D32" s="6">
        <v>17</v>
      </c>
      <c r="E32" s="7"/>
      <c r="F32" s="7"/>
      <c r="G32" s="7"/>
      <c r="H32" s="7"/>
      <c r="I32" s="7"/>
      <c r="J32" s="7"/>
      <c r="K32" s="7"/>
      <c r="L32" s="8"/>
      <c r="M32" s="9"/>
    </row>
    <row r="33" spans="2:13" ht="15.75" thickBot="1" x14ac:dyDescent="0.3">
      <c r="B33" s="22">
        <v>6</v>
      </c>
      <c r="C33" s="23" t="s">
        <v>18</v>
      </c>
      <c r="D33" s="23">
        <v>12</v>
      </c>
      <c r="E33" s="24"/>
      <c r="F33" s="7"/>
      <c r="G33" s="24"/>
      <c r="H33" s="24"/>
      <c r="I33" s="7"/>
      <c r="J33" s="24"/>
      <c r="K33" s="7"/>
      <c r="L33" s="25"/>
      <c r="M33" s="26"/>
    </row>
    <row r="34" spans="2:13" ht="15.75" thickBot="1" x14ac:dyDescent="0.3">
      <c r="B34" s="64" t="s">
        <v>19</v>
      </c>
      <c r="C34" s="65"/>
      <c r="D34" s="16">
        <f t="shared" ref="D34" si="1">SUM(D28:D33)</f>
        <v>69</v>
      </c>
      <c r="E34" s="17"/>
      <c r="F34" s="17"/>
      <c r="G34" s="17"/>
      <c r="H34" s="17"/>
      <c r="I34" s="17"/>
      <c r="J34" s="17"/>
      <c r="K34" s="17"/>
      <c r="L34" s="17"/>
      <c r="M34" s="18"/>
    </row>
    <row r="35" spans="2:13" ht="15.75" thickBot="1" x14ac:dyDescent="0.3">
      <c r="B35" s="49" t="s">
        <v>57</v>
      </c>
      <c r="C35" s="50"/>
      <c r="D35" s="50"/>
      <c r="E35" s="50"/>
      <c r="F35" s="50"/>
      <c r="G35" s="50"/>
      <c r="H35" s="50"/>
      <c r="I35" s="50"/>
      <c r="J35" s="50"/>
      <c r="K35" s="50"/>
      <c r="L35" s="51"/>
      <c r="M35" s="20"/>
    </row>
    <row r="36" spans="2:13" ht="15.75" thickBot="1" x14ac:dyDescent="0.3">
      <c r="B36" s="49" t="s">
        <v>22</v>
      </c>
      <c r="C36" s="50"/>
      <c r="D36" s="50"/>
      <c r="E36" s="50"/>
      <c r="F36" s="50"/>
      <c r="G36" s="50"/>
      <c r="H36" s="50"/>
      <c r="I36" s="50"/>
      <c r="J36" s="50"/>
      <c r="K36" s="50"/>
      <c r="L36" s="51"/>
      <c r="M36" s="20"/>
    </row>
    <row r="37" spans="2:13" ht="15.75" thickBot="1" x14ac:dyDescent="0.3"/>
    <row r="38" spans="2:13" ht="15.75" thickBot="1" x14ac:dyDescent="0.3">
      <c r="B38" s="57" t="s">
        <v>26</v>
      </c>
      <c r="C38" s="62"/>
      <c r="D38" s="62"/>
      <c r="E38" s="62"/>
      <c r="F38" s="62"/>
      <c r="G38" s="62"/>
      <c r="H38" s="62"/>
      <c r="I38" s="62"/>
      <c r="J38" s="62"/>
      <c r="K38" s="62"/>
      <c r="L38" s="63"/>
      <c r="M38" s="20"/>
    </row>
    <row r="39" spans="2:13" ht="15.75" thickBot="1" x14ac:dyDescent="0.3"/>
    <row r="40" spans="2:13" ht="30.75" thickBot="1" x14ac:dyDescent="0.3">
      <c r="B40" s="27" t="s">
        <v>27</v>
      </c>
      <c r="C40" s="28" t="s">
        <v>28</v>
      </c>
      <c r="D40" s="28" t="s">
        <v>29</v>
      </c>
      <c r="E40" s="28" t="s">
        <v>30</v>
      </c>
      <c r="F40" s="28" t="s">
        <v>9</v>
      </c>
      <c r="G40" s="28" t="s">
        <v>31</v>
      </c>
      <c r="H40" s="29" t="s">
        <v>32</v>
      </c>
      <c r="I40" s="21"/>
      <c r="J40" s="21"/>
      <c r="K40" s="21"/>
      <c r="L40" s="21"/>
      <c r="M40" s="21"/>
    </row>
    <row r="41" spans="2:13" x14ac:dyDescent="0.25">
      <c r="B41" s="30">
        <v>1</v>
      </c>
      <c r="C41" s="31" t="s">
        <v>33</v>
      </c>
      <c r="D41" s="32">
        <v>3</v>
      </c>
      <c r="E41" s="33"/>
      <c r="F41" s="33"/>
      <c r="G41" s="33"/>
      <c r="H41" s="34"/>
      <c r="I41" s="21"/>
      <c r="J41" s="21"/>
      <c r="K41" s="21"/>
      <c r="L41" s="21"/>
      <c r="M41" s="21"/>
    </row>
    <row r="42" spans="2:13" x14ac:dyDescent="0.25">
      <c r="B42" s="5">
        <v>2</v>
      </c>
      <c r="C42" s="35" t="s">
        <v>34</v>
      </c>
      <c r="D42" s="6">
        <v>2</v>
      </c>
      <c r="E42" s="7"/>
      <c r="F42" s="7"/>
      <c r="G42" s="7"/>
      <c r="H42" s="36"/>
      <c r="I42" s="21"/>
      <c r="J42" s="21"/>
      <c r="K42" s="21"/>
      <c r="L42" s="21"/>
      <c r="M42" s="21"/>
    </row>
    <row r="43" spans="2:13" x14ac:dyDescent="0.25">
      <c r="B43" s="5">
        <v>3</v>
      </c>
      <c r="C43" s="35" t="s">
        <v>35</v>
      </c>
      <c r="D43" s="6">
        <v>1</v>
      </c>
      <c r="E43" s="7"/>
      <c r="F43" s="7"/>
      <c r="G43" s="7"/>
      <c r="H43" s="36"/>
      <c r="I43" s="21"/>
      <c r="J43" s="21"/>
      <c r="K43" s="21"/>
      <c r="L43" s="21"/>
      <c r="M43" s="21"/>
    </row>
    <row r="44" spans="2:13" x14ac:dyDescent="0.25">
      <c r="B44" s="5">
        <v>5</v>
      </c>
      <c r="C44" s="35" t="s">
        <v>36</v>
      </c>
      <c r="D44" s="6">
        <v>2</v>
      </c>
      <c r="E44" s="7"/>
      <c r="F44" s="7"/>
      <c r="G44" s="7"/>
      <c r="H44" s="36"/>
      <c r="I44" s="21"/>
      <c r="J44" s="21"/>
      <c r="K44" s="21"/>
      <c r="L44" s="21"/>
      <c r="M44" s="21"/>
    </row>
    <row r="45" spans="2:13" x14ac:dyDescent="0.25">
      <c r="B45" s="5">
        <v>8</v>
      </c>
      <c r="C45" s="35" t="s">
        <v>37</v>
      </c>
      <c r="D45" s="6">
        <v>2</v>
      </c>
      <c r="E45" s="7"/>
      <c r="F45" s="7"/>
      <c r="G45" s="7"/>
      <c r="H45" s="36"/>
      <c r="I45" s="21"/>
      <c r="J45" s="21"/>
      <c r="K45" s="21"/>
      <c r="L45" s="21"/>
      <c r="M45" s="21"/>
    </row>
    <row r="46" spans="2:13" x14ac:dyDescent="0.25">
      <c r="B46" s="5">
        <v>9</v>
      </c>
      <c r="C46" s="35" t="s">
        <v>38</v>
      </c>
      <c r="D46" s="6">
        <v>3</v>
      </c>
      <c r="E46" s="7"/>
      <c r="F46" s="7"/>
      <c r="G46" s="7"/>
      <c r="H46" s="36"/>
      <c r="I46" s="21"/>
      <c r="J46" s="21"/>
      <c r="K46" s="21"/>
      <c r="L46" s="21"/>
      <c r="M46" s="21"/>
    </row>
    <row r="47" spans="2:13" x14ac:dyDescent="0.25">
      <c r="B47" s="5">
        <v>11</v>
      </c>
      <c r="C47" s="35" t="s">
        <v>39</v>
      </c>
      <c r="D47" s="6">
        <v>1</v>
      </c>
      <c r="E47" s="7"/>
      <c r="F47" s="7"/>
      <c r="G47" s="7"/>
      <c r="H47" s="36"/>
      <c r="I47" s="21"/>
      <c r="J47" s="21"/>
      <c r="K47" s="21"/>
      <c r="L47" s="21"/>
      <c r="M47" s="21"/>
    </row>
    <row r="48" spans="2:13" ht="30" x14ac:dyDescent="0.25">
      <c r="B48" s="5">
        <v>12</v>
      </c>
      <c r="C48" s="35" t="s">
        <v>40</v>
      </c>
      <c r="D48" s="6">
        <v>1</v>
      </c>
      <c r="E48" s="7"/>
      <c r="F48" s="7"/>
      <c r="G48" s="7"/>
      <c r="H48" s="36"/>
      <c r="I48" s="21"/>
      <c r="J48" s="21"/>
      <c r="K48" s="21"/>
      <c r="L48" s="21"/>
      <c r="M48" s="21"/>
    </row>
    <row r="49" spans="2:15" ht="30" x14ac:dyDescent="0.25">
      <c r="B49" s="5">
        <v>13</v>
      </c>
      <c r="C49" s="35" t="s">
        <v>41</v>
      </c>
      <c r="D49" s="6">
        <v>1</v>
      </c>
      <c r="E49" s="7"/>
      <c r="F49" s="7"/>
      <c r="G49" s="7"/>
      <c r="H49" s="36"/>
      <c r="I49" s="21"/>
      <c r="J49" s="21"/>
      <c r="K49" s="21"/>
      <c r="L49" s="21"/>
      <c r="M49" s="21"/>
    </row>
    <row r="50" spans="2:15" ht="30" x14ac:dyDescent="0.25">
      <c r="B50" s="5">
        <v>14</v>
      </c>
      <c r="C50" s="35" t="s">
        <v>42</v>
      </c>
      <c r="D50" s="6">
        <v>2</v>
      </c>
      <c r="E50" s="7"/>
      <c r="F50" s="7"/>
      <c r="G50" s="7"/>
      <c r="H50" s="36"/>
      <c r="I50" s="21"/>
      <c r="J50" s="21"/>
      <c r="K50" s="21"/>
      <c r="L50" s="21"/>
      <c r="M50" s="21"/>
    </row>
    <row r="51" spans="2:15" x14ac:dyDescent="0.25">
      <c r="B51" s="5">
        <v>15</v>
      </c>
      <c r="C51" s="35" t="s">
        <v>43</v>
      </c>
      <c r="D51" s="6">
        <v>3</v>
      </c>
      <c r="E51" s="7"/>
      <c r="F51" s="7"/>
      <c r="G51" s="7"/>
      <c r="H51" s="36"/>
      <c r="I51" s="21"/>
      <c r="J51" s="21"/>
      <c r="K51" s="21"/>
      <c r="L51" s="21"/>
      <c r="M51" s="21"/>
    </row>
    <row r="52" spans="2:15" x14ac:dyDescent="0.25">
      <c r="B52" s="5">
        <v>16</v>
      </c>
      <c r="C52" s="35" t="s">
        <v>44</v>
      </c>
      <c r="D52" s="6">
        <v>2</v>
      </c>
      <c r="E52" s="7"/>
      <c r="F52" s="7"/>
      <c r="G52" s="7"/>
      <c r="H52" s="36"/>
      <c r="I52" s="21"/>
      <c r="J52" s="21"/>
      <c r="K52" s="21"/>
      <c r="L52" s="21"/>
      <c r="M52" s="21"/>
    </row>
    <row r="53" spans="2:15" x14ac:dyDescent="0.25">
      <c r="B53" s="5">
        <v>17</v>
      </c>
      <c r="C53" s="35" t="s">
        <v>45</v>
      </c>
      <c r="D53" s="6">
        <v>1</v>
      </c>
      <c r="E53" s="7"/>
      <c r="F53" s="7"/>
      <c r="G53" s="7"/>
      <c r="H53" s="36"/>
      <c r="I53" s="21"/>
      <c r="J53" s="21"/>
      <c r="K53" s="21"/>
      <c r="L53" s="21"/>
      <c r="M53" s="21"/>
    </row>
    <row r="54" spans="2:15" ht="15.75" thickBot="1" x14ac:dyDescent="0.3">
      <c r="B54" s="11">
        <v>18</v>
      </c>
      <c r="C54" s="37" t="s">
        <v>46</v>
      </c>
      <c r="D54" s="12">
        <v>1</v>
      </c>
      <c r="E54" s="13"/>
      <c r="F54" s="13"/>
      <c r="G54" s="13"/>
      <c r="H54" s="38"/>
      <c r="I54" s="21"/>
      <c r="J54" s="21"/>
      <c r="K54" s="21"/>
      <c r="L54" s="21"/>
      <c r="M54" s="21"/>
    </row>
    <row r="55" spans="2:15" ht="15.75" thickBot="1" x14ac:dyDescent="0.3">
      <c r="B55" s="60" t="s">
        <v>19</v>
      </c>
      <c r="C55" s="66"/>
      <c r="D55" s="39">
        <f>SUM(D41:D54)</f>
        <v>25</v>
      </c>
      <c r="E55" s="40"/>
      <c r="F55" s="40"/>
      <c r="G55" s="41"/>
      <c r="H55" s="18"/>
      <c r="I55" s="21"/>
      <c r="J55" s="21"/>
      <c r="K55" s="21"/>
      <c r="L55" s="21"/>
      <c r="M55" s="21"/>
    </row>
    <row r="56" spans="2:15" ht="15.75" thickBot="1" x14ac:dyDescent="0.3">
      <c r="B56" s="57" t="s">
        <v>63</v>
      </c>
      <c r="C56" s="62"/>
      <c r="D56" s="62"/>
      <c r="E56" s="62"/>
      <c r="F56" s="62"/>
      <c r="G56" s="63"/>
      <c r="H56" s="42"/>
    </row>
    <row r="57" spans="2:15" ht="15.75" thickBot="1" x14ac:dyDescent="0.3">
      <c r="B57" s="57" t="s">
        <v>19</v>
      </c>
      <c r="C57" s="62"/>
      <c r="D57" s="62"/>
      <c r="E57" s="62"/>
      <c r="F57" s="62"/>
      <c r="G57" s="63"/>
      <c r="H57" s="42"/>
    </row>
    <row r="58" spans="2:15" ht="15.75" thickBot="1" x14ac:dyDescent="0.3">
      <c r="O58" s="48"/>
    </row>
    <row r="59" spans="2:15" ht="15.75" customHeight="1" thickBot="1" x14ac:dyDescent="0.3">
      <c r="B59" s="57" t="s">
        <v>47</v>
      </c>
      <c r="C59" s="62"/>
      <c r="D59" s="62"/>
      <c r="E59" s="62"/>
      <c r="F59" s="62"/>
      <c r="G59" s="63"/>
      <c r="H59" s="42"/>
      <c r="I59" s="67"/>
      <c r="J59" s="67"/>
      <c r="K59" s="67"/>
      <c r="L59" s="67"/>
    </row>
    <row r="60" spans="2:15" ht="15.75" thickBot="1" x14ac:dyDescent="0.3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5" ht="15.75" thickBot="1" x14ac:dyDescent="0.3">
      <c r="B61" s="57" t="s">
        <v>48</v>
      </c>
      <c r="C61" s="62"/>
      <c r="D61" s="62"/>
      <c r="E61" s="62"/>
      <c r="F61" s="62"/>
      <c r="G61" s="62"/>
      <c r="H61" s="62"/>
      <c r="I61" s="62"/>
      <c r="J61" s="62"/>
      <c r="K61" s="62"/>
      <c r="L61" s="63"/>
      <c r="M61" s="42"/>
      <c r="N61" s="47"/>
      <c r="O61" s="48"/>
    </row>
  </sheetData>
  <mergeCells count="18">
    <mergeCell ref="B56:G56"/>
    <mergeCell ref="B57:G57"/>
    <mergeCell ref="B59:G59"/>
    <mergeCell ref="B61:L61"/>
    <mergeCell ref="B38:L38"/>
    <mergeCell ref="B55:C55"/>
    <mergeCell ref="B36:L36"/>
    <mergeCell ref="B35:L35"/>
    <mergeCell ref="B2:M2"/>
    <mergeCell ref="B10:C10"/>
    <mergeCell ref="B11:L11"/>
    <mergeCell ref="B12:L12"/>
    <mergeCell ref="B14:M14"/>
    <mergeCell ref="B22:C22"/>
    <mergeCell ref="B23:L23"/>
    <mergeCell ref="B24:L24"/>
    <mergeCell ref="B26:M26"/>
    <mergeCell ref="B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SEM</cp:lastModifiedBy>
  <dcterms:created xsi:type="dcterms:W3CDTF">2025-09-03T23:04:19Z</dcterms:created>
  <dcterms:modified xsi:type="dcterms:W3CDTF">2025-11-07T19:31:03Z</dcterms:modified>
</cp:coreProperties>
</file>